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231500D4-D1D5-46F7-9CFF-85646A019AD8}" xr6:coauthVersionLast="36" xr6:coauthVersionMax="36" xr10:uidLastSave="{00000000-0000-0000-0000-000000000000}"/>
  <bookViews>
    <workbookView xWindow="0" yWindow="0" windowWidth="19200" windowHeight="6930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(mass)'!$B$1:$B$100</definedName>
    <definedName name="_xlnm._FilterDatabase" localSheetId="0" hidden="1">'Composition of waste'!$B$1:$B$115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9" i="6" l="1"/>
  <c r="R98" i="6"/>
  <c r="R97" i="6"/>
  <c r="C99" i="6" l="1"/>
  <c r="C91" i="6"/>
  <c r="C77" i="6"/>
  <c r="C98" i="6"/>
  <c r="C96" i="6"/>
  <c r="C5" i="6"/>
  <c r="BM100" i="6" l="1"/>
  <c r="BQ100" i="6"/>
  <c r="K100" i="6"/>
  <c r="L100" i="6"/>
  <c r="M100" i="6"/>
  <c r="N100" i="6"/>
  <c r="O100" i="6"/>
  <c r="P100" i="6"/>
  <c r="Q100" i="6"/>
  <c r="S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H100" i="6"/>
  <c r="I100" i="6"/>
  <c r="D99" i="6"/>
  <c r="E99" i="6"/>
  <c r="BN99" i="6" s="1"/>
  <c r="E98" i="6"/>
  <c r="G98" i="6" s="1"/>
  <c r="D98" i="6"/>
  <c r="C100" i="6"/>
  <c r="BR99" i="4"/>
  <c r="BP99" i="4"/>
  <c r="BO99" i="4"/>
  <c r="G99" i="4"/>
  <c r="BK99" i="4"/>
  <c r="BN99" i="4"/>
  <c r="BL99" i="4"/>
  <c r="E99" i="4"/>
  <c r="E97" i="6"/>
  <c r="BN97" i="6" s="1"/>
  <c r="BR98" i="4"/>
  <c r="BP98" i="4"/>
  <c r="BO98" i="4"/>
  <c r="D98" i="4"/>
  <c r="BR97" i="4"/>
  <c r="BO97" i="4"/>
  <c r="BP97" i="4"/>
  <c r="D97" i="4"/>
  <c r="D97" i="6" s="1"/>
  <c r="E96" i="6"/>
  <c r="BO96" i="6" s="1"/>
  <c r="D96" i="6"/>
  <c r="BR99" i="6" l="1"/>
  <c r="BO99" i="6"/>
  <c r="F99" i="6"/>
  <c r="G99" i="6"/>
  <c r="J99" i="6"/>
  <c r="BK99" i="6"/>
  <c r="BL99" i="6"/>
  <c r="BL97" i="6"/>
  <c r="BR97" i="6"/>
  <c r="BK97" i="6"/>
  <c r="J97" i="6"/>
  <c r="G97" i="6"/>
  <c r="BN98" i="6"/>
  <c r="J98" i="6"/>
  <c r="BL98" i="6"/>
  <c r="F98" i="6"/>
  <c r="BK98" i="6"/>
  <c r="BO98" i="6"/>
  <c r="BR98" i="6"/>
  <c r="BR96" i="6"/>
  <c r="BO97" i="6"/>
  <c r="F97" i="6"/>
  <c r="G96" i="6"/>
  <c r="J96" i="6"/>
  <c r="BK96" i="6"/>
  <c r="R96" i="6"/>
  <c r="T96" i="6"/>
  <c r="BL96" i="6"/>
  <c r="BN96" i="6"/>
  <c r="F96" i="6"/>
  <c r="D2" i="10"/>
  <c r="E4" i="10"/>
  <c r="E3" i="10"/>
  <c r="C2" i="10" l="1"/>
  <c r="E6" i="3" l="1"/>
  <c r="E4" i="3"/>
  <c r="E2" i="3"/>
  <c r="E3" i="3" s="1"/>
  <c r="G26" i="10" l="1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12" i="10"/>
  <c r="L20" i="1"/>
  <c r="L23" i="1"/>
  <c r="L24" i="1"/>
  <c r="L26" i="1"/>
  <c r="L22" i="1"/>
  <c r="D10" i="10" l="1"/>
  <c r="D7" i="10"/>
  <c r="D12" i="3"/>
  <c r="D11" i="3"/>
  <c r="D10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B2" i="3"/>
  <c r="C10" i="3"/>
  <c r="L15" i="1" l="1"/>
  <c r="L16" i="1"/>
  <c r="L17" i="1"/>
  <c r="L18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100" i="6" s="1"/>
  <c r="D92" i="6"/>
  <c r="D93" i="6"/>
  <c r="D94" i="6"/>
  <c r="D95" i="6"/>
  <c r="D3" i="6"/>
  <c r="C100" i="4"/>
  <c r="E100" i="6" l="1"/>
  <c r="B3" i="9"/>
  <c r="B2" i="9"/>
  <c r="B39" i="1"/>
  <c r="E2" i="10"/>
  <c r="F2" i="10"/>
  <c r="F3" i="10"/>
  <c r="C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T100" i="6" s="1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N100" i="6" s="1"/>
  <c r="BL91" i="6"/>
  <c r="BR91" i="6"/>
  <c r="BP91" i="6"/>
  <c r="BP100" i="6" s="1"/>
  <c r="BO91" i="6"/>
  <c r="BK91" i="6"/>
  <c r="BK100" i="6" s="1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J100" i="6" l="1"/>
  <c r="F100" i="6"/>
  <c r="BR100" i="6"/>
  <c r="R100" i="6"/>
  <c r="BL100" i="6"/>
  <c r="B5" i="1" s="1"/>
  <c r="N5" i="1" s="1"/>
  <c r="O5" i="1" s="1"/>
  <c r="G100" i="6"/>
  <c r="B8" i="1" s="1"/>
  <c r="BO100" i="6"/>
  <c r="B3" i="1" s="1"/>
  <c r="N3" i="1" s="1"/>
  <c r="B22" i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B4" i="1"/>
  <c r="N4" i="1" s="1"/>
  <c r="O4" i="1" s="1"/>
  <c r="B2" i="1"/>
  <c r="N2" i="1" s="1"/>
  <c r="O2" i="1" s="1"/>
  <c r="B7" i="1"/>
  <c r="N7" i="1" s="1"/>
  <c r="O7" i="1" s="1"/>
  <c r="B6" i="1"/>
  <c r="N6" i="1" s="1"/>
  <c r="O6" i="1" s="1"/>
  <c r="O3" i="1" l="1"/>
  <c r="B46" i="1" s="1"/>
  <c r="B47" i="1" s="1"/>
  <c r="P3" i="1"/>
  <c r="B26" i="1" s="1"/>
  <c r="L30" i="1" s="1"/>
  <c r="B106" i="6"/>
  <c r="B108" i="6" l="1"/>
  <c r="B109" i="6" s="1"/>
</calcChain>
</file>

<file path=xl/sharedStrings.xml><?xml version="1.0" encoding="utf-8"?>
<sst xmlns="http://schemas.openxmlformats.org/spreadsheetml/2006/main" count="1166" uniqueCount="655">
  <si>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</si>
  <si>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</si>
  <si>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</si>
  <si>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</si>
  <si>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</si>
  <si>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</si>
  <si>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</si>
  <si>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</si>
  <si>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</si>
  <si>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</si>
  <si>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</si>
  <si>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</si>
  <si>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</si>
  <si>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</si>
  <si>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</si>
  <si>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</si>
  <si>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</si>
  <si>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</si>
  <si>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</si>
  <si>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</si>
  <si>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</si>
  <si>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</si>
  <si>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</si>
  <si>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</si>
  <si>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</si>
  <si>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</si>
  <si>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</si>
  <si>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</si>
  <si>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</si>
  <si>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</si>
  <si>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</si>
  <si>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</si>
  <si>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</si>
  <si>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</si>
  <si>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</si>
  <si>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</si>
  <si>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</si>
  <si>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</si>
  <si>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</si>
  <si>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</si>
  <si>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</si>
  <si>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</si>
  <si>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</si>
  <si>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</si>
  <si>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</si>
  <si>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</si>
  <si>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</si>
  <si>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</si>
  <si>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</si>
  <si>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</si>
  <si>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</si>
  <si>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</si>
  <si>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</si>
  <si>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</si>
  <si>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</si>
  <si>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</si>
  <si>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</si>
  <si>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</si>
  <si>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</si>
  <si>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</si>
  <si>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</si>
  <si>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</si>
  <si>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</si>
  <si>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</si>
  <si>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</si>
  <si>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</si>
  <si>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</si>
  <si>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</si>
  <si>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</si>
  <si>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</si>
  <si>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</si>
  <si>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</si>
  <si>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</si>
  <si>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</si>
  <si>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</si>
  <si>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</si>
  <si>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</si>
  <si>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</si>
  <si>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</si>
  <si>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</si>
  <si>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</si>
  <si>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</si>
  <si>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</si>
  <si>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</si>
  <si>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</si>
  <si>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</si>
  <si>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</si>
  <si>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</si>
  <si>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</si>
  <si>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</si>
  <si>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</si>
  <si>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</si>
  <si>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</si>
  <si>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</si>
  <si>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</si>
  <si>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</si>
  <si>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</si>
  <si>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</si>
  <si>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</si>
  <si>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</si>
  <si>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</si>
  <si>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</si>
  <si>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</si>
  <si>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</si>
  <si>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</si>
  <si>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</si>
  <si>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</si>
  <si>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</si>
  <si>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</si>
  <si>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</si>
  <si>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</si>
  <si>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</si>
  <si>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</si>
  <si>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</si>
  <si>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</si>
  <si>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</si>
  <si>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</si>
  <si>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</si>
  <si>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</si>
  <si>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</si>
  <si>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</si>
  <si>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</si>
  <si>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</si>
  <si>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</si>
  <si>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</si>
  <si>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</si>
  <si>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</si>
  <si>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</si>
  <si>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</si>
  <si>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</si>
  <si>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</si>
  <si>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</si>
  <si>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</si>
  <si>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</si>
  <si>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</si>
  <si>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</si>
  <si>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</si>
  <si>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</si>
  <si>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</si>
  <si>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</si>
  <si>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</si>
  <si>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</si>
  <si>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</si>
  <si>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</si>
  <si>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</si>
  <si>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</si>
  <si>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</si>
  <si>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</si>
  <si>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</si>
  <si>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</si>
  <si>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</si>
  <si>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</si>
  <si>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</si>
  <si>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</si>
  <si>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</si>
  <si>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</si>
  <si>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</si>
  <si>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</si>
  <si>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</si>
  <si>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</si>
  <si>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</si>
  <si>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</si>
  <si>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</si>
  <si>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</si>
  <si>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</si>
  <si>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</si>
  <si>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</si>
  <si>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</si>
  <si>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</si>
  <si>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</si>
  <si>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</si>
  <si>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</si>
  <si>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</si>
  <si>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</si>
  <si>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</si>
  <si>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</si>
  <si>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</si>
  <si>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</si>
  <si>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</si>
  <si>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</si>
  <si>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</si>
  <si>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</si>
  <si>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</si>
  <si>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</si>
  <si>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</si>
  <si>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</si>
  <si>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</si>
  <si>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</si>
  <si>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</si>
  <si>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</si>
  <si>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</si>
  <si>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</si>
  <si>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</si>
  <si>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</si>
  <si>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</si>
  <si>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</si>
  <si>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</si>
  <si>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</si>
  <si>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</si>
  <si>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</si>
  <si>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</si>
  <si>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</si>
  <si>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</si>
  <si>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</si>
  <si>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</si>
  <si>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</si>
  <si>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</si>
  <si>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</si>
  <si>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</si>
  <si>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</si>
  <si>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</si>
  <si>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</si>
  <si>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</si>
  <si>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</si>
  <si>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</si>
  <si>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</si>
  <si>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</si>
  <si>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</si>
  <si>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</si>
  <si>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</si>
  <si>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</si>
  <si>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</si>
  <si>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</si>
  <si>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</si>
  <si>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</si>
  <si>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</si>
  <si>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</si>
  <si>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</si>
  <si>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</si>
  <si>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</si>
  <si>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</si>
  <si>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</si>
  <si>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</si>
  <si>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</si>
  <si>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</si>
  <si>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</si>
  <si>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</si>
  <si>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</si>
  <si>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</si>
  <si>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</si>
  <si>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</si>
  <si>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</si>
  <si>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</si>
  <si>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</si>
  <si>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</si>
  <si>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</si>
  <si>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</si>
  <si>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</si>
  <si>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</si>
  <si>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</si>
  <si>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</si>
  <si>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</si>
  <si>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</si>
  <si>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</si>
  <si>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</si>
  <si>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</si>
  <si>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</si>
  <si>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</si>
  <si>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</si>
  <si>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</si>
  <si>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</si>
  <si>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</si>
  <si>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</si>
  <si>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</si>
  <si>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</si>
  <si>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</si>
  <si>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</si>
  <si>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</si>
  <si>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</si>
  <si>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</si>
  <si>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</si>
  <si>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</si>
  <si>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</si>
  <si>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</si>
  <si>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</si>
  <si>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</si>
  <si>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</si>
  <si>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</si>
  <si>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</si>
  <si>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</si>
  <si>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</si>
  <si>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</si>
  <si>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</si>
  <si>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</si>
  <si>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</si>
  <si>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</si>
  <si>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</si>
  <si>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</si>
  <si>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</si>
  <si>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</si>
  <si>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</si>
  <si>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</si>
  <si>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</si>
  <si>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</si>
  <si>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</si>
  <si>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</si>
  <si>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</si>
  <si>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</si>
  <si>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</si>
  <si>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</si>
  <si>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</si>
  <si>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</si>
  <si>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</si>
  <si>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</si>
  <si>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</si>
  <si>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</si>
  <si>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</si>
  <si>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</si>
  <si>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</si>
  <si>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</si>
  <si>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</si>
  <si>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</si>
  <si>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</si>
  <si>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</si>
  <si>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</si>
  <si>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</si>
  <si>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</si>
  <si>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</si>
  <si>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</si>
  <si>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</si>
  <si>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</si>
  <si>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</si>
  <si>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</si>
  <si>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</si>
  <si>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</si>
  <si>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</si>
  <si>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</si>
  <si>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</si>
  <si>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</si>
  <si>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</si>
  <si>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</si>
  <si>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</si>
  <si>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</si>
  <si>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</si>
  <si>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</si>
  <si>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</si>
  <si>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</si>
  <si>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</si>
  <si>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</si>
  <si>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</si>
  <si>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</si>
  <si>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</si>
  <si>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</si>
  <si>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</si>
  <si>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</si>
  <si>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</si>
  <si>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</si>
  <si>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</si>
  <si>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</si>
  <si>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</si>
  <si>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</si>
  <si>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</si>
  <si>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</si>
  <si>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</si>
  <si>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</si>
  <si>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</si>
  <si>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</si>
  <si>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</si>
  <si>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</si>
  <si>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</si>
  <si>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</si>
  <si>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</si>
  <si>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</si>
  <si>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</si>
  <si>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</si>
  <si>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</si>
  <si>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</si>
  <si>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</si>
  <si>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</si>
  <si>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</si>
  <si>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</si>
  <si>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</si>
  <si>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</si>
  <si>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</si>
  <si>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</si>
  <si>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</si>
  <si>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</si>
  <si>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</si>
  <si>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</si>
  <si>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</si>
  <si>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</si>
  <si>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</si>
  <si>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</si>
  <si>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</si>
  <si>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</si>
  <si>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</si>
  <si>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</si>
  <si>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</si>
  <si>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</si>
  <si>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</si>
  <si>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</si>
  <si>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</si>
  <si>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</si>
  <si>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</si>
  <si>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</si>
  <si>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</si>
  <si>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</si>
  <si>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</si>
  <si>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</si>
  <si>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</si>
  <si>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</si>
  <si>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</si>
  <si>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</si>
  <si>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</si>
  <si>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</si>
  <si>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</si>
  <si>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</si>
  <si>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</si>
  <si>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</si>
  <si>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</si>
  <si>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</si>
  <si>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</si>
  <si>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</si>
  <si>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</si>
  <si>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</si>
  <si>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</si>
  <si>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</si>
  <si>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</si>
  <si>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</si>
  <si>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</si>
  <si>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</si>
  <si>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</si>
  <si>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</si>
  <si>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</si>
  <si>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</si>
  <si>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</si>
  <si>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</si>
  <si>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</si>
  <si>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</si>
  <si>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</si>
  <si>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</si>
  <si>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</si>
  <si>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</si>
  <si>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</si>
  <si>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</si>
  <si>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</si>
  <si>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</si>
  <si>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</si>
  <si>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</si>
  <si>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</si>
  <si>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</si>
  <si>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</si>
  <si>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</si>
  <si>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</si>
  <si>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</si>
  <si>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</si>
  <si>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</si>
  <si>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</si>
  <si>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</si>
  <si>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</si>
  <si>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</si>
  <si>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</si>
  <si>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</si>
  <si>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</si>
  <si>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</si>
  <si>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</si>
  <si>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</si>
  <si>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</si>
  <si>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</si>
  <si>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</si>
  <si>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</si>
  <si>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</si>
  <si>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</si>
  <si>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</si>
  <si>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</si>
  <si>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</si>
  <si>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</si>
  <si>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</si>
  <si>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</si>
  <si>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</si>
  <si>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</si>
  <si>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</si>
  <si>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</si>
  <si>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</si>
  <si>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</si>
  <si>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</si>
  <si>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</si>
  <si>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</si>
  <si>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</si>
  <si>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</si>
  <si>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</si>
  <si>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</si>
  <si>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</si>
  <si>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</si>
  <si>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</si>
  <si>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</si>
  <si>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</si>
  <si>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</si>
  <si>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</si>
  <si>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</si>
  <si>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</si>
  <si>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</si>
  <si>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</si>
  <si>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</si>
  <si>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</si>
  <si>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</si>
  <si>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</si>
  <si>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</si>
  <si>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</si>
  <si>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</si>
  <si>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</si>
  <si>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</si>
  <si>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</si>
  <si>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</si>
  <si>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</si>
  <si>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</si>
  <si>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</si>
  <si>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</si>
  <si>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</si>
  <si>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</si>
  <si>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</si>
  <si>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</si>
  <si>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</si>
  <si>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</si>
  <si>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</si>
  <si>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</si>
  <si>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</si>
  <si>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</si>
  <si>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</si>
  <si>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</si>
  <si>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</si>
  <si>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</si>
  <si>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</si>
  <si>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</si>
  <si>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</si>
  <si>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</si>
  <si>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</si>
  <si>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</si>
  <si>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</si>
  <si>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</si>
  <si>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</si>
  <si>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</si>
  <si>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</si>
  <si>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</si>
  <si>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</si>
  <si>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</si>
  <si>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</si>
  <si>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</si>
  <si>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</si>
  <si>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</si>
  <si>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</si>
  <si>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</si>
  <si>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</si>
  <si>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</si>
  <si>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</si>
  <si>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</si>
  <si>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</si>
  <si>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</si>
  <si>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</si>
  <si>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</si>
  <si>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</si>
  <si>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</si>
  <si>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</si>
  <si>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</si>
  <si>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</si>
  <si>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</si>
  <si>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</si>
  <si>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</si>
  <si>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</si>
  <si>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</si>
  <si>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</si>
  <si>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</si>
  <si>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</si>
  <si>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</si>
  <si>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</si>
  <si>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</si>
  <si>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</si>
  <si>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</si>
  <si>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</si>
  <si>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</si>
  <si>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</si>
  <si>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</si>
  <si>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</si>
  <si>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</si>
  <si>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</si>
  <si>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</si>
  <si>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</si>
  <si>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</si>
  <si>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</si>
  <si>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</si>
  <si>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</si>
  <si>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</si>
  <si>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</si>
  <si>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</si>
  <si>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</si>
  <si>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</si>
  <si>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</si>
  <si>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</si>
  <si>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</si>
  <si>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</si>
  <si>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</si>
  <si>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</si>
  <si>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</si>
  <si>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</si>
  <si>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</si>
  <si>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</si>
  <si>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</si>
  <si>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</si>
  <si>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</si>
  <si>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</si>
  <si>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</si>
  <si>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</si>
  <si>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</si>
  <si>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</si>
  <si>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</si>
  <si>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</si>
  <si>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</si>
  <si>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</si>
  <si>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</si>
  <si>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</si>
  <si>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</si>
  <si>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</si>
  <si>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</si>
  <si>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</si>
  <si>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</si>
  <si>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</si>
  <si>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</si>
  <si>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</si>
  <si>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</si>
  <si>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</si>
  <si>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</si>
  <si>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</si>
  <si>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</si>
  <si>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</si>
  <si>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</si>
  <si>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</si>
  <si>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</si>
  <si>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</si>
  <si>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</si>
  <si>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</si>
  <si>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</si>
  <si>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</si>
  <si>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</si>
  <si>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</si>
  <si>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</si>
  <si>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</si>
  <si>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</si>
  <si>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</si>
  <si>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</si>
  <si>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m(Carbone)</t>
  </si>
  <si>
    <t>masse C (g)</t>
  </si>
  <si>
    <t>masse C (kg/kgTM)</t>
  </si>
  <si>
    <t>Vreacteur</t>
  </si>
  <si>
    <t>rho_waste</t>
  </si>
  <si>
    <t>kg.m-3</t>
  </si>
  <si>
    <t>rho_air</t>
  </si>
  <si>
    <t>m(N-Norg)(g)</t>
  </si>
  <si>
    <t>kgX/kgS</t>
  </si>
  <si>
    <t>kg/l</t>
  </si>
  <si>
    <t>butter</t>
  </si>
  <si>
    <t>eggshell</t>
  </si>
  <si>
    <t>mixed fruit waste</t>
  </si>
  <si>
    <t>bones</t>
  </si>
  <si>
    <t>cornstalk</t>
  </si>
  <si>
    <t>CORNSTALK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</si>
</sst>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  <xf numFmtId="167" fontId="2" fillId="0" borderId="0" xfId="0" applyNumberFormat="1" applyFont="1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5"/>
  <sheetViews>
    <sheetView tabSelected="1" workbookViewId="0">
      <pane ySplit="1" topLeftCell="A77" activePane="bottomLeft" state="frozen"/>
      <selection pane="bottomLeft" activeCell="A99" sqref="A99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89.357142857142904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649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>
        <v>2.57</v>
      </c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650</v>
      </c>
      <c r="D96" s="41">
        <v>1</v>
      </c>
      <c r="E96" s="41">
        <v>99</v>
      </c>
      <c r="BO96" s="41">
        <v>3</v>
      </c>
    </row>
    <row r="97" spans="1:70" x14ac:dyDescent="0.35">
      <c r="B97" s="40" t="s">
        <v>651</v>
      </c>
      <c r="D97" s="44">
        <f>100-E97</f>
        <v>79.64</v>
      </c>
      <c r="E97" s="41">
        <v>20.36</v>
      </c>
      <c r="BO97">
        <f>3.1/E97</f>
        <v>0.15225933202357564</v>
      </c>
      <c r="BP97">
        <f>0.21/E97</f>
        <v>1.031434184675835E-2</v>
      </c>
      <c r="BR97">
        <f>97/E97</f>
        <v>4.7642436149312379</v>
      </c>
    </row>
    <row r="98" spans="1:70" x14ac:dyDescent="0.35">
      <c r="B98" s="14" t="s">
        <v>652</v>
      </c>
      <c r="D98" s="44">
        <f>100-E98</f>
        <v>41.63</v>
      </c>
      <c r="E98" s="45">
        <v>58.37</v>
      </c>
      <c r="BO98">
        <f>21.87/E98</f>
        <v>0.37467877334247046</v>
      </c>
      <c r="BP98">
        <f>55.86/E98</f>
        <v>0.95699845811204387</v>
      </c>
      <c r="BR98">
        <f>22.27/E98</f>
        <v>0.38153160870310093</v>
      </c>
    </row>
    <row r="99" spans="1:70" x14ac:dyDescent="0.35">
      <c r="B99" s="14" t="s">
        <v>654</v>
      </c>
      <c r="D99" s="44">
        <v>7.3</v>
      </c>
      <c r="E99" s="45">
        <f>100-D99</f>
        <v>92.7</v>
      </c>
      <c r="G99">
        <f>24.9/E99</f>
        <v>0.26860841423948217</v>
      </c>
      <c r="BK99">
        <f>39/E99</f>
        <v>0.42071197411003236</v>
      </c>
      <c r="BL99">
        <f>42/E99</f>
        <v>0.45307443365695793</v>
      </c>
      <c r="BN99">
        <f>7.3/E99</f>
        <v>7.8748651564185534E-2</v>
      </c>
      <c r="BO99">
        <f>2/E99</f>
        <v>2.1574973031283709E-2</v>
      </c>
      <c r="BP99">
        <f>1/E99</f>
        <v>1.0787486515641855E-2</v>
      </c>
      <c r="BR99">
        <f>(12.6/E99)-BP99-BO99</f>
        <v>0.10355987055016182</v>
      </c>
    </row>
    <row r="100" spans="1:70" x14ac:dyDescent="0.35">
      <c r="B100" s="14" t="s">
        <v>242</v>
      </c>
      <c r="C100">
        <f>SUM(C2:C95)</f>
        <v>6.57</v>
      </c>
    </row>
    <row r="101" spans="1:70" x14ac:dyDescent="0.35">
      <c r="A101" s="13" t="s">
        <v>212</v>
      </c>
    </row>
    <row r="102" spans="1:70" x14ac:dyDescent="0.35">
      <c r="A102" s="14" t="s">
        <v>213</v>
      </c>
      <c r="B102" s="14" t="s">
        <v>214</v>
      </c>
      <c r="C102" s="14"/>
    </row>
    <row r="103" spans="1:70" x14ac:dyDescent="0.35">
      <c r="A103" s="14" t="s">
        <v>215</v>
      </c>
      <c r="B103" s="14" t="s">
        <v>216</v>
      </c>
      <c r="C103" s="14"/>
    </row>
    <row r="104" spans="1:70" x14ac:dyDescent="0.35">
      <c r="A104" s="14" t="s">
        <v>217</v>
      </c>
      <c r="B104" s="14" t="s">
        <v>218</v>
      </c>
      <c r="C104" s="14"/>
    </row>
    <row r="105" spans="1:70" x14ac:dyDescent="0.35">
      <c r="A105" s="14" t="s">
        <v>219</v>
      </c>
      <c r="B105" s="14" t="s">
        <v>220</v>
      </c>
      <c r="C105" s="14"/>
    </row>
    <row r="106" spans="1:70" x14ac:dyDescent="0.35">
      <c r="A106" s="14" t="s">
        <v>221</v>
      </c>
      <c r="B106" s="14" t="s">
        <v>222</v>
      </c>
      <c r="C106" s="14"/>
    </row>
    <row r="107" spans="1:70" x14ac:dyDescent="0.35">
      <c r="A107" s="14" t="s">
        <v>223</v>
      </c>
      <c r="B107" s="14" t="s">
        <v>224</v>
      </c>
      <c r="C107" s="14"/>
    </row>
    <row r="108" spans="1:70" x14ac:dyDescent="0.35">
      <c r="A108" s="14" t="s">
        <v>225</v>
      </c>
      <c r="B108" s="14" t="s">
        <v>226</v>
      </c>
      <c r="C108" s="14"/>
    </row>
    <row r="109" spans="1:70" x14ac:dyDescent="0.35">
      <c r="A109" s="14" t="s">
        <v>227</v>
      </c>
      <c r="B109" s="14" t="s">
        <v>228</v>
      </c>
      <c r="C109" s="14"/>
    </row>
    <row r="110" spans="1:70" x14ac:dyDescent="0.35">
      <c r="A110" s="14" t="s">
        <v>229</v>
      </c>
      <c r="B110" s="14" t="s">
        <v>230</v>
      </c>
      <c r="C110" s="14"/>
    </row>
    <row r="111" spans="1:70" x14ac:dyDescent="0.35">
      <c r="A111" s="14" t="s">
        <v>231</v>
      </c>
      <c r="B111" s="14" t="s">
        <v>232</v>
      </c>
      <c r="C111" s="14"/>
    </row>
    <row r="112" spans="1:70" x14ac:dyDescent="0.35">
      <c r="A112" s="14" t="s">
        <v>233</v>
      </c>
      <c r="B112" s="14" t="s">
        <v>234</v>
      </c>
      <c r="C112" s="14"/>
    </row>
    <row r="113" spans="1:3" x14ac:dyDescent="0.35">
      <c r="A113" s="14" t="s">
        <v>235</v>
      </c>
      <c r="B113" s="14" t="s">
        <v>236</v>
      </c>
      <c r="C113" s="14"/>
    </row>
    <row r="114" spans="1:3" x14ac:dyDescent="0.35">
      <c r="A114" s="14" t="s">
        <v>237</v>
      </c>
      <c r="B114" s="14" t="s">
        <v>238</v>
      </c>
      <c r="C114" s="14"/>
    </row>
    <row r="115" spans="1:3" x14ac:dyDescent="0.35">
      <c r="A115" s="14" t="s">
        <v>239</v>
      </c>
      <c r="B115" s="14" t="s">
        <v>240</v>
      </c>
      <c r="C115" s="14"/>
    </row>
  </sheetData>
  <autoFilter ref="B1:B115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9"/>
  <sheetViews>
    <sheetView zoomScale="85" zoomScaleNormal="85" workbookViewId="0">
      <pane ySplit="1" topLeftCell="A79" activePane="bottomLeft" state="frozen"/>
      <selection pane="bottomLeft" activeCell="R96" sqref="R96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7.5429687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36328125" bestFit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479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480</v>
      </c>
      <c r="S1" s="15" t="s">
        <v>55</v>
      </c>
      <c r="T1" s="15" t="s">
        <v>481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478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/>
      <c r="D4" s="18">
        <f>'Composition of waste'!$D4*$C4/100</f>
        <v>0</v>
      </c>
      <c r="E4" s="18">
        <f>'Composition of waste'!$E4*$C4/100</f>
        <v>0</v>
      </c>
      <c r="F4" s="18">
        <f>'Composition of waste'!$F4*$E4/100</f>
        <v>0</v>
      </c>
      <c r="G4" s="18">
        <f>'Composition of waste'!$G4*$E4/100</f>
        <v>0</v>
      </c>
      <c r="H4" s="18">
        <v>16.627433191921021</v>
      </c>
      <c r="I4" s="18">
        <v>439.60033976579871</v>
      </c>
      <c r="J4" s="18">
        <f>'Composition of waste'!$J4*'Composition (mass)'!$E4/100</f>
        <v>0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0</v>
      </c>
      <c r="S4" s="18">
        <v>4.6191977462024525E-3</v>
      </c>
      <c r="T4" s="18">
        <f>'Composition of waste'!$T4*'Composition (mass)'!$E4/100</f>
        <v>0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0</v>
      </c>
      <c r="BO4" s="18">
        <f>'Composition of waste'!$BO4*$E4/100</f>
        <v>0</v>
      </c>
      <c r="BP4" s="18">
        <f>'Composition of waste'!$BP4*$E4/100</f>
        <v>0</v>
      </c>
      <c r="BQ4" s="18">
        <v>0</v>
      </c>
      <c r="BR4" s="18">
        <f>'Composition of waste'!$BR4*$E4/100</f>
        <v>0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>
        <f>7.6</f>
        <v>7.6</v>
      </c>
      <c r="D5" s="18">
        <f>'Composition of waste'!$D5*$C5/100</f>
        <v>0.80885714285714272</v>
      </c>
      <c r="E5" s="18">
        <f>'Composition of waste'!$E5*$C5/100</f>
        <v>6.7911428571428596</v>
      </c>
      <c r="F5" s="18">
        <f>'Composition of waste'!$F5*$E5/100</f>
        <v>6.644269702449666</v>
      </c>
      <c r="G5" s="18">
        <f>'Composition of waste'!$G5*$E5/100</f>
        <v>0.1468731546931932</v>
      </c>
      <c r="H5" s="18">
        <v>16.561772537662883</v>
      </c>
      <c r="I5" s="18">
        <v>451.67256662757444</v>
      </c>
      <c r="J5" s="18">
        <f>'Composition of waste'!$J5*'Composition (mass)'!$E5/100</f>
        <v>2.9860878605111241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9.2504631590330982E-2</v>
      </c>
      <c r="S5" s="18">
        <v>2.0752432907077283E-3</v>
      </c>
      <c r="T5" s="18">
        <f>'Composition of waste'!$T5*'Composition (mass)'!$E5/100</f>
        <v>3.1180282736752436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1.8627002564049124E-2</v>
      </c>
      <c r="BL5" s="18">
        <f>'Composition of waste'!$BL5*$E5/100</f>
        <v>0</v>
      </c>
      <c r="BM5" s="18">
        <v>0</v>
      </c>
      <c r="BN5" s="18">
        <f>'Composition of waste'!$BN5*$E5/100</f>
        <v>1.1437794130249994E-2</v>
      </c>
      <c r="BO5" s="18">
        <f>'Composition of waste'!$BO5*$E5/100</f>
        <v>0.55446394118595987</v>
      </c>
      <c r="BP5" s="18">
        <f>'Composition of waste'!$BP5*$E5/100</f>
        <v>0.31927448819276211</v>
      </c>
      <c r="BQ5" s="18">
        <v>0</v>
      </c>
      <c r="BR5" s="18">
        <f>'Composition of waste'!$BR5*$E5/100</f>
        <v>5.7726951872033672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>
        <f>2.3</f>
        <v>2.2999999999999998</v>
      </c>
      <c r="D77" s="18">
        <f>'Composition of waste'!$D77*$C77/100</f>
        <v>1.5290090909090908</v>
      </c>
      <c r="E77" s="18">
        <f>'Composition of waste'!$E77*$C77/100</f>
        <v>0.77101590909090911</v>
      </c>
      <c r="F77" s="18">
        <f>'Composition of waste'!$F77*$E77/100</f>
        <v>0.73605913047534499</v>
      </c>
      <c r="G77" s="18">
        <f>'Composition of waste'!$G77*$E77/100</f>
        <v>3.4956778615564156E-2</v>
      </c>
      <c r="H77" s="18">
        <v>24.665686395638932</v>
      </c>
      <c r="I77" s="18">
        <v>675.44343549775363</v>
      </c>
      <c r="J77" s="18">
        <f>'Composition of waste'!$J77*'Composition (mass)'!$E77/100</f>
        <v>0.42981764487324908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7.4780884215114168E-2</v>
      </c>
      <c r="S77" s="18">
        <v>0.84876971663336165</v>
      </c>
      <c r="T77" s="18">
        <f>'Composition of waste'!$T77*'Composition (mass)'!$E77/100</f>
        <v>0.163628018961928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0.45185249878839606</v>
      </c>
      <c r="BP77" s="18">
        <f>'Composition of waste'!$BP77*$E77/100</f>
        <v>0.26111749666171447</v>
      </c>
      <c r="BQ77" s="18">
        <v>0</v>
      </c>
      <c r="BR77" s="18">
        <f>'Composition of waste'!$BR77*$E77/100</f>
        <v>2.2559084717723995E-2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f>'Composition of waste'!$J83*'Composition (mass)'!$E83/100</f>
        <v>0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0</v>
      </c>
      <c r="S83" s="18">
        <v>0.69363701990855653</v>
      </c>
      <c r="T83" s="18">
        <f>'Composition of waste'!$T83*'Composition (mass)'!$E83/100</f>
        <v>0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>
        <f>(41.5+38.2+3.2)</f>
        <v>82.9</v>
      </c>
      <c r="D91" s="18">
        <f>'Composition of waste'!$D91*$C91/100</f>
        <v>71.359073790849692</v>
      </c>
      <c r="E91" s="18">
        <f>'Composition of waste'!$E91*$C91/100</f>
        <v>11.541468039215689</v>
      </c>
      <c r="F91" s="18">
        <f>'Composition of waste'!$F91*$E91/100</f>
        <v>10.704406343129277</v>
      </c>
      <c r="G91" s="18">
        <f>'Composition of waste'!$G91*$E91/100</f>
        <v>0.83706169608641401</v>
      </c>
      <c r="H91" s="18">
        <v>15.980390555797626</v>
      </c>
      <c r="I91" s="18">
        <v>460.21398068707117</v>
      </c>
      <c r="J91" s="18">
        <f>'Composition of waste'!$J91*'Composition (mass)'!$E91/100</f>
        <v>4.8111523991706724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0.26906541449905746</v>
      </c>
      <c r="S91" s="18">
        <v>0.17581225153748034</v>
      </c>
      <c r="T91" s="18">
        <f>'Composition of waste'!$T91*'Composition (mass)'!$E91/100</f>
        <v>4.8638503243526534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0.36854501831462466</v>
      </c>
      <c r="BL91" s="18">
        <f>'Composition of waste'!$BL91*$E91/100</f>
        <v>0</v>
      </c>
      <c r="BM91" s="18">
        <v>0</v>
      </c>
      <c r="BN91" s="18">
        <f>'Composition of waste'!$BN91*$E91/100</f>
        <v>6.5467847526556475E-2</v>
      </c>
      <c r="BO91" s="18">
        <f>'Composition of waste'!$BO91*$E91/100</f>
        <v>1.6731534246010069</v>
      </c>
      <c r="BP91" s="18">
        <f>'Composition of waste'!$BP91*$E91/100</f>
        <v>0.62506506359854275</v>
      </c>
      <c r="BQ91" s="18">
        <v>0</v>
      </c>
      <c r="BR91" s="18">
        <f>'Composition of waste'!$BR91*$E91/100</f>
        <v>8.3913322476568286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B96" s="42" t="s">
        <v>650</v>
      </c>
      <c r="C96">
        <f>(7.2/2)</f>
        <v>3.6</v>
      </c>
      <c r="D96" s="18">
        <f>'Composition of waste'!$D96*$C96/100</f>
        <v>3.6000000000000004E-2</v>
      </c>
      <c r="E96" s="18">
        <f>'Composition of waste'!$E96*$C96/100</f>
        <v>3.5640000000000005</v>
      </c>
      <c r="F96" s="18">
        <f>'Composition of waste'!$F96*$E96/100</f>
        <v>0</v>
      </c>
      <c r="G96" s="18">
        <f>'Composition of waste'!$G96*$E96/100</f>
        <v>0</v>
      </c>
      <c r="J96" s="18">
        <f>'Composition of waste'!$J96*'Composition (mass)'!$E96/100</f>
        <v>0</v>
      </c>
      <c r="P96" s="18"/>
      <c r="Q96" s="18"/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0</v>
      </c>
      <c r="BL96" s="18">
        <f>'Composition of waste'!$BL96*$E96/100</f>
        <v>0</v>
      </c>
      <c r="BM96" s="18">
        <v>0</v>
      </c>
      <c r="BN96" s="18">
        <f>'Composition of waste'!$BN96*$E96/100</f>
        <v>0</v>
      </c>
      <c r="BO96" s="18">
        <f>'Composition of waste'!$BO96*$E96/100</f>
        <v>0.10692000000000002</v>
      </c>
      <c r="BR96" s="18">
        <f>'Composition of waste'!$BR96*$E96/100</f>
        <v>0</v>
      </c>
    </row>
    <row r="97" spans="1:70" x14ac:dyDescent="0.35">
      <c r="B97" s="21" t="s">
        <v>651</v>
      </c>
      <c r="D97" s="18">
        <f>'Composition of waste'!$D97*$C97/100</f>
        <v>0</v>
      </c>
      <c r="E97" s="18">
        <f>'Composition of waste'!$E97*$C97/100</f>
        <v>0</v>
      </c>
      <c r="F97" s="18">
        <f>'Composition of waste'!$F97*$E97/100</f>
        <v>0</v>
      </c>
      <c r="G97" s="18">
        <f>'Composition of waste'!$G97*$E97/100</f>
        <v>0</v>
      </c>
      <c r="J97" s="18">
        <f>'Composition of waste'!$J97*'Composition (mass)'!$E97/100</f>
        <v>0</v>
      </c>
      <c r="P97" s="43"/>
      <c r="Q97" s="43"/>
      <c r="R97" s="18">
        <f>'Composition of waste'!$R97*'Composition (mass)'!$E97/100</f>
        <v>0</v>
      </c>
      <c r="T97" s="43"/>
      <c r="BK97" s="18">
        <f>'Composition of waste'!$BK97*$E97/100</f>
        <v>0</v>
      </c>
      <c r="BL97" s="18">
        <f>'Composition of waste'!$BL97*$E97/100</f>
        <v>0</v>
      </c>
      <c r="BM97" s="43"/>
      <c r="BN97" s="18">
        <f>'Composition of waste'!$BN97*$E97/100</f>
        <v>0</v>
      </c>
      <c r="BO97" s="18">
        <f>'Composition of waste'!$BO97*$E97/100</f>
        <v>0</v>
      </c>
      <c r="BR97" s="18">
        <f>'Composition of waste'!$BR97*$E97/100</f>
        <v>0</v>
      </c>
    </row>
    <row r="98" spans="1:70" x14ac:dyDescent="0.35">
      <c r="B98" s="21" t="s">
        <v>652</v>
      </c>
      <c r="C98">
        <f>(7.2/2)</f>
        <v>3.6</v>
      </c>
      <c r="D98" s="18">
        <f>'Composition of waste'!$D98*$C98/100</f>
        <v>1.4986800000000002</v>
      </c>
      <c r="E98" s="18">
        <f>'Composition of waste'!$E98*$C98/100</f>
        <v>2.1013199999999999</v>
      </c>
      <c r="F98" s="18">
        <f>'Composition of waste'!$F98*$E98/100</f>
        <v>0</v>
      </c>
      <c r="G98" s="18">
        <f>'Composition of waste'!$G98*$E98/100</f>
        <v>0</v>
      </c>
      <c r="J98" s="18">
        <f>'Composition of waste'!$J98*'Composition (mass)'!$E98/100</f>
        <v>0</v>
      </c>
      <c r="P98" s="43"/>
      <c r="Q98" s="43"/>
      <c r="R98" s="18">
        <f>'Composition of waste'!$R98*'Composition (mass)'!$E98/100</f>
        <v>0</v>
      </c>
      <c r="T98" s="43"/>
      <c r="BK98" s="18">
        <f>'Composition of waste'!$BK98*$E98/100</f>
        <v>0</v>
      </c>
      <c r="BL98" s="18">
        <f>'Composition of waste'!$BL98*$E98/100</f>
        <v>0</v>
      </c>
      <c r="BM98" s="43"/>
      <c r="BN98" s="18">
        <f>'Composition of waste'!$BN98*$E98/100</f>
        <v>0</v>
      </c>
      <c r="BO98" s="18">
        <f>'Composition of waste'!$BO98*$E98/100</f>
        <v>7.8732000000000003E-3</v>
      </c>
      <c r="BR98" s="18">
        <f>'Composition of waste'!$BR98*$E98/100</f>
        <v>8.0172000000000004E-3</v>
      </c>
    </row>
    <row r="99" spans="1:70" x14ac:dyDescent="0.35">
      <c r="B99" s="21" t="s">
        <v>653</v>
      </c>
      <c r="C99">
        <f>(3*100)/17</f>
        <v>17.647058823529413</v>
      </c>
      <c r="D99" s="18">
        <f>'Composition of waste'!$D99*$C99/100</f>
        <v>1.2882352941176471</v>
      </c>
      <c r="E99" s="18">
        <f>'Composition of waste'!$E99*$C99/100</f>
        <v>16.358823529411765</v>
      </c>
      <c r="F99" s="18">
        <f>'Composition of waste'!$F99*$E99/100</f>
        <v>0</v>
      </c>
      <c r="G99" s="18">
        <f>'Composition of waste'!$G99*$E99/100</f>
        <v>4.3941176470588234E-2</v>
      </c>
      <c r="J99" s="18">
        <f>'Composition of waste'!$J99*'Composition (mass)'!$E99/100</f>
        <v>0</v>
      </c>
      <c r="P99" s="43"/>
      <c r="Q99" s="43"/>
      <c r="R99" s="18">
        <f>'Composition of waste'!$R99*'Composition (mass)'!$E99/100</f>
        <v>0</v>
      </c>
      <c r="T99" s="43"/>
      <c r="BK99" s="18">
        <f>'Composition of waste'!$BK99*$E99/100</f>
        <v>6.8823529411764714E-2</v>
      </c>
      <c r="BL99" s="18">
        <f>'Composition of waste'!$BL99*$E99/100</f>
        <v>7.4117647058823538E-2</v>
      </c>
      <c r="BM99" s="43"/>
      <c r="BN99" s="18">
        <f>'Composition of waste'!$BN99*$E99/100</f>
        <v>1.288235294117647E-2</v>
      </c>
      <c r="BO99" s="18">
        <f>'Composition of waste'!$BO99*$E99/100</f>
        <v>3.529411764705882E-3</v>
      </c>
      <c r="BR99" s="18">
        <f>'Composition of waste'!$BR99*$E99/100</f>
        <v>1.6941176470588237E-2</v>
      </c>
    </row>
    <row r="100" spans="1:70" x14ac:dyDescent="0.35">
      <c r="A100" s="21" t="s">
        <v>242</v>
      </c>
      <c r="C100" s="20">
        <f>SUM(C2:C99)</f>
        <v>117.64705882352942</v>
      </c>
      <c r="D100" s="20">
        <f>SUM(D2:D99)</f>
        <v>76.519855318733562</v>
      </c>
      <c r="E100" s="20">
        <f>SUM(E2:E99)</f>
        <v>41.127770334861225</v>
      </c>
      <c r="F100" s="20">
        <f>SUM(F2:F99)</f>
        <v>18.084735176054288</v>
      </c>
      <c r="G100" s="20">
        <f>SUM(G2:G99)</f>
        <v>1.0628328058657595</v>
      </c>
      <c r="H100" s="20">
        <f t="shared" ref="H100:K100" si="0">SUM(H2:H99)</f>
        <v>1748.0370779513639</v>
      </c>
      <c r="I100" s="20">
        <f t="shared" si="0"/>
        <v>49127.849334222614</v>
      </c>
      <c r="J100" s="20">
        <f t="shared" si="0"/>
        <v>8.2270579045550463</v>
      </c>
      <c r="K100" s="20">
        <f t="shared" si="0"/>
        <v>4297.0041843940116</v>
      </c>
      <c r="L100" s="20">
        <f t="shared" ref="L100" si="1">SUM(L2:L99)</f>
        <v>0</v>
      </c>
      <c r="M100" s="20">
        <f t="shared" ref="M100" si="2">SUM(M2:M99)</f>
        <v>21.57655659965565</v>
      </c>
      <c r="N100" s="20">
        <f t="shared" ref="N100:O100" si="3">SUM(N2:N99)</f>
        <v>20.216133280517997</v>
      </c>
      <c r="O100" s="20">
        <f t="shared" si="3"/>
        <v>0</v>
      </c>
      <c r="P100" s="20">
        <f t="shared" ref="P100" si="4">SUM(P2:P99)</f>
        <v>647.7782378473438</v>
      </c>
      <c r="Q100" s="20">
        <f t="shared" ref="Q100" si="5">SUM(Q2:Q99)</f>
        <v>157.34219218436536</v>
      </c>
      <c r="R100" s="20">
        <f t="shared" ref="R100:S100" si="6">SUM(R2:R99)</f>
        <v>0.43635093030450262</v>
      </c>
      <c r="S100" s="20">
        <f t="shared" si="6"/>
        <v>37.864632672965826</v>
      </c>
      <c r="T100" s="20">
        <f t="shared" ref="T100" si="7">SUM(T2:T99)</f>
        <v>8.1455066169898256</v>
      </c>
      <c r="U100" s="20">
        <f t="shared" ref="U100" si="8">SUM(U2:U99)</f>
        <v>37.868882106898717</v>
      </c>
      <c r="V100" s="20">
        <f t="shared" ref="V100:W100" si="9">SUM(V2:V99)</f>
        <v>82.69702423438811</v>
      </c>
      <c r="W100" s="20">
        <f t="shared" si="9"/>
        <v>0</v>
      </c>
      <c r="X100" s="20">
        <f t="shared" ref="X100" si="10">SUM(X2:X99)</f>
        <v>0</v>
      </c>
      <c r="Y100" s="20">
        <f t="shared" ref="Y100" si="11">SUM(Y2:Y99)</f>
        <v>0</v>
      </c>
      <c r="Z100" s="20">
        <f t="shared" ref="Z100:AA100" si="12">SUM(Z2:Z99)</f>
        <v>4.0408964888677783E-3</v>
      </c>
      <c r="AA100" s="20">
        <f t="shared" si="12"/>
        <v>0</v>
      </c>
      <c r="AB100" s="20">
        <f t="shared" ref="AB100" si="13">SUM(AB2:AB99)</f>
        <v>0</v>
      </c>
      <c r="AC100" s="20">
        <f t="shared" ref="AC100" si="14">SUM(AC2:AC99)</f>
        <v>0</v>
      </c>
      <c r="AD100" s="20">
        <f t="shared" ref="AD100:AE100" si="15">SUM(AD2:AD99)</f>
        <v>0</v>
      </c>
      <c r="AE100" s="20">
        <f t="shared" si="15"/>
        <v>0</v>
      </c>
      <c r="AF100" s="20">
        <f t="shared" ref="AF100" si="16">SUM(AF2:AF99)</f>
        <v>0</v>
      </c>
      <c r="AG100" s="20">
        <f t="shared" ref="AG100" si="17">SUM(AG2:AG99)</f>
        <v>6.4169434621670271E-4</v>
      </c>
      <c r="AH100" s="20">
        <f t="shared" ref="AH100:AI100" si="18">SUM(AH2:AH99)</f>
        <v>1.3457095133209738E-5</v>
      </c>
      <c r="AI100" s="20">
        <f t="shared" si="18"/>
        <v>8.8348606597630965E-4</v>
      </c>
      <c r="AJ100" s="20">
        <f t="shared" ref="AJ100" si="19">SUM(AJ2:AJ99)</f>
        <v>6.4118758508783971E-2</v>
      </c>
      <c r="AK100" s="20">
        <f t="shared" ref="AK100" si="20">SUM(AK2:AK99)</f>
        <v>0.48224409857944872</v>
      </c>
      <c r="AL100" s="20">
        <f t="shared" ref="AL100:AM100" si="21">SUM(AL2:AL99)</f>
        <v>0</v>
      </c>
      <c r="AM100" s="20">
        <f t="shared" si="21"/>
        <v>1.3945624499249473E-4</v>
      </c>
      <c r="AN100" s="20">
        <f t="shared" ref="AN100" si="22">SUM(AN2:AN99)</f>
        <v>0</v>
      </c>
      <c r="AO100" s="20">
        <f t="shared" ref="AO100" si="23">SUM(AO2:AO99)</f>
        <v>0</v>
      </c>
      <c r="AP100" s="20">
        <f t="shared" ref="AP100:AQ100" si="24">SUM(AP2:AP99)</f>
        <v>9.1736484244658634</v>
      </c>
      <c r="AQ100" s="20">
        <f t="shared" si="24"/>
        <v>0.13206162891110979</v>
      </c>
      <c r="AR100" s="20">
        <f t="shared" ref="AR100" si="25">SUM(AR2:AR99)</f>
        <v>1.4436008704821056E-3</v>
      </c>
      <c r="AS100" s="20">
        <f t="shared" ref="AS100" si="26">SUM(AS2:AS99)</f>
        <v>3.591003951693544E-3</v>
      </c>
      <c r="AT100" s="20">
        <f t="shared" ref="AT100:AU100" si="27">SUM(AT2:AT99)</f>
        <v>8.1057107051288248E-4</v>
      </c>
      <c r="AU100" s="20">
        <f t="shared" si="27"/>
        <v>0</v>
      </c>
      <c r="AV100" s="20">
        <f t="shared" ref="AV100" si="28">SUM(AV2:AV99)</f>
        <v>0</v>
      </c>
      <c r="AW100" s="20">
        <f t="shared" ref="AW100" si="29">SUM(AW2:AW99)</f>
        <v>0</v>
      </c>
      <c r="AX100" s="20">
        <f t="shared" ref="AX100:AY100" si="30">SUM(AX2:AX99)</f>
        <v>1.3314490297041306E-3</v>
      </c>
      <c r="AY100" s="20">
        <f t="shared" si="30"/>
        <v>0</v>
      </c>
      <c r="AZ100" s="20">
        <f t="shared" ref="AZ100" si="31">SUM(AZ2:AZ99)</f>
        <v>7.4991599681656904E-4</v>
      </c>
      <c r="BA100" s="20">
        <f t="shared" ref="BA100" si="32">SUM(BA2:BA99)</f>
        <v>0</v>
      </c>
      <c r="BB100" s="20">
        <f t="shared" ref="BB100:BC100" si="33">SUM(BB2:BB99)</f>
        <v>0</v>
      </c>
      <c r="BC100" s="20">
        <f t="shared" si="33"/>
        <v>0</v>
      </c>
      <c r="BD100" s="20">
        <f t="shared" ref="BD100" si="34">SUM(BD2:BD99)</f>
        <v>0</v>
      </c>
      <c r="BE100" s="20">
        <f t="shared" ref="BE100" si="35">SUM(BE2:BE99)</f>
        <v>0.37100746518266248</v>
      </c>
      <c r="BF100" s="20">
        <f t="shared" ref="BF100:BG100" si="36">SUM(BF2:BF99)</f>
        <v>0</v>
      </c>
      <c r="BG100" s="20">
        <f t="shared" si="36"/>
        <v>0</v>
      </c>
      <c r="BH100" s="20">
        <f t="shared" ref="BH100" si="37">SUM(BH2:BH99)</f>
        <v>0</v>
      </c>
      <c r="BI100" s="20">
        <f t="shared" ref="BI100" si="38">SUM(BI2:BI99)</f>
        <v>470.65720018352494</v>
      </c>
      <c r="BJ100" s="20">
        <f t="shared" ref="BJ100:BK100" si="39">SUM(BJ2:BJ99)</f>
        <v>404.5121108350657</v>
      </c>
      <c r="BK100" s="20">
        <f t="shared" si="39"/>
        <v>0.45599555029043853</v>
      </c>
      <c r="BL100" s="20">
        <f t="shared" ref="BL100" si="40">SUM(BL2:BL99)</f>
        <v>7.4117647058823538E-2</v>
      </c>
      <c r="BM100" s="20">
        <f>SUM(BM2:BM99)</f>
        <v>0</v>
      </c>
      <c r="BN100" s="20">
        <f t="shared" ref="BN100" si="41">SUM(BN2:BN99)</f>
        <v>8.9787994597982937E-2</v>
      </c>
      <c r="BO100" s="20">
        <f t="shared" ref="BO100" si="42">SUM(BO2:BO99)</f>
        <v>2.797792476340069</v>
      </c>
      <c r="BP100" s="20">
        <f t="shared" ref="BP100" si="43">SUM(BP2:BP99)</f>
        <v>1.2054570484530194</v>
      </c>
      <c r="BQ100" s="20">
        <f t="shared" ref="BQ100" si="44">SUM(BQ2:BQ99)</f>
        <v>0</v>
      </c>
      <c r="BR100" s="20">
        <f t="shared" ref="BR100" si="45">SUM(BR2:BR99)</f>
        <v>14.211544896048506</v>
      </c>
    </row>
    <row r="101" spans="1:70" x14ac:dyDescent="0.35">
      <c r="B101" s="21"/>
    </row>
    <row r="106" spans="1:70" x14ac:dyDescent="0.35">
      <c r="A106" t="s">
        <v>483</v>
      </c>
      <c r="B106">
        <f>J100/R100</f>
        <v>18.854223362865035</v>
      </c>
    </row>
    <row r="107" spans="1:70" x14ac:dyDescent="0.35">
      <c r="A107" t="s">
        <v>482</v>
      </c>
      <c r="B107">
        <v>200</v>
      </c>
    </row>
    <row r="108" spans="1:70" x14ac:dyDescent="0.35">
      <c r="A108" t="s">
        <v>484</v>
      </c>
      <c r="B108">
        <f>((C100*B106)-(30*C100))/(30-B107)</f>
        <v>7.7133402333113947</v>
      </c>
    </row>
    <row r="109" spans="1:70" x14ac:dyDescent="0.35">
      <c r="A109" t="s">
        <v>485</v>
      </c>
      <c r="B109">
        <f>((C100*B106)+(B108*B107))/(C100+B108)</f>
        <v>29.999999999999996</v>
      </c>
    </row>
  </sheetData>
  <autoFilter ref="B1:B100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7"/>
  <sheetViews>
    <sheetView zoomScale="84" zoomScaleNormal="115" workbookViewId="0">
      <selection activeCell="B26" sqref="B26"/>
    </sheetView>
  </sheetViews>
  <sheetFormatPr baseColWidth="10" defaultRowHeight="14.5" x14ac:dyDescent="0.35"/>
  <cols>
    <col min="1" max="1" width="12.542968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519</v>
      </c>
      <c r="B1" s="1" t="s">
        <v>385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436</v>
      </c>
      <c r="O1" t="s">
        <v>639</v>
      </c>
      <c r="P1" t="s">
        <v>646</v>
      </c>
      <c r="R1" t="s">
        <v>520</v>
      </c>
    </row>
    <row r="2" spans="1:22" x14ac:dyDescent="0.35">
      <c r="A2" s="2" t="s">
        <v>308</v>
      </c>
      <c r="B2" s="2">
        <f>'Composition (mass)'!BR100/B39</f>
        <v>0.1207981316164123</v>
      </c>
      <c r="C2" s="2" t="s">
        <v>530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 t="shared" ref="N2:N7" si="0">(B2*B$39)/(L2*0.001)</f>
        <v>78.953027200269489</v>
      </c>
      <c r="O2">
        <f t="shared" ref="O2:O7" si="1">F2*N2*12</f>
        <v>5684.6179584194033</v>
      </c>
      <c r="R2" t="s">
        <v>522</v>
      </c>
      <c r="S2" t="s">
        <v>309</v>
      </c>
      <c r="T2" t="s">
        <v>6</v>
      </c>
      <c r="U2" t="s">
        <v>523</v>
      </c>
      <c r="V2" t="s">
        <v>17</v>
      </c>
    </row>
    <row r="3" spans="1:22" x14ac:dyDescent="0.35">
      <c r="A3" s="2" t="s">
        <v>6</v>
      </c>
      <c r="B3" s="2">
        <f>'Composition (mass)'!BO100/B39</f>
        <v>2.3781236048890583E-2</v>
      </c>
      <c r="C3" s="2" t="s">
        <v>530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2">($F3*12)+($G3*1)+($H3*16)+($I3*14)</f>
        <v>352</v>
      </c>
      <c r="M3">
        <v>1</v>
      </c>
      <c r="N3">
        <f>(B3*B$39)/(L3*0.001)</f>
        <v>7.9482740805115597</v>
      </c>
      <c r="O3">
        <f t="shared" si="1"/>
        <v>1526.0686234582195</v>
      </c>
      <c r="P3">
        <f>I3*N3*14</f>
        <v>445.10334850864734</v>
      </c>
      <c r="Q3" t="s">
        <v>466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(mass)'!BP100/B39</f>
        <v>1.0246384911850663E-2</v>
      </c>
      <c r="C4" s="2" t="s">
        <v>530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2"/>
        <v>393</v>
      </c>
      <c r="M4">
        <v>2</v>
      </c>
      <c r="N4">
        <f t="shared" si="0"/>
        <v>3.0673207339771484</v>
      </c>
      <c r="O4">
        <f t="shared" si="1"/>
        <v>920.19622019314443</v>
      </c>
      <c r="Q4" t="s">
        <v>467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(mass)'!BL100/B39</f>
        <v>6.3000000000000003E-4</v>
      </c>
      <c r="C5" s="2" t="s">
        <v>530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2"/>
        <v>282</v>
      </c>
      <c r="M5">
        <v>3</v>
      </c>
      <c r="N5">
        <f t="shared" si="0"/>
        <v>0.26282853566958697</v>
      </c>
      <c r="O5">
        <f t="shared" si="1"/>
        <v>31.539424280350438</v>
      </c>
      <c r="Q5" t="s">
        <v>468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(mass)'!BK100/B39</f>
        <v>3.8759621774687274E-3</v>
      </c>
      <c r="C6" s="2" t="s">
        <v>530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0"/>
        <v>2.5333086127246585</v>
      </c>
      <c r="O6">
        <f t="shared" si="1"/>
        <v>182.39822011617542</v>
      </c>
      <c r="Q6" t="s">
        <v>469</v>
      </c>
      <c r="T6">
        <f>I3</f>
        <v>4</v>
      </c>
    </row>
    <row r="7" spans="1:22" x14ac:dyDescent="0.35">
      <c r="A7" s="2" t="s">
        <v>17</v>
      </c>
      <c r="B7" s="2">
        <f>'Composition (mass)'!BN100/B39</f>
        <v>7.6319795408285489E-4</v>
      </c>
      <c r="C7" s="2" t="s">
        <v>530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2"/>
        <v>366</v>
      </c>
      <c r="M7">
        <v>5</v>
      </c>
      <c r="N7">
        <f t="shared" si="0"/>
        <v>0.24532238961197525</v>
      </c>
      <c r="O7">
        <f t="shared" si="1"/>
        <v>58.877373506874065</v>
      </c>
      <c r="Q7" t="s">
        <v>521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(mass)'!G100/B39</f>
        <v>9.034078849858955E-3</v>
      </c>
      <c r="C8" s="2" t="s">
        <v>530</v>
      </c>
      <c r="D8" s="2" t="s">
        <v>283</v>
      </c>
      <c r="L8">
        <f t="shared" si="2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2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2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2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2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2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530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530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2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530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2"/>
        <v>113</v>
      </c>
      <c r="M16">
        <v>14</v>
      </c>
    </row>
    <row r="17" spans="1:14" x14ac:dyDescent="0.35">
      <c r="A17" s="2" t="s">
        <v>32</v>
      </c>
      <c r="B17">
        <f>(B39*0.01)/B39/10</f>
        <v>1E-3</v>
      </c>
      <c r="C17" s="2" t="s">
        <v>530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2"/>
        <v>113</v>
      </c>
      <c r="M17">
        <v>15</v>
      </c>
    </row>
    <row r="18" spans="1:14" x14ac:dyDescent="0.35">
      <c r="A18" s="2" t="s">
        <v>34</v>
      </c>
      <c r="B18">
        <f>(B39*0.01)/B39/10</f>
        <v>1E-3</v>
      </c>
      <c r="C18" s="2" t="s">
        <v>530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2"/>
        <v>247</v>
      </c>
      <c r="M18">
        <v>16</v>
      </c>
    </row>
    <row r="19" spans="1:14" x14ac:dyDescent="0.35">
      <c r="A19" s="2" t="s">
        <v>36</v>
      </c>
      <c r="B19">
        <f>(B39*0.01)/B39/10</f>
        <v>1E-3</v>
      </c>
      <c r="C19" s="2" t="s">
        <v>530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2"/>
        <v>247</v>
      </c>
      <c r="M19">
        <v>17</v>
      </c>
    </row>
    <row r="20" spans="1:14" x14ac:dyDescent="0.35">
      <c r="A20" s="2" t="s">
        <v>387</v>
      </c>
      <c r="B20">
        <f>(B39*0.01)/B39/10</f>
        <v>1E-3</v>
      </c>
      <c r="C20" s="2" t="s">
        <v>530</v>
      </c>
      <c r="D20" s="2" t="s">
        <v>444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2"/>
        <v>113</v>
      </c>
    </row>
    <row r="21" spans="1:14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2"/>
        <v>113</v>
      </c>
      <c r="M21">
        <v>18</v>
      </c>
    </row>
    <row r="22" spans="1:14" x14ac:dyDescent="0.35">
      <c r="A22" s="2" t="s">
        <v>342</v>
      </c>
      <c r="B22">
        <f>'Composition (mass)'!D100/B39</f>
        <v>0.65041877020923522</v>
      </c>
      <c r="C22" s="2" t="s">
        <v>5</v>
      </c>
      <c r="D22" s="2" t="s">
        <v>337</v>
      </c>
      <c r="G22">
        <v>2</v>
      </c>
      <c r="H22">
        <v>1</v>
      </c>
      <c r="L22">
        <f t="shared" si="2"/>
        <v>18</v>
      </c>
    </row>
    <row r="23" spans="1:14" x14ac:dyDescent="0.35">
      <c r="A23" s="2" t="s">
        <v>350</v>
      </c>
      <c r="B23">
        <v>0</v>
      </c>
      <c r="C23" s="2" t="s">
        <v>5</v>
      </c>
      <c r="D23" s="2" t="s">
        <v>351</v>
      </c>
      <c r="H23">
        <v>2</v>
      </c>
      <c r="L23">
        <f t="shared" si="2"/>
        <v>32</v>
      </c>
    </row>
    <row r="24" spans="1:14" x14ac:dyDescent="0.35">
      <c r="A24" s="2" t="s">
        <v>352</v>
      </c>
      <c r="C24" s="2" t="s">
        <v>5</v>
      </c>
      <c r="D24" s="2" t="s">
        <v>353</v>
      </c>
      <c r="F24">
        <v>1</v>
      </c>
      <c r="H24">
        <v>2</v>
      </c>
      <c r="L24">
        <f t="shared" si="2"/>
        <v>44</v>
      </c>
    </row>
    <row r="25" spans="1:14" x14ac:dyDescent="0.35">
      <c r="A25" s="2" t="s">
        <v>636</v>
      </c>
      <c r="C25" s="2"/>
      <c r="D25" s="2" t="s">
        <v>637</v>
      </c>
      <c r="E25" t="s">
        <v>638</v>
      </c>
      <c r="H25">
        <v>3</v>
      </c>
      <c r="I25">
        <v>1</v>
      </c>
      <c r="L25">
        <f t="shared" si="2"/>
        <v>62</v>
      </c>
    </row>
    <row r="26" spans="1:14" x14ac:dyDescent="0.35">
      <c r="A26" s="2" t="s">
        <v>382</v>
      </c>
      <c r="B26">
        <f>(('Composition (mass)'!R100)-(Variables!P3*0.001))/B39</f>
        <v>-7.4395554735230294E-5</v>
      </c>
      <c r="C26" s="2" t="s">
        <v>5</v>
      </c>
      <c r="D26" s="2" t="s">
        <v>20</v>
      </c>
      <c r="G26">
        <v>3</v>
      </c>
      <c r="I26">
        <v>1</v>
      </c>
      <c r="L26">
        <f t="shared" si="2"/>
        <v>17</v>
      </c>
    </row>
    <row r="27" spans="1:14" x14ac:dyDescent="0.35">
      <c r="A27" s="2" t="s">
        <v>354</v>
      </c>
      <c r="C27" s="2" t="s">
        <v>349</v>
      </c>
      <c r="D27" s="2" t="s">
        <v>368</v>
      </c>
    </row>
    <row r="28" spans="1:14" x14ac:dyDescent="0.35">
      <c r="A28" s="2" t="s">
        <v>355</v>
      </c>
      <c r="C28" s="2" t="s">
        <v>349</v>
      </c>
      <c r="D28" s="2" t="s">
        <v>369</v>
      </c>
    </row>
    <row r="29" spans="1:14" x14ac:dyDescent="0.35">
      <c r="A29" s="2" t="s">
        <v>356</v>
      </c>
      <c r="C29" s="2" t="s">
        <v>349</v>
      </c>
      <c r="D29" s="2" t="s">
        <v>370</v>
      </c>
    </row>
    <row r="30" spans="1:14" x14ac:dyDescent="0.35">
      <c r="A30" s="2" t="s">
        <v>357</v>
      </c>
      <c r="C30" s="2" t="s">
        <v>349</v>
      </c>
      <c r="D30" s="2" t="s">
        <v>371</v>
      </c>
      <c r="L30">
        <f>B26*(1+((4*0.001)/0.014))</f>
        <v>-9.5651427516724654E-5</v>
      </c>
      <c r="N30">
        <v>3.5595995545074102E-4</v>
      </c>
    </row>
    <row r="31" spans="1:14" x14ac:dyDescent="0.35">
      <c r="A31" s="2" t="s">
        <v>358</v>
      </c>
      <c r="C31" s="2" t="s">
        <v>349</v>
      </c>
      <c r="D31" s="2" t="s">
        <v>372</v>
      </c>
    </row>
    <row r="32" spans="1:14" x14ac:dyDescent="0.35">
      <c r="A32" s="2" t="s">
        <v>359</v>
      </c>
      <c r="C32" s="2" t="s">
        <v>349</v>
      </c>
      <c r="D32" s="2" t="s">
        <v>361</v>
      </c>
    </row>
    <row r="33" spans="1:4" x14ac:dyDescent="0.35">
      <c r="A33" s="2" t="s">
        <v>360</v>
      </c>
      <c r="C33" s="2" t="s">
        <v>349</v>
      </c>
      <c r="D33" s="2" t="s">
        <v>362</v>
      </c>
    </row>
    <row r="34" spans="1:4" x14ac:dyDescent="0.35">
      <c r="A34" s="2" t="s">
        <v>356</v>
      </c>
      <c r="C34" s="2" t="s">
        <v>349</v>
      </c>
      <c r="D34" s="2" t="s">
        <v>363</v>
      </c>
    </row>
    <row r="35" spans="1:4" x14ac:dyDescent="0.35">
      <c r="A35" s="2" t="s">
        <v>357</v>
      </c>
      <c r="C35" s="2" t="s">
        <v>349</v>
      </c>
      <c r="D35" s="2" t="s">
        <v>364</v>
      </c>
    </row>
    <row r="36" spans="1:4" x14ac:dyDescent="0.35">
      <c r="A36" s="2" t="s">
        <v>358</v>
      </c>
      <c r="C36" s="2" t="s">
        <v>349</v>
      </c>
      <c r="D36" s="2" t="s">
        <v>365</v>
      </c>
    </row>
    <row r="37" spans="1:4" x14ac:dyDescent="0.35">
      <c r="A37" s="2" t="s">
        <v>335</v>
      </c>
      <c r="C37" s="2" t="s">
        <v>366</v>
      </c>
      <c r="D37" s="2" t="s">
        <v>384</v>
      </c>
    </row>
    <row r="38" spans="1:4" x14ac:dyDescent="0.35">
      <c r="A38" s="2" t="s">
        <v>367</v>
      </c>
      <c r="C38" s="2" t="s">
        <v>366</v>
      </c>
      <c r="D38" s="2" t="s">
        <v>383</v>
      </c>
    </row>
    <row r="39" spans="1:4" x14ac:dyDescent="0.35">
      <c r="A39" s="2" t="s">
        <v>527</v>
      </c>
      <c r="B39">
        <f>'Composition (mass)'!C100</f>
        <v>117.64705882352942</v>
      </c>
      <c r="C39" s="2" t="s">
        <v>5</v>
      </c>
      <c r="D39" s="2" t="s">
        <v>526</v>
      </c>
    </row>
    <row r="40" spans="1:4" x14ac:dyDescent="0.35">
      <c r="A40" s="2" t="s">
        <v>557</v>
      </c>
      <c r="C40" s="2" t="s">
        <v>558</v>
      </c>
    </row>
    <row r="41" spans="1:4" x14ac:dyDescent="0.35">
      <c r="A41" s="2" t="s">
        <v>574</v>
      </c>
      <c r="B41" s="39">
        <v>2E-3</v>
      </c>
      <c r="C41" s="2" t="s">
        <v>575</v>
      </c>
      <c r="D41" s="2" t="s">
        <v>576</v>
      </c>
    </row>
    <row r="46" spans="1:4" x14ac:dyDescent="0.35">
      <c r="A46" t="s">
        <v>640</v>
      </c>
      <c r="B46">
        <f>SUM(O2:O7)</f>
        <v>8403.6978199741661</v>
      </c>
    </row>
    <row r="47" spans="1:4" x14ac:dyDescent="0.35">
      <c r="A47" t="s">
        <v>641</v>
      </c>
      <c r="B47">
        <f>(B46*0.001)/B39</f>
        <v>7.1431431469780413E-2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J26"/>
  <sheetViews>
    <sheetView topLeftCell="F1" workbookViewId="0">
      <selection activeCell="J36" sqref="J36"/>
    </sheetView>
  </sheetViews>
  <sheetFormatPr baseColWidth="10" defaultRowHeight="14.5" x14ac:dyDescent="0.35"/>
  <sheetData>
    <row r="1" spans="1:36" x14ac:dyDescent="0.35">
      <c r="B1" t="s">
        <v>603</v>
      </c>
      <c r="C1" t="s">
        <v>604</v>
      </c>
      <c r="D1" t="s">
        <v>605</v>
      </c>
      <c r="E1" t="s">
        <v>606</v>
      </c>
      <c r="F1" t="s">
        <v>607</v>
      </c>
      <c r="G1" t="s">
        <v>635</v>
      </c>
      <c r="H1" t="s">
        <v>617</v>
      </c>
    </row>
    <row r="2" spans="1:36" x14ac:dyDescent="0.35">
      <c r="A2" t="s">
        <v>579</v>
      </c>
      <c r="B2">
        <v>0.35</v>
      </c>
      <c r="C2">
        <f>(Variables!L14/Variables!L23)*(stoe!B3/(6-(5*stoe!B3)))</f>
        <v>0.61286157024793375</v>
      </c>
      <c r="D2">
        <f>(Variables!L14/Variables!L26)</f>
        <v>6.6470588235294121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618</v>
      </c>
      <c r="J2">
        <v>0.61286157024793375</v>
      </c>
      <c r="L2" t="s">
        <v>647</v>
      </c>
    </row>
    <row r="3" spans="1:36" x14ac:dyDescent="0.35">
      <c r="A3" t="s">
        <v>580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(Variables!L14/Variables!L24)*(stoe!B4/(16-(5*stoe!B4)))</f>
        <v>0.26543624161073825</v>
      </c>
      <c r="F3">
        <f>(Variables!L14/Variables!L22)*(stoe!B4/(6-(2*stoe!B4)))</f>
        <v>1.7919884666872614</v>
      </c>
      <c r="H3" t="s">
        <v>619</v>
      </c>
      <c r="J3">
        <v>0.34845814977973566</v>
      </c>
      <c r="L3">
        <v>0.61286157024793375</v>
      </c>
      <c r="M3">
        <v>0.34845814977973566</v>
      </c>
      <c r="N3">
        <v>0.15679878540876441</v>
      </c>
      <c r="O3">
        <v>0.61286157024793375</v>
      </c>
      <c r="P3">
        <v>0.34845814977973566</v>
      </c>
      <c r="Q3">
        <v>0.15679878540876441</v>
      </c>
      <c r="R3">
        <v>0.61286157024793375</v>
      </c>
      <c r="S3">
        <v>0.34845814977973566</v>
      </c>
      <c r="T3">
        <v>0.15679878540876441</v>
      </c>
      <c r="U3">
        <v>0.19196328081035452</v>
      </c>
      <c r="V3">
        <v>0.61286157024793375</v>
      </c>
      <c r="W3">
        <v>0.34845814977973566</v>
      </c>
      <c r="X3">
        <v>0.15679878540876441</v>
      </c>
      <c r="Y3">
        <v>0.19196328081035452</v>
      </c>
      <c r="Z3">
        <v>0.59266453382084072</v>
      </c>
      <c r="AA3">
        <v>0.34183471727955711</v>
      </c>
      <c r="AB3">
        <v>0.14872079850398687</v>
      </c>
      <c r="AC3">
        <v>0.18993587130957534</v>
      </c>
      <c r="AD3">
        <v>0.21008868149029522</v>
      </c>
      <c r="AE3">
        <v>0.59266453382084072</v>
      </c>
      <c r="AF3">
        <v>0.34183471727955711</v>
      </c>
      <c r="AG3">
        <v>0.14872079850398687</v>
      </c>
      <c r="AH3">
        <v>0.18993587130957534</v>
      </c>
      <c r="AI3">
        <v>0.21008868149029522</v>
      </c>
      <c r="AJ3">
        <v>4.0522540983606553E-2</v>
      </c>
    </row>
    <row r="4" spans="1:36" x14ac:dyDescent="0.35">
      <c r="A4" t="s">
        <v>581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620</v>
      </c>
      <c r="J4">
        <v>0.15679878540876441</v>
      </c>
    </row>
    <row r="5" spans="1:36" x14ac:dyDescent="0.35">
      <c r="A5" t="s">
        <v>582</v>
      </c>
      <c r="B5">
        <v>0.35</v>
      </c>
      <c r="C5">
        <f t="shared" ref="C5:F7" si="0">C2</f>
        <v>0.61286157024793375</v>
      </c>
      <c r="D5">
        <f t="shared" si="0"/>
        <v>6.6470588235294121</v>
      </c>
      <c r="E5">
        <f t="shared" si="0"/>
        <v>0.44571750563486096</v>
      </c>
      <c r="F5">
        <f t="shared" si="0"/>
        <v>0.71648550724637672</v>
      </c>
      <c r="H5" t="s">
        <v>621</v>
      </c>
      <c r="J5">
        <v>0.61286157024793375</v>
      </c>
    </row>
    <row r="6" spans="1:36" x14ac:dyDescent="0.35">
      <c r="A6" t="s">
        <v>583</v>
      </c>
      <c r="B6">
        <v>0.35</v>
      </c>
      <c r="C6">
        <f t="shared" si="0"/>
        <v>0.34845814977973566</v>
      </c>
      <c r="D6">
        <f t="shared" si="0"/>
        <v>2.4906254472591955</v>
      </c>
      <c r="E6">
        <f t="shared" si="0"/>
        <v>0.26543624161073825</v>
      </c>
      <c r="F6">
        <f t="shared" si="0"/>
        <v>1.7919884666872614</v>
      </c>
      <c r="H6" t="s">
        <v>622</v>
      </c>
      <c r="J6">
        <v>0.34845814977973566</v>
      </c>
      <c r="L6">
        <v>6.6470588235294104</v>
      </c>
      <c r="M6">
        <v>0.70588235294117652</v>
      </c>
      <c r="N6">
        <v>2.4906254472591955</v>
      </c>
      <c r="O6">
        <v>6.6470588235294121</v>
      </c>
      <c r="P6">
        <v>0.70588235294117652</v>
      </c>
      <c r="Q6">
        <v>2.4906254472591955</v>
      </c>
      <c r="R6">
        <v>6.6470588235294121</v>
      </c>
      <c r="S6">
        <v>0.70588235294117652</v>
      </c>
      <c r="T6">
        <v>2.4906254472591955</v>
      </c>
      <c r="U6">
        <v>6.6470588235294121</v>
      </c>
      <c r="V6">
        <v>6.6470588235294121</v>
      </c>
      <c r="W6">
        <v>0.70588235294117652</v>
      </c>
      <c r="X6">
        <v>2.4906254472591955</v>
      </c>
      <c r="Y6">
        <v>6.6470588235294121</v>
      </c>
      <c r="Z6">
        <v>6.6470588235294121</v>
      </c>
      <c r="AA6">
        <v>14.529411764705882</v>
      </c>
      <c r="AB6">
        <v>2.0698699461283123</v>
      </c>
      <c r="AC6">
        <v>14.529411764705882</v>
      </c>
      <c r="AD6">
        <v>14.529411764705882</v>
      </c>
      <c r="AE6">
        <v>14.529411764705882</v>
      </c>
      <c r="AF6">
        <v>14.529411764705882</v>
      </c>
      <c r="AG6">
        <v>2.0698699461283123</v>
      </c>
      <c r="AH6">
        <v>14.529411764705882</v>
      </c>
      <c r="AI6">
        <v>14.529411764705882</v>
      </c>
      <c r="AJ6">
        <v>14.529411764705882</v>
      </c>
    </row>
    <row r="7" spans="1:36" x14ac:dyDescent="0.35">
      <c r="A7" t="s">
        <v>584</v>
      </c>
      <c r="B7">
        <v>0.35</v>
      </c>
      <c r="C7">
        <f t="shared" si="0"/>
        <v>0.15679878540876441</v>
      </c>
      <c r="D7">
        <f t="shared" si="0"/>
        <v>6.6470588235294121</v>
      </c>
      <c r="E7">
        <f t="shared" si="0"/>
        <v>0.16528408426291219</v>
      </c>
      <c r="F7">
        <f t="shared" si="0"/>
        <v>0.38083634706418507</v>
      </c>
      <c r="H7" t="s">
        <v>623</v>
      </c>
      <c r="J7">
        <v>0.15679878540876441</v>
      </c>
    </row>
    <row r="8" spans="1:36" x14ac:dyDescent="0.35">
      <c r="A8" t="s">
        <v>585</v>
      </c>
      <c r="B8">
        <v>0.35</v>
      </c>
      <c r="C8">
        <f t="shared" ref="C8:F10" si="1">C2</f>
        <v>0.61286157024793375</v>
      </c>
      <c r="D8">
        <f t="shared" si="1"/>
        <v>6.6470588235294121</v>
      </c>
      <c r="E8">
        <f t="shared" si="1"/>
        <v>0.44571750563486096</v>
      </c>
      <c r="F8">
        <f t="shared" si="1"/>
        <v>0.71648550724637672</v>
      </c>
      <c r="H8" t="s">
        <v>624</v>
      </c>
      <c r="J8">
        <v>0.61286157024793375</v>
      </c>
    </row>
    <row r="9" spans="1:36" x14ac:dyDescent="0.35">
      <c r="A9" t="s">
        <v>586</v>
      </c>
      <c r="B9">
        <v>0.35</v>
      </c>
      <c r="C9">
        <f t="shared" si="1"/>
        <v>0.34845814977973566</v>
      </c>
      <c r="D9">
        <f t="shared" si="1"/>
        <v>2.4906254472591955</v>
      </c>
      <c r="E9">
        <f t="shared" si="1"/>
        <v>0.26543624161073825</v>
      </c>
      <c r="F9">
        <f t="shared" si="1"/>
        <v>1.7919884666872614</v>
      </c>
      <c r="H9" t="s">
        <v>625</v>
      </c>
      <c r="J9">
        <v>0.34845814977973566</v>
      </c>
    </row>
    <row r="10" spans="1:36" x14ac:dyDescent="0.35">
      <c r="A10" t="s">
        <v>587</v>
      </c>
      <c r="B10">
        <v>0.35</v>
      </c>
      <c r="C10">
        <f t="shared" si="1"/>
        <v>0.15679878540876441</v>
      </c>
      <c r="D10">
        <f t="shared" si="1"/>
        <v>6.6470588235294121</v>
      </c>
      <c r="E10">
        <f t="shared" si="1"/>
        <v>0.16528408426291219</v>
      </c>
      <c r="F10">
        <f t="shared" si="1"/>
        <v>0.38083634706418507</v>
      </c>
      <c r="H10" t="s">
        <v>626</v>
      </c>
      <c r="J10">
        <v>0.15679878540876441</v>
      </c>
    </row>
    <row r="11" spans="1:36" x14ac:dyDescent="0.35">
      <c r="A11" t="s">
        <v>588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627</v>
      </c>
      <c r="J11">
        <v>0.19196328081035452</v>
      </c>
    </row>
    <row r="12" spans="1:36" x14ac:dyDescent="0.35">
      <c r="A12" t="s">
        <v>589</v>
      </c>
      <c r="B12">
        <v>0.35</v>
      </c>
      <c r="C12">
        <f t="shared" ref="C12:F14" si="2">C2</f>
        <v>0.61286157024793375</v>
      </c>
      <c r="D12">
        <f t="shared" si="2"/>
        <v>6.6470588235294121</v>
      </c>
      <c r="E12">
        <f t="shared" si="2"/>
        <v>0.44571750563486096</v>
      </c>
      <c r="F12">
        <f t="shared" si="2"/>
        <v>0.71648550724637672</v>
      </c>
      <c r="H12" t="s">
        <v>628</v>
      </c>
      <c r="J12">
        <v>0.61286157024793375</v>
      </c>
    </row>
    <row r="13" spans="1:36" x14ac:dyDescent="0.35">
      <c r="A13" t="s">
        <v>590</v>
      </c>
      <c r="B13">
        <v>0.35</v>
      </c>
      <c r="C13">
        <f t="shared" si="2"/>
        <v>0.34845814977973566</v>
      </c>
      <c r="D13">
        <f t="shared" si="2"/>
        <v>2.4906254472591955</v>
      </c>
      <c r="E13">
        <f t="shared" si="2"/>
        <v>0.26543624161073825</v>
      </c>
      <c r="F13">
        <f t="shared" si="2"/>
        <v>1.7919884666872614</v>
      </c>
      <c r="H13" t="s">
        <v>629</v>
      </c>
      <c r="J13">
        <v>0.34845814977973566</v>
      </c>
    </row>
    <row r="14" spans="1:36" x14ac:dyDescent="0.35">
      <c r="A14" t="s">
        <v>591</v>
      </c>
      <c r="B14">
        <v>0.35</v>
      </c>
      <c r="C14">
        <f t="shared" si="2"/>
        <v>0.15679878540876441</v>
      </c>
      <c r="D14">
        <f t="shared" si="2"/>
        <v>6.6470588235294121</v>
      </c>
      <c r="E14">
        <f t="shared" si="2"/>
        <v>0.16528408426291219</v>
      </c>
      <c r="F14">
        <f t="shared" si="2"/>
        <v>0.38083634706418507</v>
      </c>
      <c r="H14" t="s">
        <v>630</v>
      </c>
      <c r="J14">
        <v>0.15679878540876441</v>
      </c>
    </row>
    <row r="15" spans="1:36" x14ac:dyDescent="0.35">
      <c r="A15" t="s">
        <v>592</v>
      </c>
      <c r="B15">
        <v>0.35</v>
      </c>
      <c r="C15">
        <f>C11</f>
        <v>0.19196328081035452</v>
      </c>
      <c r="D15">
        <f>D11</f>
        <v>6.6470588235294121</v>
      </c>
      <c r="E15">
        <f>E11</f>
        <v>0.13960965877116693</v>
      </c>
      <c r="F15">
        <f>F11</f>
        <v>0.32944009850789513</v>
      </c>
      <c r="H15" t="s">
        <v>631</v>
      </c>
      <c r="J15">
        <v>0.19196328081035452</v>
      </c>
    </row>
    <row r="16" spans="1:36" x14ac:dyDescent="0.35">
      <c r="A16" t="s">
        <v>593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632</v>
      </c>
      <c r="J16">
        <v>0.59266453382084072</v>
      </c>
    </row>
    <row r="17" spans="1:10" x14ac:dyDescent="0.35">
      <c r="A17" t="s">
        <v>594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608</v>
      </c>
      <c r="J17">
        <v>0.34183471727955711</v>
      </c>
    </row>
    <row r="18" spans="1:10" x14ac:dyDescent="0.35">
      <c r="A18" t="s">
        <v>595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610</v>
      </c>
      <c r="J18">
        <v>0.14872079850398687</v>
      </c>
    </row>
    <row r="19" spans="1:10" x14ac:dyDescent="0.35">
      <c r="A19" t="s">
        <v>596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612</v>
      </c>
      <c r="J19">
        <v>0.18993587130957534</v>
      </c>
    </row>
    <row r="20" spans="1:10" x14ac:dyDescent="0.35">
      <c r="A20" t="s">
        <v>597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614</v>
      </c>
      <c r="J20">
        <v>0.21008868149029522</v>
      </c>
    </row>
    <row r="21" spans="1:10" x14ac:dyDescent="0.35">
      <c r="A21" t="s">
        <v>598</v>
      </c>
      <c r="B21">
        <v>0.35</v>
      </c>
      <c r="C21">
        <f t="shared" ref="C21:F25" si="3">C16</f>
        <v>0.59266453382084072</v>
      </c>
      <c r="D21">
        <f t="shared" si="3"/>
        <v>14.529411764705882</v>
      </c>
      <c r="E21">
        <f t="shared" si="3"/>
        <v>0.41509282970550565</v>
      </c>
      <c r="F21">
        <f t="shared" si="3"/>
        <v>0.83045148895292964</v>
      </c>
      <c r="H21" t="s">
        <v>615</v>
      </c>
      <c r="J21">
        <v>0.59266453382084072</v>
      </c>
    </row>
    <row r="22" spans="1:10" x14ac:dyDescent="0.35">
      <c r="A22" t="s">
        <v>599</v>
      </c>
      <c r="B22">
        <v>0.35</v>
      </c>
      <c r="C22">
        <f t="shared" si="3"/>
        <v>0.34183471727955711</v>
      </c>
      <c r="D22">
        <f t="shared" si="3"/>
        <v>2.0698699461283123</v>
      </c>
      <c r="E22">
        <f t="shared" si="3"/>
        <v>0.25426470588235289</v>
      </c>
      <c r="F22">
        <f t="shared" si="3"/>
        <v>2.7284986729789824</v>
      </c>
      <c r="H22" t="s">
        <v>609</v>
      </c>
      <c r="J22">
        <v>0.34183471727955711</v>
      </c>
    </row>
    <row r="23" spans="1:10" x14ac:dyDescent="0.35">
      <c r="A23" t="s">
        <v>600</v>
      </c>
      <c r="B23">
        <v>0.35</v>
      </c>
      <c r="C23">
        <f t="shared" si="3"/>
        <v>0.14872079850398687</v>
      </c>
      <c r="D23">
        <f t="shared" si="3"/>
        <v>14.529411764705882</v>
      </c>
      <c r="E23">
        <f t="shared" si="3"/>
        <v>0.16088252564187555</v>
      </c>
      <c r="F23">
        <f t="shared" si="3"/>
        <v>0.41080205601442249</v>
      </c>
      <c r="H23" t="s">
        <v>611</v>
      </c>
      <c r="J23">
        <v>0.14872079850398687</v>
      </c>
    </row>
    <row r="24" spans="1:10" x14ac:dyDescent="0.35">
      <c r="A24" t="s">
        <v>601</v>
      </c>
      <c r="B24">
        <v>0.35</v>
      </c>
      <c r="C24">
        <f t="shared" si="3"/>
        <v>0.18993587130957534</v>
      </c>
      <c r="D24">
        <f t="shared" si="3"/>
        <v>14.529411764705882</v>
      </c>
      <c r="E24">
        <f t="shared" si="3"/>
        <v>0.13645628402800014</v>
      </c>
      <c r="F24">
        <f t="shared" si="3"/>
        <v>0.35162784939961444</v>
      </c>
      <c r="H24" t="s">
        <v>613</v>
      </c>
      <c r="J24">
        <v>0.18993587130957534</v>
      </c>
    </row>
    <row r="25" spans="1:10" x14ac:dyDescent="0.35">
      <c r="A25" t="s">
        <v>602</v>
      </c>
      <c r="B25">
        <v>0.35</v>
      </c>
      <c r="C25">
        <f t="shared" si="3"/>
        <v>0.21008868149029522</v>
      </c>
      <c r="D25">
        <f t="shared" si="3"/>
        <v>14.529411764705882</v>
      </c>
      <c r="E25">
        <f t="shared" si="3"/>
        <v>0.19653096971353326</v>
      </c>
      <c r="F25">
        <f t="shared" si="3"/>
        <v>0.6259362128927346</v>
      </c>
      <c r="H25" t="s">
        <v>616</v>
      </c>
      <c r="J25">
        <v>0.21008868149029522</v>
      </c>
    </row>
    <row r="26" spans="1:10" x14ac:dyDescent="0.35">
      <c r="A26" t="s">
        <v>633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634</v>
      </c>
      <c r="J26">
        <v>4.0522540983606553E-2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388</v>
      </c>
      <c r="B1" t="s">
        <v>389</v>
      </c>
    </row>
    <row r="2" spans="1:3" x14ac:dyDescent="0.35">
      <c r="A2" t="s">
        <v>390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386</v>
      </c>
      <c r="B12" s="2">
        <v>0.2</v>
      </c>
    </row>
    <row r="13" spans="1:3" x14ac:dyDescent="0.35">
      <c r="A13" s="2" t="s">
        <v>432</v>
      </c>
      <c r="B13">
        <v>1.83</v>
      </c>
      <c r="C13" t="s">
        <v>438</v>
      </c>
    </row>
    <row r="14" spans="1:3" x14ac:dyDescent="0.35">
      <c r="A14" s="2" t="s">
        <v>433</v>
      </c>
      <c r="B14">
        <v>1.98</v>
      </c>
    </row>
    <row r="15" spans="1:3" x14ac:dyDescent="0.35">
      <c r="A15" s="2" t="s">
        <v>434</v>
      </c>
      <c r="B15">
        <v>2.1000000000000001E-2</v>
      </c>
    </row>
    <row r="16" spans="1:3" x14ac:dyDescent="0.35">
      <c r="A16" s="2" t="s">
        <v>435</v>
      </c>
      <c r="B16">
        <v>1.0409999999999999</v>
      </c>
    </row>
    <row r="17" spans="1:2" x14ac:dyDescent="0.35">
      <c r="A17" s="2" t="s">
        <v>436</v>
      </c>
      <c r="B17">
        <v>0.98</v>
      </c>
    </row>
    <row r="18" spans="1:2" x14ac:dyDescent="0.35">
      <c r="A18" s="2" t="s">
        <v>437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opLeftCell="A20" workbookViewId="0">
      <selection activeCell="D61" sqref="D61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502</v>
      </c>
      <c r="G1" s="1" t="s">
        <v>503</v>
      </c>
      <c r="H1" s="1" t="s">
        <v>500</v>
      </c>
      <c r="I1" s="1" t="s">
        <v>501</v>
      </c>
    </row>
    <row r="2" spans="1:11" x14ac:dyDescent="0.35">
      <c r="A2" s="2" t="s">
        <v>488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507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489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507</v>
      </c>
      <c r="K3" s="2">
        <f t="shared" si="0"/>
        <v>0.48</v>
      </c>
    </row>
    <row r="4" spans="1:11" x14ac:dyDescent="0.35">
      <c r="A4" s="2" t="s">
        <v>490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507</v>
      </c>
      <c r="K4" s="2">
        <f t="shared" si="0"/>
        <v>0.24</v>
      </c>
    </row>
    <row r="5" spans="1:11" x14ac:dyDescent="0.35">
      <c r="A5" s="2" t="s">
        <v>491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507</v>
      </c>
      <c r="K5" s="2">
        <f t="shared" si="0"/>
        <v>0.48</v>
      </c>
    </row>
    <row r="6" spans="1:11" x14ac:dyDescent="0.35">
      <c r="A6" s="2" t="s">
        <v>492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507</v>
      </c>
      <c r="K6" s="2">
        <f t="shared" si="0"/>
        <v>0.96</v>
      </c>
    </row>
    <row r="7" spans="1:11" x14ac:dyDescent="0.35">
      <c r="A7" s="2" t="s">
        <v>493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507</v>
      </c>
      <c r="K7" s="2">
        <f t="shared" si="0"/>
        <v>0.24</v>
      </c>
    </row>
    <row r="8" spans="1:11" x14ac:dyDescent="0.35">
      <c r="A8" s="2" t="s">
        <v>494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507</v>
      </c>
      <c r="K8" s="2">
        <f t="shared" si="0"/>
        <v>0.21599999999999997</v>
      </c>
    </row>
    <row r="9" spans="1:11" x14ac:dyDescent="0.35">
      <c r="A9" s="2" t="s">
        <v>495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507</v>
      </c>
      <c r="K9" s="2">
        <f t="shared" si="0"/>
        <v>0.16800000000000001</v>
      </c>
    </row>
    <row r="10" spans="1:11" x14ac:dyDescent="0.35">
      <c r="A10" s="2" t="s">
        <v>496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507</v>
      </c>
      <c r="K10" s="2">
        <f t="shared" si="0"/>
        <v>0.16800000000000001</v>
      </c>
    </row>
    <row r="11" spans="1:11" x14ac:dyDescent="0.35">
      <c r="A11" s="2" t="s">
        <v>497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507</v>
      </c>
      <c r="K11" s="2">
        <f t="shared" si="0"/>
        <v>0.21599999999999997</v>
      </c>
    </row>
    <row r="12" spans="1:11" x14ac:dyDescent="0.35">
      <c r="A12" s="2" t="s">
        <v>498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507</v>
      </c>
      <c r="K12" s="2">
        <f t="shared" si="0"/>
        <v>0.16800000000000001</v>
      </c>
    </row>
    <row r="13" spans="1:11" x14ac:dyDescent="0.35">
      <c r="A13" s="2" t="s">
        <v>499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507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507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507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507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507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507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507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507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507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507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507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507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507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507</v>
      </c>
      <c r="K26" s="2">
        <f t="shared" si="0"/>
        <v>0.06</v>
      </c>
    </row>
    <row r="27" spans="1:11" x14ac:dyDescent="0.35">
      <c r="A27" s="23" t="s">
        <v>430</v>
      </c>
      <c r="B27" s="23">
        <v>0.03</v>
      </c>
      <c r="C27" s="23" t="s">
        <v>255</v>
      </c>
      <c r="D27" s="23" t="s">
        <v>431</v>
      </c>
      <c r="E27" s="23">
        <v>25</v>
      </c>
      <c r="F27" s="23" t="s">
        <v>504</v>
      </c>
      <c r="G27" s="23" t="s">
        <v>505</v>
      </c>
    </row>
    <row r="28" spans="1:11" x14ac:dyDescent="0.35">
      <c r="A28" s="27" t="s">
        <v>439</v>
      </c>
      <c r="B28" s="2">
        <v>4.2000000000000003E-2</v>
      </c>
      <c r="C28" s="2" t="s">
        <v>535</v>
      </c>
      <c r="D28" s="2" t="s">
        <v>441</v>
      </c>
      <c r="E28" s="23">
        <v>26</v>
      </c>
      <c r="F28" s="23" t="s">
        <v>504</v>
      </c>
      <c r="G28" s="23" t="s">
        <v>506</v>
      </c>
      <c r="H28" s="27">
        <v>1</v>
      </c>
      <c r="I28" s="27" t="s">
        <v>440</v>
      </c>
    </row>
    <row r="29" spans="1:11" x14ac:dyDescent="0.35">
      <c r="A29" s="2" t="s">
        <v>442</v>
      </c>
      <c r="B29" s="2">
        <v>8.3000000000000001E-3</v>
      </c>
      <c r="C29" s="23" t="s">
        <v>255</v>
      </c>
      <c r="D29" s="2" t="s">
        <v>443</v>
      </c>
      <c r="E29" s="23">
        <v>27</v>
      </c>
      <c r="F29" s="23" t="s">
        <v>504</v>
      </c>
      <c r="G29" s="23" t="s">
        <v>505</v>
      </c>
    </row>
    <row r="30" spans="1:11" hidden="1" x14ac:dyDescent="0.35">
      <c r="A30" s="2" t="s">
        <v>373</v>
      </c>
      <c r="B30" s="24">
        <v>9.9999999999999995E-8</v>
      </c>
      <c r="C30" s="2" t="s">
        <v>374</v>
      </c>
      <c r="D30" s="2" t="s">
        <v>379</v>
      </c>
      <c r="E30" s="23">
        <v>25</v>
      </c>
      <c r="F30" s="2" t="s">
        <v>507</v>
      </c>
    </row>
    <row r="31" spans="1:11" hidden="1" x14ac:dyDescent="0.35">
      <c r="A31" s="2" t="s">
        <v>375</v>
      </c>
      <c r="B31" s="24">
        <v>9.9999999999999995E-7</v>
      </c>
      <c r="C31" s="2" t="s">
        <v>374</v>
      </c>
      <c r="D31" s="2" t="s">
        <v>378</v>
      </c>
      <c r="E31" s="23">
        <v>26</v>
      </c>
      <c r="F31" s="2" t="s">
        <v>507</v>
      </c>
    </row>
    <row r="32" spans="1:11" hidden="1" x14ac:dyDescent="0.35">
      <c r="A32" s="2" t="s">
        <v>376</v>
      </c>
      <c r="B32" s="24">
        <v>9.9999999999999995E-8</v>
      </c>
      <c r="C32" s="2" t="s">
        <v>374</v>
      </c>
      <c r="D32" s="2" t="s">
        <v>380</v>
      </c>
      <c r="E32" s="23">
        <v>27</v>
      </c>
      <c r="F32" s="2" t="s">
        <v>507</v>
      </c>
    </row>
    <row r="33" spans="1:8" hidden="1" x14ac:dyDescent="0.35">
      <c r="A33" s="2" t="s">
        <v>377</v>
      </c>
      <c r="B33" s="24">
        <v>9.9999999999999995E-8</v>
      </c>
      <c r="C33" s="2" t="s">
        <v>374</v>
      </c>
      <c r="D33" s="2" t="s">
        <v>381</v>
      </c>
      <c r="E33" s="23">
        <v>28</v>
      </c>
      <c r="F33" s="2" t="s">
        <v>507</v>
      </c>
    </row>
    <row r="34" spans="1:8" x14ac:dyDescent="0.35">
      <c r="A34" s="2" t="s">
        <v>391</v>
      </c>
      <c r="B34" s="24">
        <v>1E-4</v>
      </c>
      <c r="C34" s="2" t="s">
        <v>529</v>
      </c>
      <c r="D34" s="2" t="s">
        <v>518</v>
      </c>
      <c r="E34" s="23">
        <v>29</v>
      </c>
      <c r="F34" s="2" t="s">
        <v>507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507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507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507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507</v>
      </c>
    </row>
    <row r="39" spans="1:8" x14ac:dyDescent="0.35">
      <c r="A39" s="2" t="s">
        <v>427</v>
      </c>
      <c r="B39" s="2">
        <v>57.2</v>
      </c>
      <c r="C39" s="2" t="s">
        <v>323</v>
      </c>
      <c r="D39" s="2" t="s">
        <v>330</v>
      </c>
      <c r="F39" s="2" t="s">
        <v>507</v>
      </c>
    </row>
    <row r="40" spans="1:8" x14ac:dyDescent="0.35">
      <c r="A40" s="2" t="s">
        <v>426</v>
      </c>
      <c r="B40" s="2">
        <v>65.5</v>
      </c>
      <c r="C40" s="23" t="s">
        <v>323</v>
      </c>
      <c r="D40" s="2" t="s">
        <v>331</v>
      </c>
      <c r="F40" s="2" t="s">
        <v>507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346</v>
      </c>
    </row>
    <row r="42" spans="1:8" s="26" customFormat="1" x14ac:dyDescent="0.35">
      <c r="A42" s="28" t="s">
        <v>532</v>
      </c>
      <c r="B42" s="26">
        <v>0.2</v>
      </c>
      <c r="C42" s="26" t="s">
        <v>533</v>
      </c>
      <c r="D42" s="28" t="s">
        <v>525</v>
      </c>
      <c r="F42" s="2" t="s">
        <v>507</v>
      </c>
      <c r="G42" s="28">
        <v>6.4000000000000003E-3</v>
      </c>
      <c r="H42" s="28" t="s">
        <v>648</v>
      </c>
    </row>
    <row r="43" spans="1:8" s="26" customFormat="1" hidden="1" x14ac:dyDescent="0.35">
      <c r="A43" s="28" t="s">
        <v>336</v>
      </c>
      <c r="B43" s="29">
        <v>0.4</v>
      </c>
      <c r="C43" s="28" t="s">
        <v>341</v>
      </c>
      <c r="D43" s="28" t="s">
        <v>338</v>
      </c>
      <c r="F43" s="2" t="s">
        <v>507</v>
      </c>
    </row>
    <row r="44" spans="1:8" s="26" customFormat="1" hidden="1" x14ac:dyDescent="0.35">
      <c r="A44" s="28" t="s">
        <v>339</v>
      </c>
      <c r="B44" s="28">
        <v>0.6</v>
      </c>
      <c r="C44" s="28" t="s">
        <v>341</v>
      </c>
      <c r="D44" s="28" t="s">
        <v>340</v>
      </c>
      <c r="F44" s="2" t="s">
        <v>507</v>
      </c>
    </row>
    <row r="45" spans="1:8" s="26" customFormat="1" x14ac:dyDescent="0.35">
      <c r="A45" s="27" t="s">
        <v>343</v>
      </c>
      <c r="C45" s="27" t="s">
        <v>334</v>
      </c>
      <c r="D45" s="27" t="s">
        <v>344</v>
      </c>
      <c r="E45" s="26" t="s">
        <v>346</v>
      </c>
      <c r="F45" s="2" t="s">
        <v>507</v>
      </c>
    </row>
    <row r="46" spans="1:8" x14ac:dyDescent="0.35">
      <c r="A46" s="2" t="s">
        <v>345</v>
      </c>
      <c r="B46" s="24">
        <v>4.9999999999999998E-8</v>
      </c>
      <c r="C46" s="2" t="s">
        <v>528</v>
      </c>
      <c r="D46" s="2" t="s">
        <v>531</v>
      </c>
      <c r="F46" s="2" t="s">
        <v>507</v>
      </c>
    </row>
    <row r="47" spans="1:8" x14ac:dyDescent="0.35">
      <c r="A47" s="2" t="s">
        <v>347</v>
      </c>
      <c r="B47" s="24">
        <v>6.2000000000000003E-5</v>
      </c>
      <c r="C47" s="2" t="s">
        <v>528</v>
      </c>
      <c r="D47" s="2" t="s">
        <v>348</v>
      </c>
      <c r="F47" s="2" t="s">
        <v>507</v>
      </c>
    </row>
    <row r="48" spans="1:8" x14ac:dyDescent="0.35">
      <c r="A48" s="23" t="s">
        <v>534</v>
      </c>
      <c r="B48" s="36">
        <v>8.4000000000000005E-2</v>
      </c>
      <c r="C48" s="2" t="s">
        <v>528</v>
      </c>
    </row>
    <row r="49" spans="1:8" s="34" customFormat="1" hidden="1" x14ac:dyDescent="0.35">
      <c r="A49" s="34" t="s">
        <v>402</v>
      </c>
      <c r="B49" s="34">
        <v>404</v>
      </c>
      <c r="C49" s="34" t="s">
        <v>403</v>
      </c>
      <c r="D49" s="34" t="s">
        <v>404</v>
      </c>
      <c r="E49" s="34" t="s">
        <v>405</v>
      </c>
    </row>
    <row r="50" spans="1:8" s="34" customFormat="1" hidden="1" x14ac:dyDescent="0.35">
      <c r="A50" s="34" t="s">
        <v>406</v>
      </c>
      <c r="B50" s="34">
        <v>1005</v>
      </c>
      <c r="C50" s="34" t="s">
        <v>408</v>
      </c>
      <c r="D50" s="34" t="s">
        <v>407</v>
      </c>
      <c r="E50" s="34" t="s">
        <v>409</v>
      </c>
    </row>
    <row r="51" spans="1:8" s="34" customFormat="1" hidden="1" x14ac:dyDescent="0.35">
      <c r="A51" s="34" t="s">
        <v>413</v>
      </c>
      <c r="B51" s="34">
        <v>710</v>
      </c>
      <c r="C51" s="34" t="s">
        <v>408</v>
      </c>
      <c r="D51" s="34" t="s">
        <v>422</v>
      </c>
      <c r="E51" s="34" t="s">
        <v>420</v>
      </c>
      <c r="F51" s="34" t="s">
        <v>423</v>
      </c>
    </row>
    <row r="52" spans="1:8" s="34" customFormat="1" hidden="1" x14ac:dyDescent="0.35">
      <c r="A52" s="34" t="s">
        <v>414</v>
      </c>
      <c r="B52" s="34">
        <v>1000</v>
      </c>
      <c r="C52" s="34" t="s">
        <v>408</v>
      </c>
    </row>
    <row r="53" spans="1:8" s="34" customFormat="1" hidden="1" x14ac:dyDescent="0.35">
      <c r="A53" s="34" t="s">
        <v>415</v>
      </c>
      <c r="B53" s="35">
        <v>1260</v>
      </c>
      <c r="C53" s="34" t="s">
        <v>408</v>
      </c>
      <c r="D53" s="34" t="s">
        <v>418</v>
      </c>
      <c r="E53" s="34" t="s">
        <v>419</v>
      </c>
    </row>
    <row r="54" spans="1:8" s="34" customFormat="1" hidden="1" x14ac:dyDescent="0.35">
      <c r="A54" s="34" t="s">
        <v>416</v>
      </c>
      <c r="B54" s="34">
        <v>1542</v>
      </c>
      <c r="C54" s="34" t="s">
        <v>408</v>
      </c>
      <c r="D54" s="34" t="s">
        <v>424</v>
      </c>
      <c r="E54" s="34" t="s">
        <v>425</v>
      </c>
    </row>
    <row r="55" spans="1:8" s="34" customFormat="1" hidden="1" x14ac:dyDescent="0.35">
      <c r="A55" s="34" t="s">
        <v>417</v>
      </c>
      <c r="B55" s="34">
        <v>1305</v>
      </c>
      <c r="C55" s="34" t="s">
        <v>408</v>
      </c>
      <c r="E55" s="34" t="s">
        <v>421</v>
      </c>
    </row>
    <row r="56" spans="1:8" x14ac:dyDescent="0.35">
      <c r="A56" s="2" t="s">
        <v>428</v>
      </c>
      <c r="B56" s="23">
        <v>0.2</v>
      </c>
      <c r="C56"/>
      <c r="D56" s="2" t="s">
        <v>429</v>
      </c>
      <c r="E56" s="23">
        <v>54</v>
      </c>
      <c r="F56" s="23" t="s">
        <v>504</v>
      </c>
      <c r="G56" s="23" t="s">
        <v>505</v>
      </c>
    </row>
    <row r="57" spans="1:8" x14ac:dyDescent="0.35">
      <c r="A57" s="26" t="s">
        <v>536</v>
      </c>
      <c r="B57" s="26">
        <v>0.2</v>
      </c>
      <c r="C57" s="26" t="s">
        <v>445</v>
      </c>
      <c r="D57" s="27" t="s">
        <v>446</v>
      </c>
      <c r="F57" s="23" t="s">
        <v>504</v>
      </c>
      <c r="G57" s="23" t="s">
        <v>537</v>
      </c>
    </row>
    <row r="58" spans="1:8" x14ac:dyDescent="0.35">
      <c r="A58" s="23" t="s">
        <v>470</v>
      </c>
      <c r="B58" s="38">
        <v>5.352E-4</v>
      </c>
      <c r="C58" s="26" t="s">
        <v>555</v>
      </c>
      <c r="D58" s="27" t="s">
        <v>487</v>
      </c>
      <c r="F58" s="37" t="s">
        <v>556</v>
      </c>
    </row>
    <row r="59" spans="1:8" x14ac:dyDescent="0.35">
      <c r="A59" s="23" t="s">
        <v>486</v>
      </c>
      <c r="B59" s="26">
        <v>0.72</v>
      </c>
      <c r="C59" s="26" t="s">
        <v>528</v>
      </c>
      <c r="D59" s="27" t="s">
        <v>508</v>
      </c>
      <c r="F59" s="23" t="s">
        <v>554</v>
      </c>
      <c r="G59" s="23" t="s">
        <v>506</v>
      </c>
    </row>
    <row r="60" spans="1:8" x14ac:dyDescent="0.35">
      <c r="A60" s="23" t="s">
        <v>513</v>
      </c>
      <c r="B60" s="26">
        <v>3.3000000000000002E-2</v>
      </c>
      <c r="C60" s="23" t="s">
        <v>533</v>
      </c>
      <c r="D60" s="23" t="s">
        <v>514</v>
      </c>
      <c r="F60" s="23" t="s">
        <v>554</v>
      </c>
    </row>
    <row r="61" spans="1:8" x14ac:dyDescent="0.35">
      <c r="A61" s="23" t="s">
        <v>515</v>
      </c>
      <c r="B61" s="38">
        <v>400000</v>
      </c>
      <c r="C61" s="23" t="s">
        <v>553</v>
      </c>
      <c r="D61" s="23" t="s">
        <v>516</v>
      </c>
      <c r="F61" s="23" t="s">
        <v>517</v>
      </c>
    </row>
    <row r="62" spans="1:8" x14ac:dyDescent="0.35">
      <c r="A62" s="23" t="s">
        <v>524</v>
      </c>
      <c r="B62" s="36">
        <v>1.9000000000000001E-5</v>
      </c>
      <c r="C62" s="23" t="s">
        <v>533</v>
      </c>
      <c r="G62" s="38">
        <v>6.0800000000000004E-7</v>
      </c>
      <c r="H62" s="23" t="s">
        <v>648</v>
      </c>
    </row>
    <row r="63" spans="1:8" x14ac:dyDescent="0.35">
      <c r="A63" s="23" t="s">
        <v>336</v>
      </c>
      <c r="B63" s="26">
        <v>0.4</v>
      </c>
    </row>
    <row r="64" spans="1:8" x14ac:dyDescent="0.35">
      <c r="A64" s="23" t="s">
        <v>339</v>
      </c>
      <c r="B64" s="26">
        <v>0.6</v>
      </c>
    </row>
    <row r="65" spans="1:6" x14ac:dyDescent="0.35">
      <c r="A65" s="23" t="s">
        <v>548</v>
      </c>
      <c r="B65" s="23">
        <v>0.26700000000000002</v>
      </c>
      <c r="C65" s="23" t="s">
        <v>538</v>
      </c>
      <c r="D65" s="23" t="s">
        <v>539</v>
      </c>
    </row>
    <row r="66" spans="1:6" x14ac:dyDescent="0.35">
      <c r="A66" s="23" t="s">
        <v>549</v>
      </c>
      <c r="B66" s="23">
        <v>0.375</v>
      </c>
      <c r="C66" s="23" t="s">
        <v>540</v>
      </c>
      <c r="D66" s="23" t="s">
        <v>541</v>
      </c>
    </row>
    <row r="67" spans="1:6" x14ac:dyDescent="0.35">
      <c r="A67" s="23" t="s">
        <v>550</v>
      </c>
      <c r="B67" s="23">
        <v>0.70699999999999996</v>
      </c>
      <c r="C67" s="23" t="s">
        <v>542</v>
      </c>
      <c r="D67" s="23" t="s">
        <v>543</v>
      </c>
    </row>
    <row r="68" spans="1:6" x14ac:dyDescent="0.35">
      <c r="A68" s="23" t="s">
        <v>551</v>
      </c>
      <c r="B68" s="23">
        <v>0.28399999999999997</v>
      </c>
      <c r="C68" s="23" t="s">
        <v>544</v>
      </c>
      <c r="D68" s="23" t="s">
        <v>545</v>
      </c>
    </row>
    <row r="69" spans="1:6" x14ac:dyDescent="0.35">
      <c r="A69" s="23" t="s">
        <v>552</v>
      </c>
      <c r="B69" s="23">
        <v>0.53500000000000003</v>
      </c>
      <c r="C69" s="23" t="s">
        <v>546</v>
      </c>
      <c r="D69" s="23" t="s">
        <v>547</v>
      </c>
    </row>
    <row r="70" spans="1:6" x14ac:dyDescent="0.35">
      <c r="A70" s="23" t="s">
        <v>559</v>
      </c>
      <c r="B70" s="23">
        <v>1.1200000000000001</v>
      </c>
      <c r="C70" s="23" t="s">
        <v>561</v>
      </c>
      <c r="D70" t="s">
        <v>560</v>
      </c>
      <c r="F70" t="s">
        <v>562</v>
      </c>
    </row>
    <row r="71" spans="1:6" x14ac:dyDescent="0.35">
      <c r="A71" s="23" t="s">
        <v>563</v>
      </c>
      <c r="B71" s="23">
        <v>440</v>
      </c>
      <c r="C71" s="23" t="s">
        <v>564</v>
      </c>
      <c r="D71" s="23" t="s">
        <v>565</v>
      </c>
    </row>
    <row r="72" spans="1:6" x14ac:dyDescent="0.35">
      <c r="A72" s="26" t="s">
        <v>509</v>
      </c>
      <c r="B72" s="26">
        <v>0.44</v>
      </c>
      <c r="C72" s="26" t="s">
        <v>510</v>
      </c>
      <c r="D72" s="27" t="s">
        <v>511</v>
      </c>
      <c r="E72" s="26"/>
      <c r="F72" s="26" t="s">
        <v>512</v>
      </c>
    </row>
    <row r="73" spans="1:6" x14ac:dyDescent="0.35">
      <c r="A73" s="23" t="s">
        <v>566</v>
      </c>
      <c r="B73" s="36">
        <v>1.0049999999999999</v>
      </c>
      <c r="C73" s="23" t="s">
        <v>568</v>
      </c>
    </row>
    <row r="74" spans="1:6" x14ac:dyDescent="0.35">
      <c r="A74" s="23" t="s">
        <v>567</v>
      </c>
    </row>
    <row r="75" spans="1:6" x14ac:dyDescent="0.35">
      <c r="A75" s="23" t="s">
        <v>643</v>
      </c>
      <c r="B75" s="36">
        <v>600</v>
      </c>
      <c r="C75" s="23" t="s">
        <v>644</v>
      </c>
    </row>
    <row r="76" spans="1:6" x14ac:dyDescent="0.35">
      <c r="A76" s="23" t="s">
        <v>645</v>
      </c>
      <c r="B76" s="23">
        <v>1.2929999999999999</v>
      </c>
      <c r="C76" s="23" t="s">
        <v>644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B7" sqref="B7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400</v>
      </c>
      <c r="C1" s="2" t="s">
        <v>398</v>
      </c>
      <c r="D1" s="2" t="s">
        <v>410</v>
      </c>
      <c r="E1" s="2" t="s">
        <v>642</v>
      </c>
      <c r="J1" t="s">
        <v>459</v>
      </c>
    </row>
    <row r="2" spans="1:14" x14ac:dyDescent="0.35">
      <c r="A2" s="2" t="s">
        <v>460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455</v>
      </c>
      <c r="J2" t="s">
        <v>457</v>
      </c>
      <c r="K2">
        <v>0.12</v>
      </c>
      <c r="N2" s="31" t="s">
        <v>447</v>
      </c>
    </row>
    <row r="3" spans="1:14" x14ac:dyDescent="0.35">
      <c r="A3" s="2" t="s">
        <v>461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393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458</v>
      </c>
      <c r="K4">
        <v>0.2</v>
      </c>
    </row>
    <row r="5" spans="1:14" x14ac:dyDescent="0.35">
      <c r="A5" s="2" t="s">
        <v>394</v>
      </c>
      <c r="B5" s="2">
        <v>10</v>
      </c>
      <c r="C5" s="2">
        <v>15</v>
      </c>
      <c r="D5">
        <v>20</v>
      </c>
    </row>
    <row r="6" spans="1:14" x14ac:dyDescent="0.35">
      <c r="A6" s="2" t="s">
        <v>395</v>
      </c>
      <c r="B6" s="2" t="s">
        <v>456</v>
      </c>
      <c r="C6" s="2" t="s">
        <v>336</v>
      </c>
      <c r="D6" s="2" t="s">
        <v>412</v>
      </c>
      <c r="E6">
        <f>0.066</f>
        <v>6.6000000000000003E-2</v>
      </c>
    </row>
    <row r="7" spans="1:14" x14ac:dyDescent="0.35">
      <c r="A7" s="2" t="s">
        <v>396</v>
      </c>
      <c r="B7" s="2" t="s">
        <v>397</v>
      </c>
      <c r="C7" s="2" t="s">
        <v>399</v>
      </c>
      <c r="D7" s="2" t="s">
        <v>411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451</v>
      </c>
      <c r="C9" s="2" t="s">
        <v>448</v>
      </c>
      <c r="D9" t="s">
        <v>471</v>
      </c>
      <c r="E9" s="2" t="s">
        <v>473</v>
      </c>
      <c r="F9" s="2" t="s">
        <v>472</v>
      </c>
    </row>
    <row r="10" spans="1:14" ht="24.5" x14ac:dyDescent="0.35">
      <c r="A10" s="2" t="s">
        <v>453</v>
      </c>
      <c r="B10" s="30" t="s">
        <v>452</v>
      </c>
      <c r="C10" s="2">
        <f>(1.01*1*4)+(1.01*1.01)</f>
        <v>5.0601000000000003</v>
      </c>
      <c r="D10">
        <f>(1/(0.018/0.12))</f>
        <v>6.666666666666667</v>
      </c>
      <c r="F10" t="s">
        <v>449</v>
      </c>
      <c r="G10" s="31" t="s">
        <v>450</v>
      </c>
    </row>
    <row r="11" spans="1:14" ht="24.5" x14ac:dyDescent="0.35">
      <c r="A11" s="2" t="s">
        <v>454</v>
      </c>
      <c r="B11" s="30" t="s">
        <v>452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393</v>
      </c>
      <c r="B12" s="30" t="s">
        <v>464</v>
      </c>
      <c r="C12">
        <f>(1.5*0.8*3)+(1.5*1)</f>
        <v>5.1000000000000005</v>
      </c>
      <c r="D12">
        <f>(1/(0.018/0.12))</f>
        <v>6.666666666666667</v>
      </c>
      <c r="F12" t="s">
        <v>462</v>
      </c>
      <c r="G12" s="31" t="s">
        <v>463</v>
      </c>
    </row>
    <row r="13" spans="1:14" x14ac:dyDescent="0.35">
      <c r="A13" s="2" t="s">
        <v>577</v>
      </c>
      <c r="B13" s="30" t="s">
        <v>578</v>
      </c>
      <c r="G13" s="31"/>
    </row>
    <row r="14" spans="1:14" x14ac:dyDescent="0.35">
      <c r="A14" s="2" t="s">
        <v>465</v>
      </c>
    </row>
    <row r="15" spans="1:14" x14ac:dyDescent="0.35">
      <c r="A15" s="2" t="s">
        <v>474</v>
      </c>
    </row>
    <row r="16" spans="1:14" x14ac:dyDescent="0.35">
      <c r="A16" s="2" t="s">
        <v>475</v>
      </c>
    </row>
    <row r="17" spans="1:7" x14ac:dyDescent="0.35">
      <c r="A17" s="2" t="s">
        <v>476</v>
      </c>
      <c r="G17" t="s">
        <v>435</v>
      </c>
    </row>
    <row r="18" spans="1:7" x14ac:dyDescent="0.35">
      <c r="A18" s="2" t="s">
        <v>477</v>
      </c>
      <c r="G18" t="s">
        <v>336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B3" sqref="B3"/>
    </sheetView>
  </sheetViews>
  <sheetFormatPr baseColWidth="10" defaultRowHeight="14.5" x14ac:dyDescent="0.35"/>
  <sheetData>
    <row r="1" spans="1:3" x14ac:dyDescent="0.35">
      <c r="B1" t="s">
        <v>410</v>
      </c>
    </row>
    <row r="2" spans="1:3" x14ac:dyDescent="0.35">
      <c r="A2" t="s">
        <v>569</v>
      </c>
      <c r="B2">
        <f>0.0000015*3600*('Composition (mass)'!C100-aer!D97)</f>
        <v>0.6352941176470589</v>
      </c>
      <c r="C2" t="s">
        <v>572</v>
      </c>
    </row>
    <row r="3" spans="1:3" x14ac:dyDescent="0.35">
      <c r="A3" t="s">
        <v>570</v>
      </c>
      <c r="B3">
        <f>0.0006*1.2*60*'Composition (mass)'!C100</f>
        <v>5.0823529411764703</v>
      </c>
      <c r="C3" t="s">
        <v>573</v>
      </c>
    </row>
    <row r="4" spans="1:3" x14ac:dyDescent="0.35">
      <c r="B4" t="s">
        <v>571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392</v>
      </c>
    </row>
    <row r="2" spans="1:2" x14ac:dyDescent="0.35">
      <c r="A2" t="s">
        <v>401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2024-07-09T14:49:47Z</dcterms:modified>
</cp:coreProperties>
</file>