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D0FA283A-56C3-4975-9EDF-CB7D53AB3F8B}" xr6:coauthVersionLast="36" xr6:coauthVersionMax="36" xr10:uidLastSave="{00000000-0000-0000-0000-000000000000}"/>
  <bookViews>
    <workbookView xWindow="0" yWindow="0" windowWidth="19200" windowHeight="6930" activeTab="5" xr2:uid="{14B8D0C9-091E-43B5-9C59-8A05020574F1}"/>
  </bookViews>
  <sheets>
    <sheet name="Composition of waste" sheetId="4" r:id="rId1"/>
    <sheet name="Composition (mass)" sheetId="6" r:id="rId2"/>
    <sheet name="Variables" sheetId="1" r:id="rId3"/>
    <sheet name="stoe" sheetId="7" r:id="rId4"/>
    <sheet name="Xyield" sheetId="10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6" l="1"/>
  <c r="C97" i="6" l="1"/>
  <c r="E96" i="6"/>
  <c r="R96" i="6" s="1"/>
  <c r="D96" i="6"/>
  <c r="G96" i="6" l="1"/>
  <c r="BP96" i="6"/>
  <c r="BR96" i="6"/>
  <c r="J96" i="6"/>
  <c r="BO96" i="6"/>
  <c r="BN96" i="6"/>
  <c r="BL96" i="6"/>
  <c r="BK96" i="6"/>
  <c r="F96" i="6"/>
  <c r="T96" i="6"/>
  <c r="G26" i="10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D10" i="3"/>
  <c r="L14" i="1" l="1"/>
  <c r="R5" i="1" l="1"/>
  <c r="U5" i="1"/>
  <c r="T5" i="1"/>
  <c r="U4" i="1"/>
  <c r="T4" i="1"/>
  <c r="U3" i="1"/>
  <c r="T3" i="1"/>
  <c r="Q5" i="1"/>
  <c r="R4" i="1"/>
  <c r="R3" i="1"/>
  <c r="S4" i="1"/>
  <c r="S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S6" i="1" l="1"/>
  <c r="S5" i="1"/>
  <c r="Q4" i="1"/>
  <c r="Q3" i="1"/>
  <c r="B4" i="3"/>
  <c r="C4" i="3"/>
  <c r="C12" i="3"/>
  <c r="C3" i="3"/>
  <c r="B3" i="3"/>
  <c r="C11" i="3"/>
  <c r="C2" i="3"/>
  <c r="B2" i="3"/>
  <c r="C10" i="3"/>
  <c r="L15" i="1" l="1"/>
  <c r="L16" i="1"/>
  <c r="L17" i="1"/>
  <c r="L18" i="1"/>
  <c r="L19" i="1"/>
  <c r="L21" i="1"/>
  <c r="L8" i="1"/>
  <c r="L9" i="1"/>
  <c r="L10" i="1"/>
  <c r="L11" i="1"/>
  <c r="L12" i="1"/>
  <c r="L13" i="1"/>
  <c r="L3" i="1"/>
  <c r="S7" i="1" s="1"/>
  <c r="L4" i="1"/>
  <c r="Q7" i="1" s="1"/>
  <c r="L5" i="1"/>
  <c r="R7" i="1" s="1"/>
  <c r="L7" i="1"/>
  <c r="U7" i="1" s="1"/>
  <c r="L2" i="1"/>
  <c r="T7" i="1" s="1"/>
  <c r="B11" i="7" l="1"/>
  <c r="B10" i="7"/>
  <c r="B6" i="7"/>
  <c r="B5" i="7"/>
  <c r="B9" i="7"/>
  <c r="B8" i="7"/>
  <c r="B4" i="7"/>
  <c r="B3" i="7"/>
  <c r="B7" i="7"/>
  <c r="H97" i="6"/>
  <c r="I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E97" i="6" l="1"/>
  <c r="D97" i="6"/>
  <c r="B3" i="9"/>
  <c r="B2" i="9"/>
  <c r="B39" i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N97" i="6" s="1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T97" i="6" l="1"/>
  <c r="G97" i="6"/>
  <c r="B8" i="1" s="1"/>
  <c r="BL97" i="6"/>
  <c r="F97" i="6"/>
  <c r="BO97" i="6"/>
  <c r="B3" i="1" s="1"/>
  <c r="N3" i="1" s="1"/>
  <c r="O3" i="1" s="1"/>
  <c r="BP97" i="6"/>
  <c r="B4" i="1" s="1"/>
  <c r="N4" i="1" s="1"/>
  <c r="O4" i="1" s="1"/>
  <c r="BK97" i="6"/>
  <c r="B6" i="1" s="1"/>
  <c r="N6" i="1" s="1"/>
  <c r="O6" i="1" s="1"/>
  <c r="R97" i="6"/>
  <c r="J97" i="6"/>
  <c r="BR97" i="6"/>
  <c r="B2" i="1" s="1"/>
  <c r="N2" i="1" s="1"/>
  <c r="O2" i="1" s="1"/>
  <c r="B22" i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B7" i="1"/>
  <c r="N7" i="1" s="1"/>
  <c r="O7" i="1" s="1"/>
  <c r="B5" i="1"/>
  <c r="N5" i="1" s="1"/>
  <c r="O5" i="1" s="1"/>
  <c r="B46" i="1" l="1"/>
  <c r="B47" i="1" s="1"/>
  <c r="B103" i="6"/>
  <c r="B105" i="6" l="1"/>
  <c r="B106" i="6" s="1"/>
</calcChain>
</file>

<file path=xl/sharedStrings.xml><?xml version="1.0" encoding="utf-8"?>
<sst xmlns="http://schemas.openxmlformats.org/spreadsheetml/2006/main" count="1157" uniqueCount="648">
  <si>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</si>
  <si>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</si>
  <si>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</si>
  <si>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</si>
  <si>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</si>
  <si>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</si>
  <si>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</si>
  <si>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</si>
  <si>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</si>
  <si>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</si>
  <si>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</si>
  <si>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</si>
  <si>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</si>
  <si>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</si>
  <si>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</si>
  <si>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</si>
  <si>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</si>
  <si>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</si>
  <si>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</si>
  <si>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</si>
  <si>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</si>
  <si>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</si>
  <si>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</si>
  <si>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</si>
  <si>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</si>
  <si>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</si>
  <si>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</si>
  <si>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</si>
  <si>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</si>
  <si>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</si>
  <si>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</si>
  <si>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</si>
  <si>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</si>
  <si>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</si>
  <si>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</si>
  <si>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</si>
  <si>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</si>
  <si>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</si>
  <si>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</si>
  <si>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</si>
  <si>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</si>
  <si>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</si>
  <si>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</si>
  <si>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</si>
  <si>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</si>
  <si>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</si>
  <si>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</si>
  <si>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</si>
  <si>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</si>
  <si>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</si>
  <si>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</si>
  <si>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</si>
  <si>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</si>
  <si>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</si>
  <si>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</si>
  <si>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</si>
  <si>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</si>
  <si>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</si>
  <si>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</si>
  <si>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</si>
  <si>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</si>
  <si>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</si>
  <si>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</si>
  <si>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</si>
  <si>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</si>
  <si>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</si>
  <si>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</si>
  <si>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</si>
  <si>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</si>
  <si>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</si>
  <si>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</si>
  <si>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</si>
  <si>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</si>
  <si>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</si>
  <si>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</si>
  <si>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</si>
  <si>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</si>
  <si>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</si>
  <si>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</si>
  <si>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</si>
  <si>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</si>
  <si>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</si>
  <si>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</si>
  <si>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</si>
  <si>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</si>
  <si>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</si>
  <si>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</si>
  <si>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</si>
  <si>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</si>
  <si>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</si>
  <si>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</si>
  <si>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</si>
  <si>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</si>
  <si>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</si>
  <si>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</si>
  <si>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</si>
  <si>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</si>
  <si>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</si>
  <si>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</si>
  <si>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</si>
  <si>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</si>
  <si>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</si>
  <si>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</si>
  <si>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</si>
  <si>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</si>
  <si>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</si>
  <si>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</si>
  <si>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</si>
  <si>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</si>
  <si>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</si>
  <si>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</si>
  <si>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</si>
  <si>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</si>
  <si>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</si>
  <si>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</si>
  <si>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</si>
  <si>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</si>
  <si>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</si>
  <si>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</si>
  <si>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</si>
  <si>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</si>
  <si>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</si>
  <si>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</si>
  <si>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</si>
  <si>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</si>
  <si>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</si>
  <si>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</si>
  <si>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</si>
  <si>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</si>
  <si>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</si>
  <si>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</si>
  <si>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</si>
  <si>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</si>
  <si>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</si>
  <si>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</si>
  <si>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</si>
  <si>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</si>
  <si>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</si>
  <si>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</si>
  <si>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</si>
  <si>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</si>
  <si>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</si>
  <si>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</si>
  <si>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</si>
  <si>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</si>
  <si>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</si>
  <si>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</si>
  <si>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</si>
  <si>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</si>
  <si>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</si>
  <si>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</si>
  <si>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</si>
  <si>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</si>
  <si>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</si>
  <si>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</si>
  <si>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</si>
  <si>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</si>
  <si>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</si>
  <si>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</si>
  <si>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</si>
  <si>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</si>
  <si>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</si>
  <si>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</si>
  <si>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</si>
  <si>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</si>
  <si>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</si>
  <si>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</si>
  <si>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</si>
  <si>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</si>
  <si>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</si>
  <si>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</si>
  <si>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</si>
  <si>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</si>
  <si>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</si>
  <si>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</si>
  <si>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</si>
  <si>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</si>
  <si>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</si>
  <si>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</si>
  <si>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</si>
  <si>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</si>
  <si>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</si>
  <si>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</si>
  <si>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</si>
  <si>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</si>
  <si>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</si>
  <si>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</si>
  <si>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</si>
  <si>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</si>
  <si>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</si>
  <si>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</si>
  <si>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</si>
  <si>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</si>
  <si>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</si>
  <si>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</si>
  <si>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</si>
  <si>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</si>
  <si>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</si>
  <si>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</si>
  <si>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</si>
  <si>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</si>
  <si>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</si>
  <si>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</si>
  <si>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</si>
  <si>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</si>
  <si>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</si>
  <si>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</si>
  <si>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</si>
  <si>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</si>
  <si>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</si>
  <si>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</si>
  <si>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</si>
  <si>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</si>
  <si>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</si>
  <si>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</si>
  <si>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</si>
  <si>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</si>
  <si>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</si>
  <si>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</si>
  <si>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</si>
  <si>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</si>
  <si>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</si>
  <si>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</si>
  <si>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</si>
  <si>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</si>
  <si>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</si>
  <si>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</si>
  <si>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</si>
  <si>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</si>
  <si>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</si>
  <si>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</si>
  <si>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</si>
  <si>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</si>
  <si>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</si>
  <si>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</si>
  <si>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</si>
  <si>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</si>
  <si>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</si>
  <si>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</si>
  <si>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</si>
  <si>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</si>
  <si>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</si>
  <si>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</si>
  <si>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</si>
  <si>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</si>
  <si>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</si>
  <si>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</si>
  <si>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</si>
  <si>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</si>
  <si>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</si>
  <si>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</si>
  <si>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</si>
  <si>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</si>
  <si>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</si>
  <si>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</si>
  <si>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</si>
  <si>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</si>
  <si>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</si>
  <si>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</si>
  <si>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</si>
  <si>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</si>
  <si>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</si>
  <si>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</si>
  <si>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</si>
  <si>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</si>
  <si>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</si>
  <si>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</si>
  <si>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</si>
  <si>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</si>
  <si>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</si>
  <si>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</si>
  <si>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</si>
  <si>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</si>
  <si>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</si>
  <si>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</si>
  <si>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</si>
  <si>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</si>
  <si>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</si>
  <si>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</si>
  <si>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</si>
  <si>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</si>
  <si>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</si>
  <si>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</si>
  <si>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</si>
  <si>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</si>
  <si>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</si>
  <si>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</si>
  <si>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</si>
  <si>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</si>
  <si>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</si>
  <si>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</si>
  <si>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</si>
  <si>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</si>
  <si>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</si>
  <si>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</si>
  <si>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</si>
  <si>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</si>
  <si>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</si>
  <si>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</si>
  <si>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</si>
  <si>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</si>
  <si>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</si>
  <si>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</si>
  <si>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</si>
  <si>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</si>
  <si>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</si>
  <si>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</si>
  <si>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</si>
  <si>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</si>
  <si>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</si>
  <si>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</si>
  <si>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</si>
  <si>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</si>
  <si>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</si>
  <si>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</si>
  <si>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</si>
  <si>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</si>
  <si>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</si>
  <si>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</si>
  <si>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</si>
  <si>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</si>
  <si>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</si>
  <si>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</si>
  <si>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</si>
  <si>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</si>
  <si>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</si>
  <si>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</si>
  <si>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</si>
  <si>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</si>
  <si>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</si>
  <si>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</si>
  <si>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</si>
  <si>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</si>
  <si>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</si>
  <si>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</si>
  <si>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</si>
  <si>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</si>
  <si>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</si>
  <si>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</si>
  <si>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</si>
  <si>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</si>
  <si>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</si>
  <si>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</si>
  <si>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</si>
  <si>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</si>
  <si>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</si>
  <si>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</si>
  <si>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</si>
  <si>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</si>
  <si>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</si>
  <si>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</si>
  <si>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</si>
  <si>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</si>
  <si>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</si>
  <si>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</si>
  <si>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</si>
  <si>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</si>
  <si>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</si>
  <si>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</si>
  <si>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</si>
  <si>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</si>
  <si>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</si>
  <si>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</si>
  <si>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</si>
  <si>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</si>
  <si>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</si>
  <si>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</si>
  <si>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</si>
  <si>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</si>
  <si>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</si>
  <si>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</si>
  <si>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</si>
  <si>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</si>
  <si>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</si>
  <si>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</si>
  <si>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</si>
  <si>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</si>
  <si>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</si>
  <si>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</si>
  <si>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</si>
  <si>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</si>
  <si>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</si>
  <si>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</si>
  <si>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</si>
  <si>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</si>
  <si>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</si>
  <si>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</si>
  <si>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</si>
  <si>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</si>
  <si>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</si>
  <si>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</si>
  <si>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</si>
  <si>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</si>
  <si>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</si>
  <si>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</si>
  <si>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</si>
  <si>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</si>
  <si>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</si>
  <si>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</si>
  <si>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</si>
  <si>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</si>
  <si>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</si>
  <si>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</si>
  <si>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</si>
  <si>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</si>
  <si>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</si>
  <si>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</si>
  <si>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</si>
  <si>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</si>
  <si>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</si>
  <si>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</si>
  <si>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</si>
  <si>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</si>
  <si>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</si>
  <si>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</si>
  <si>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</si>
  <si>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</si>
  <si>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</si>
  <si>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</si>
  <si>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</si>
  <si>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</si>
  <si>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</si>
  <si>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</si>
  <si>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</si>
  <si>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</si>
  <si>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</si>
  <si>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</si>
  <si>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</si>
  <si>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</si>
  <si>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</si>
  <si>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</si>
  <si>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</si>
  <si>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</si>
  <si>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</si>
  <si>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</si>
  <si>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</si>
  <si>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</si>
  <si>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</si>
  <si>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</si>
  <si>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</si>
  <si>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</si>
  <si>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</si>
  <si>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</si>
  <si>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</si>
  <si>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</si>
  <si>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</si>
  <si>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</si>
  <si>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</si>
  <si>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</si>
  <si>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</si>
  <si>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</si>
  <si>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</si>
  <si>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</si>
  <si>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</si>
  <si>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</si>
  <si>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</si>
  <si>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</si>
  <si>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</si>
  <si>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</si>
  <si>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</si>
  <si>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</si>
  <si>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</si>
  <si>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</si>
  <si>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</si>
  <si>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</si>
  <si>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</si>
  <si>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</si>
  <si>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</si>
  <si>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</si>
  <si>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</si>
  <si>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</si>
  <si>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</si>
  <si>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</si>
  <si>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</si>
  <si>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</si>
  <si>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</si>
  <si>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</si>
  <si>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</si>
  <si>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</si>
  <si>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</si>
  <si>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</si>
  <si>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</si>
  <si>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</si>
  <si>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</si>
  <si>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</si>
  <si>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</si>
  <si>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</si>
  <si>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</si>
  <si>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</si>
  <si>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</si>
  <si>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</si>
  <si>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</si>
  <si>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</si>
  <si>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</si>
  <si>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</si>
  <si>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</si>
  <si>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</si>
  <si>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</si>
  <si>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</si>
  <si>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</si>
  <si>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</si>
  <si>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</si>
  <si>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</si>
  <si>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</si>
  <si>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</si>
  <si>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</si>
  <si>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</si>
  <si>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</si>
  <si>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</si>
  <si>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</si>
  <si>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</si>
  <si>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</si>
  <si>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</si>
  <si>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</si>
  <si>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</si>
  <si>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</si>
  <si>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</si>
  <si>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</si>
  <si>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</si>
  <si>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</si>
  <si>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</si>
  <si>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</si>
  <si>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</si>
  <si>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</si>
  <si>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</si>
  <si>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</si>
  <si>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</si>
  <si>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</si>
  <si>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</si>
  <si>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</si>
  <si>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</si>
  <si>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</si>
  <si>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</si>
  <si>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</si>
  <si>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</si>
  <si>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</si>
  <si>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</si>
  <si>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</si>
  <si>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</si>
  <si>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</si>
  <si>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</si>
  <si>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</si>
  <si>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</si>
  <si>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</si>
  <si>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</si>
  <si>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</si>
  <si>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</si>
  <si>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</si>
  <si>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</si>
  <si>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</si>
  <si>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</si>
  <si>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</si>
  <si>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</si>
  <si>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</si>
  <si>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</si>
  <si>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</si>
  <si>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</si>
  <si>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</si>
  <si>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</si>
  <si>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</si>
  <si>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</si>
  <si>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</si>
  <si>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</si>
  <si>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</si>
  <si>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</si>
  <si>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</si>
  <si>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</si>
  <si>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</si>
  <si>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</si>
  <si>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</si>
  <si>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</si>
  <si>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</si>
  <si>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</si>
  <si>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</si>
  <si>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</si>
  <si>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</si>
  <si>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</si>
  <si>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</si>
  <si>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</si>
  <si>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</si>
  <si>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</si>
  <si>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</si>
  <si>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</si>
  <si>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</si>
  <si>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</si>
  <si>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</si>
  <si>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</si>
  <si>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</si>
  <si>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</si>
  <si>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</si>
  <si>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</si>
  <si>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</si>
  <si>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</si>
  <si>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</si>
  <si>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</si>
  <si>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</si>
  <si>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</si>
  <si>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</si>
  <si>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</si>
  <si>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</si>
  <si>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</si>
  <si>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</si>
  <si>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</si>
  <si>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</si>
  <si>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</si>
  <si>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</si>
  <si>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</si>
  <si>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</si>
  <si>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</si>
  <si>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</si>
  <si>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</si>
  <si>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</si>
  <si>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</si>
  <si>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</si>
  <si>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</si>
  <si>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</si>
  <si>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</si>
  <si>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</si>
  <si>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</si>
  <si>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</si>
  <si>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</si>
  <si>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</si>
  <si>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</si>
  <si>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</si>
  <si>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</si>
  <si>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</si>
  <si>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</si>
  <si>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</si>
  <si>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</si>
  <si>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</si>
  <si>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</si>
  <si>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</si>
  <si>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</si>
  <si>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</si>
  <si>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</si>
  <si>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</si>
  <si>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</si>
  <si>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</si>
  <si>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</si>
  <si>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</si>
  <si>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</si>
  <si>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m(Carbone)</t>
  </si>
  <si>
    <t>masse C (g)</t>
  </si>
  <si>
    <t>masse C (kg/kgTM)</t>
  </si>
  <si>
    <t>Green waste</t>
  </si>
  <si>
    <t>rho_waste</t>
  </si>
  <si>
    <t>kg.m-3</t>
  </si>
  <si>
    <t>rho_air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</si>
</sst>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topLeftCell="A88" workbookViewId="0">
      <pane xSplit="1" topLeftCell="B1" activePane="topRight" state="frozen"/>
      <selection pane="topRight" activeCell="A96" sqref="A96:XFD96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A96" s="40" t="s">
        <v>644</v>
      </c>
      <c r="D96" s="41">
        <v>20</v>
      </c>
      <c r="E96" s="41">
        <v>80</v>
      </c>
      <c r="BK96" s="41">
        <v>34.9</v>
      </c>
      <c r="BL96" s="41">
        <v>19.5</v>
      </c>
      <c r="BN96" s="41">
        <v>21.2</v>
      </c>
    </row>
    <row r="98" spans="1:3" x14ac:dyDescent="0.35">
      <c r="B98" s="14" t="s">
        <v>242</v>
      </c>
      <c r="C98">
        <f>SUM(C2:C95)</f>
        <v>4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topLeftCell="A79" workbookViewId="0">
      <selection activeCell="A96" sqref="A96:XFD96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26953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/>
      <c r="D4" s="18">
        <f>'Composition of waste'!$D4*$C4/100</f>
        <v>0</v>
      </c>
      <c r="E4" s="18">
        <f>'Composition of waste'!$E4*$C4/100</f>
        <v>0</v>
      </c>
      <c r="F4" s="18">
        <f>'Composition of waste'!$F4*$E4/100</f>
        <v>0</v>
      </c>
      <c r="G4" s="18">
        <f>'Composition of waste'!$G4*$E4/100</f>
        <v>0</v>
      </c>
      <c r="H4" s="18">
        <v>16.627433191921021</v>
      </c>
      <c r="I4" s="18">
        <v>439.60033976579871</v>
      </c>
      <c r="J4" s="18">
        <f>'Composition of waste'!$J4*'Composition (mass)'!$E4/100</f>
        <v>0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0</v>
      </c>
      <c r="S4" s="18">
        <v>4.6191977462024525E-3</v>
      </c>
      <c r="T4" s="18">
        <f>'Composition of waste'!$T4*'Composition (mass)'!$E4/100</f>
        <v>0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0</v>
      </c>
      <c r="BO4" s="18">
        <f>'Composition of waste'!$BO4*$E4/100</f>
        <v>0</v>
      </c>
      <c r="BP4" s="18">
        <f>'Composition of waste'!$BP4*$E4/100</f>
        <v>0</v>
      </c>
      <c r="BQ4" s="18">
        <v>0</v>
      </c>
      <c r="BR4" s="18">
        <f>'Composition of waste'!$BR4*$E4/100</f>
        <v>0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f>'Composition of waste'!$J83*'Composition (mass)'!$E83/100</f>
        <v>0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0</v>
      </c>
      <c r="S83" s="18">
        <v>0.69363701990855653</v>
      </c>
      <c r="T83" s="18">
        <f>'Composition of waste'!$T83*'Composition (mass)'!$E83/100</f>
        <v>0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2" t="s">
        <v>644</v>
      </c>
      <c r="C96">
        <f>(0.39*100)/35</f>
        <v>1.1142857142857143</v>
      </c>
      <c r="D96" s="18">
        <f>'Composition of waste'!$D96*$C96/100</f>
        <v>0.22285714285714284</v>
      </c>
      <c r="E96" s="18">
        <f>'Composition of waste'!$E96*$C96/100</f>
        <v>0.89142857142857135</v>
      </c>
      <c r="F96" s="18">
        <f>'Composition of waste'!$F96*$E96/100</f>
        <v>0</v>
      </c>
      <c r="G96" s="18">
        <f>'Composition of waste'!$G96*$E96/100</f>
        <v>0</v>
      </c>
      <c r="J96" s="18">
        <f>'Composition of waste'!$J96*'Composition (mass)'!$E96/100</f>
        <v>0</v>
      </c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0.3111085714285714</v>
      </c>
      <c r="BL96" s="18">
        <f>'Composition of waste'!$BL96*$E96/100</f>
        <v>0.17382857142857142</v>
      </c>
      <c r="BN96" s="18">
        <f>'Composition of waste'!$BN96*$E96/100</f>
        <v>0.18898285714285712</v>
      </c>
      <c r="BO96" s="18">
        <f>'Composition of waste'!$BO96*$E96/100</f>
        <v>0</v>
      </c>
      <c r="BP96" s="18">
        <f>'Composition of waste'!$BP96*$E96/100</f>
        <v>0</v>
      </c>
      <c r="BR96" s="18">
        <f>'Composition of waste'!$BR96*$E96/100</f>
        <v>0</v>
      </c>
    </row>
    <row r="97" spans="1:70" x14ac:dyDescent="0.35">
      <c r="A97" s="21" t="s">
        <v>242</v>
      </c>
      <c r="C97" s="20">
        <f>SUM(C2:C96)</f>
        <v>1.1142857142857143</v>
      </c>
      <c r="D97" s="20">
        <f>SUM(D2:D96)</f>
        <v>0.22285714285714284</v>
      </c>
      <c r="E97" s="20">
        <f>SUM(E2:E96)</f>
        <v>0.89142857142857135</v>
      </c>
      <c r="F97" s="20">
        <f>SUM(F2:F96)</f>
        <v>0</v>
      </c>
      <c r="G97" s="20">
        <f>SUM(G2:G96)</f>
        <v>0</v>
      </c>
      <c r="H97" s="20">
        <f t="shared" ref="H97:BH97" si="0">SUM(H2:H95)</f>
        <v>1748.0370779513639</v>
      </c>
      <c r="I97" s="20">
        <f t="shared" si="0"/>
        <v>49127.849334222614</v>
      </c>
      <c r="J97" s="20">
        <f>SUM(J2:J96)</f>
        <v>0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>SUM(R2:R96)</f>
        <v>0</v>
      </c>
      <c r="S97" s="20">
        <f t="shared" si="0"/>
        <v>37.864632672965826</v>
      </c>
      <c r="T97" s="20">
        <f>SUM(T2:T96)</f>
        <v>0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>SUM(BK2:BK96)</f>
        <v>0.3111085714285714</v>
      </c>
      <c r="BL97" s="20">
        <f>SUM(BL2:BL96)</f>
        <v>0.17382857142857142</v>
      </c>
      <c r="BM97" s="20"/>
      <c r="BN97" s="20">
        <f>SUM(BN2:BN96)</f>
        <v>0.18898285714285712</v>
      </c>
      <c r="BO97" s="20">
        <f>SUM(BO2:BO96)</f>
        <v>0</v>
      </c>
      <c r="BP97" s="20">
        <f>SUM(BP2:BP96)</f>
        <v>0</v>
      </c>
      <c r="BQ97" s="20"/>
      <c r="BR97" s="20">
        <f>SUM(BR2:BR96)</f>
        <v>0</v>
      </c>
    </row>
    <row r="98" spans="1:70" x14ac:dyDescent="0.35">
      <c r="B98" s="21"/>
    </row>
    <row r="103" spans="1:70" x14ac:dyDescent="0.35">
      <c r="A103" t="s">
        <v>485</v>
      </c>
      <c r="B103" t="e">
        <f>J97/R97</f>
        <v>#DIV/0!</v>
      </c>
    </row>
    <row r="104" spans="1:70" x14ac:dyDescent="0.35">
      <c r="A104" t="s">
        <v>484</v>
      </c>
      <c r="B104">
        <v>200</v>
      </c>
    </row>
    <row r="105" spans="1:70" x14ac:dyDescent="0.35">
      <c r="A105" t="s">
        <v>486</v>
      </c>
      <c r="B105" t="e">
        <f>((C97*B103)-(30*C97))/(30-B104)</f>
        <v>#DIV/0!</v>
      </c>
    </row>
    <row r="106" spans="1:70" x14ac:dyDescent="0.35">
      <c r="A106" t="s">
        <v>487</v>
      </c>
      <c r="B106" t="e">
        <f>((C97*B103)+(B105*B104))/(C97+B105)</f>
        <v>#DIV/0!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U47"/>
  <sheetViews>
    <sheetView topLeftCell="A23" zoomScale="84" zoomScaleNormal="115" workbookViewId="0">
      <selection activeCell="A48" sqref="A48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1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641</v>
      </c>
      <c r="Q1" t="s">
        <v>522</v>
      </c>
    </row>
    <row r="2" spans="1:21" x14ac:dyDescent="0.35">
      <c r="A2" s="2" t="s">
        <v>308</v>
      </c>
      <c r="B2" s="2">
        <f>'Composition (mass)'!BR97/B39</f>
        <v>0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0</v>
      </c>
      <c r="O2">
        <f>F2*N2*12</f>
        <v>0</v>
      </c>
      <c r="Q2" t="s">
        <v>524</v>
      </c>
      <c r="R2" t="s">
        <v>309</v>
      </c>
      <c r="S2" t="s">
        <v>6</v>
      </c>
      <c r="T2" t="s">
        <v>525</v>
      </c>
      <c r="U2" t="s">
        <v>17</v>
      </c>
    </row>
    <row r="3" spans="1:21" x14ac:dyDescent="0.35">
      <c r="A3" s="2" t="s">
        <v>6</v>
      </c>
      <c r="B3" s="2">
        <f>'Composition (mass)'!BO97/B39</f>
        <v>0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0</v>
      </c>
      <c r="O3">
        <f>F3*N3*12</f>
        <v>0</v>
      </c>
      <c r="P3" t="s">
        <v>467</v>
      </c>
      <c r="Q3">
        <f>(F4-(G4/4)-(H4/2))</f>
        <v>12.25</v>
      </c>
      <c r="R3">
        <f>F5-(G5/4)-(H5/2)</f>
        <v>1</v>
      </c>
      <c r="S3">
        <f>(F3-(G3/4)-(H3/2)+((3*I3)/4))</f>
        <v>10.5</v>
      </c>
      <c r="T3">
        <f>F2-(G2/4)-(H2/2)</f>
        <v>0</v>
      </c>
      <c r="U3">
        <f>F7-(G7/4)-(H7/2)</f>
        <v>9.5</v>
      </c>
    </row>
    <row r="4" spans="1:21" x14ac:dyDescent="0.35">
      <c r="A4" s="2" t="s">
        <v>7</v>
      </c>
      <c r="B4" s="2">
        <f>'Composition (mass)'!BP97/B39</f>
        <v>0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0</v>
      </c>
      <c r="O4">
        <f>F4*N4*12</f>
        <v>0</v>
      </c>
      <c r="P4" t="s">
        <v>468</v>
      </c>
      <c r="Q4">
        <f>(F4/2)-(G4/8)+(H4/4)</f>
        <v>7.625</v>
      </c>
      <c r="R4">
        <f>(F5/2)-(G5/8)+(H5/4)</f>
        <v>5</v>
      </c>
      <c r="S4">
        <f>(F3/2)-(G3/8)+(H3/4)+((3*I3)/8)</f>
        <v>7.75</v>
      </c>
      <c r="T4">
        <f>(F2/2)-(G2/8)+(H2/4)</f>
        <v>3</v>
      </c>
      <c r="U4">
        <f>(F7/2)-(G7/8)+(H7/4)</f>
        <v>7.75</v>
      </c>
    </row>
    <row r="5" spans="1:21" x14ac:dyDescent="0.35">
      <c r="A5" s="2" t="s">
        <v>309</v>
      </c>
      <c r="B5" s="33">
        <f>'Composition (mass)'!BL97/B39</f>
        <v>0.15599999999999997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0.61641337386018225</v>
      </c>
      <c r="O5">
        <f t="shared" ref="O5:O7" si="2">F5*N5*12</f>
        <v>73.969604863221875</v>
      </c>
      <c r="P5" t="s">
        <v>469</v>
      </c>
      <c r="Q5">
        <f>(F4/2)+(G4/8)-(H4/4)</f>
        <v>17.375</v>
      </c>
      <c r="R5">
        <f>(F5/2)+(G5/8)-(H5/4)</f>
        <v>5</v>
      </c>
      <c r="S5">
        <f>(F3/2)+(G3/8)-(H3/4)-((3*I3)/8)</f>
        <v>8.25</v>
      </c>
      <c r="T5">
        <f>(F2/2)+(G2/8)-(H2/4)</f>
        <v>3</v>
      </c>
      <c r="U5">
        <f>(F7/2)+(G7/8)-(H7/4)</f>
        <v>12.25</v>
      </c>
    </row>
    <row r="6" spans="1:21" x14ac:dyDescent="0.35">
      <c r="A6" s="2" t="s">
        <v>11</v>
      </c>
      <c r="B6" s="2">
        <f>'Composition (mass)'!BK97/B39</f>
        <v>0.27919999999999995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1.7283809523809524</v>
      </c>
      <c r="O6">
        <f t="shared" si="2"/>
        <v>124.44342857142857</v>
      </c>
      <c r="P6" t="s">
        <v>470</v>
      </c>
      <c r="S6">
        <f>I3</f>
        <v>4</v>
      </c>
    </row>
    <row r="7" spans="1:21" x14ac:dyDescent="0.35">
      <c r="A7" s="2" t="s">
        <v>17</v>
      </c>
      <c r="B7" s="2">
        <f>'Composition (mass)'!BN97/B39</f>
        <v>0.16959999999999997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0.51634660421545664</v>
      </c>
      <c r="O7">
        <f t="shared" si="2"/>
        <v>123.92318501170959</v>
      </c>
      <c r="P7" t="s">
        <v>523</v>
      </c>
      <c r="Q7">
        <f>(Q5*16)/L4</f>
        <v>0.70737913486005088</v>
      </c>
      <c r="R7">
        <f>(R5*16)/L5</f>
        <v>0.28368794326241137</v>
      </c>
      <c r="S7">
        <f>(S5*16)/L3</f>
        <v>0.375</v>
      </c>
      <c r="T7">
        <f>(T5*16)/L2</f>
        <v>0.26666666666666666</v>
      </c>
      <c r="U7">
        <f>(U5*16)/L7</f>
        <v>0.53551912568306015</v>
      </c>
    </row>
    <row r="8" spans="1:21" x14ac:dyDescent="0.35">
      <c r="A8" s="2" t="s">
        <v>282</v>
      </c>
      <c r="B8" s="2">
        <f>'Composition (mass)'!G97/B39</f>
        <v>0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1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1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1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1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1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1" x14ac:dyDescent="0.35">
      <c r="A14" s="2" t="s">
        <v>21</v>
      </c>
      <c r="B14">
        <f>(B39*0.01)/B39/10</f>
        <v>1E-3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1" x14ac:dyDescent="0.35">
      <c r="A15" s="2" t="s">
        <v>28</v>
      </c>
      <c r="B15">
        <f>(B39*0.01)/B39/10</f>
        <v>1E-3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1" x14ac:dyDescent="0.35">
      <c r="A16" s="2" t="s">
        <v>30</v>
      </c>
      <c r="B16">
        <f>(B39*0.01)/B39/10</f>
        <v>1E-3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1E-3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1E-3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36</v>
      </c>
      <c r="B19">
        <f>(B39*0.01)/B39/10</f>
        <v>1E-3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1E-3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(mass)'!D97/B39</f>
        <v>0.19999999999999998</v>
      </c>
      <c r="C22" s="2" t="s">
        <v>532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v>1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(mass)'!C97</f>
        <v>1.1142857142857143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642</v>
      </c>
      <c r="B46">
        <f>SUM(O2:O7)</f>
        <v>322.33621844636002</v>
      </c>
    </row>
    <row r="47" spans="1:4" x14ac:dyDescent="0.35">
      <c r="A47" t="s">
        <v>643</v>
      </c>
      <c r="B47">
        <f>(B46*0.001)/B39</f>
        <v>0.28927609347750255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8" sqref="B8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J26"/>
  <sheetViews>
    <sheetView topLeftCell="A7" workbookViewId="0">
      <selection activeCell="A21" sqref="A21:XFD21"/>
    </sheetView>
  </sheetViews>
  <sheetFormatPr baseColWidth="10" defaultRowHeight="14.5" x14ac:dyDescent="0.35"/>
  <sheetData>
    <row r="1" spans="1:10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</row>
    <row r="2" spans="1:10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</row>
    <row r="3" spans="1:10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</row>
    <row r="4" spans="1:10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</row>
    <row r="5" spans="1:10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</row>
    <row r="6" spans="1:10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</row>
    <row r="7" spans="1:10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</row>
    <row r="8" spans="1:10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</row>
    <row r="9" spans="1:10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</row>
    <row r="10" spans="1:10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</row>
    <row r="11" spans="1:10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</row>
    <row r="12" spans="1:10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</row>
    <row r="13" spans="1:10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</row>
    <row r="14" spans="1:10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</row>
    <row r="15" spans="1:10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</row>
    <row r="16" spans="1:10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</row>
    <row r="17" spans="1:10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</row>
    <row r="18" spans="1:10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</row>
    <row r="19" spans="1:10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</row>
    <row r="20" spans="1:10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</row>
    <row r="21" spans="1:10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</row>
    <row r="22" spans="1:10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</row>
    <row r="23" spans="1:10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</row>
    <row r="24" spans="1:10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</row>
    <row r="25" spans="1:10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</row>
    <row r="26" spans="1:10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abSelected="1" topLeftCell="A62" workbookViewId="0">
      <selection activeCell="D78" sqref="D78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hidden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645</v>
      </c>
      <c r="B75" s="36">
        <v>600</v>
      </c>
      <c r="C75" s="23" t="s">
        <v>646</v>
      </c>
    </row>
    <row r="76" spans="1:6" x14ac:dyDescent="0.35">
      <c r="A76" s="23" t="s">
        <v>647</v>
      </c>
      <c r="B76" s="23">
        <v>1.2929999999999999</v>
      </c>
      <c r="C76" s="23" t="s">
        <v>646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D11" sqref="D11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(mass)'!C97-aer!D97)</f>
        <v>6.0171428571428581E-3</v>
      </c>
      <c r="C2" t="s">
        <v>574</v>
      </c>
    </row>
    <row r="3" spans="1:3" x14ac:dyDescent="0.35">
      <c r="A3" t="s">
        <v>572</v>
      </c>
      <c r="B3">
        <f>0.0006*1.2*60*'Composition (mass)'!C97</f>
        <v>4.8137142857142851E-2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stoe</vt:lpstr>
      <vt:lpstr>Xyield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2023-12-15T10:55:08Z</dcterms:modified>
</cp:coreProperties>
</file>