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57511465-923B-449A-9F11-9722F52F6EF0}" xr6:coauthVersionLast="36" xr6:coauthVersionMax="36" xr10:uidLastSave="{00000000-0000-0000-0000-000000000000}"/>
  <bookViews>
    <workbookView xWindow="0" yWindow="0" windowWidth="19200" windowHeight="6930" activeTab="2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kinetics" sheetId="2" r:id="rId5"/>
    <sheet name="Xyield" sheetId="10" r:id="rId6"/>
    <sheet name="tech" sheetId="3" r:id="rId7"/>
    <sheet name="aer" sheetId="9" r:id="rId8"/>
    <sheet name="reg" sheetId="8" r:id="rId9"/>
  </sheets>
  <externalReferences>
    <externalReference r:id="rId10"/>
  </externalReference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Q41" i="1"/>
  <c r="J23" i="10" l="1"/>
  <c r="G26" i="10" l="1"/>
  <c r="F26" i="10"/>
  <c r="C26" i="10"/>
  <c r="L20" i="1" l="1"/>
  <c r="F20" i="10" l="1"/>
  <c r="F25" i="10" s="1"/>
  <c r="E20" i="10"/>
  <c r="E25" i="10" s="1"/>
  <c r="D20" i="10"/>
  <c r="D25" i="10" s="1"/>
  <c r="C20" i="10"/>
  <c r="C25" i="10" s="1"/>
  <c r="F19" i="10"/>
  <c r="F24" i="10" s="1"/>
  <c r="E19" i="10"/>
  <c r="E24" i="10" s="1"/>
  <c r="D19" i="10"/>
  <c r="D24" i="10" s="1"/>
  <c r="C19" i="10"/>
  <c r="C24" i="10" s="1"/>
  <c r="F18" i="10"/>
  <c r="F23" i="10" s="1"/>
  <c r="E18" i="10"/>
  <c r="E23" i="10" s="1"/>
  <c r="D18" i="10"/>
  <c r="D23" i="10" s="1"/>
  <c r="C18" i="10"/>
  <c r="C23" i="10" s="1"/>
  <c r="F17" i="10"/>
  <c r="F22" i="10" s="1"/>
  <c r="E17" i="10"/>
  <c r="E22" i="10" s="1"/>
  <c r="D17" i="10"/>
  <c r="D22" i="10" s="1"/>
  <c r="C17" i="10"/>
  <c r="C22" i="10" s="1"/>
  <c r="F16" i="10"/>
  <c r="F21" i="10" s="1"/>
  <c r="E16" i="10"/>
  <c r="E21" i="10" s="1"/>
  <c r="D16" i="10"/>
  <c r="D21" i="10" s="1"/>
  <c r="C16" i="10"/>
  <c r="C21" i="10" s="1"/>
  <c r="F11" i="10"/>
  <c r="F15" i="10" s="1"/>
  <c r="E11" i="10"/>
  <c r="E15" i="10" s="1"/>
  <c r="D11" i="10"/>
  <c r="D15" i="10" s="1"/>
  <c r="C11" i="10"/>
  <c r="C15" i="10" s="1"/>
  <c r="F4" i="10"/>
  <c r="F7" i="10" s="1"/>
  <c r="E4" i="10"/>
  <c r="E7" i="10" s="1"/>
  <c r="D4" i="10"/>
  <c r="D7" i="10" s="1"/>
  <c r="C4" i="10"/>
  <c r="C14" i="10" s="1"/>
  <c r="F3" i="10"/>
  <c r="F13" i="10" s="1"/>
  <c r="E3" i="10"/>
  <c r="E13" i="10" s="1"/>
  <c r="D3" i="10"/>
  <c r="D13" i="10" s="1"/>
  <c r="C3" i="10"/>
  <c r="C13" i="10" s="1"/>
  <c r="F2" i="10"/>
  <c r="F5" i="10" s="1"/>
  <c r="E2" i="10"/>
  <c r="E5" i="10" s="1"/>
  <c r="D2" i="10"/>
  <c r="D5" i="10" s="1"/>
  <c r="C2" i="10"/>
  <c r="C5" i="10" s="1"/>
  <c r="C6" i="10" l="1"/>
  <c r="C8" i="10"/>
  <c r="D6" i="10"/>
  <c r="D8" i="10"/>
  <c r="D10" i="10"/>
  <c r="D12" i="10"/>
  <c r="D14" i="10"/>
  <c r="C12" i="10"/>
  <c r="E6" i="10"/>
  <c r="E8" i="10"/>
  <c r="E10" i="10"/>
  <c r="E12" i="10"/>
  <c r="E14" i="10"/>
  <c r="F6" i="10"/>
  <c r="F8" i="10"/>
  <c r="F10" i="10"/>
  <c r="F12" i="10"/>
  <c r="F14" i="10"/>
  <c r="C7" i="10"/>
  <c r="C9" i="10"/>
  <c r="D9" i="10"/>
  <c r="E9" i="10"/>
  <c r="C10" i="10"/>
  <c r="F9" i="10"/>
  <c r="B2" i="1"/>
  <c r="F44" i="1" s="1"/>
  <c r="F45" i="1" s="1"/>
  <c r="F46" i="1" s="1"/>
  <c r="S42" i="1"/>
  <c r="Q42" i="1"/>
  <c r="R42" i="1" s="1"/>
  <c r="S41" i="1"/>
  <c r="R41" i="1"/>
  <c r="L6" i="1"/>
  <c r="N4" i="1"/>
  <c r="N5" i="1"/>
  <c r="N6" i="1"/>
  <c r="N7" i="1"/>
  <c r="N3" i="1"/>
  <c r="Q11" i="1"/>
  <c r="B2" i="9"/>
  <c r="E6" i="3" l="1"/>
  <c r="B5" i="3"/>
  <c r="E4" i="3"/>
  <c r="E3" i="3"/>
  <c r="E2" i="3"/>
  <c r="D5" i="3" l="1"/>
  <c r="D4" i="3"/>
  <c r="B6" i="3"/>
  <c r="B4" i="3"/>
  <c r="B3" i="3"/>
  <c r="B2" i="3"/>
  <c r="B2" i="2" l="1"/>
  <c r="B3" i="2"/>
  <c r="C6" i="3" l="1"/>
  <c r="C2" i="3"/>
  <c r="E20" i="3"/>
  <c r="E21" i="3"/>
  <c r="E22" i="3"/>
  <c r="D14" i="3"/>
  <c r="D13" i="3"/>
  <c r="D12" i="3"/>
  <c r="D11" i="3"/>
  <c r="B8" i="1" l="1"/>
  <c r="G96" i="6"/>
  <c r="F96" i="6"/>
  <c r="BN97" i="6" l="1"/>
  <c r="BL97" i="6"/>
  <c r="BK97" i="6"/>
  <c r="BR96" i="6"/>
  <c r="BN96" i="6"/>
  <c r="BL96" i="6"/>
  <c r="BK96" i="6"/>
  <c r="E96" i="6"/>
  <c r="D96" i="6"/>
  <c r="D97" i="6" s="1"/>
  <c r="G97" i="6"/>
  <c r="F97" i="6"/>
  <c r="E97" i="6"/>
  <c r="C97" i="6"/>
  <c r="D12" i="6"/>
  <c r="L14" i="1" l="1"/>
  <c r="R5" i="1" l="1"/>
  <c r="U5" i="1"/>
  <c r="T5" i="1"/>
  <c r="U4" i="1"/>
  <c r="T4" i="1"/>
  <c r="U3" i="1"/>
  <c r="T3" i="1"/>
  <c r="Q5" i="1"/>
  <c r="R4" i="1"/>
  <c r="R3" i="1"/>
  <c r="S4" i="1"/>
  <c r="S3" i="1"/>
  <c r="B4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S6" i="1" l="1"/>
  <c r="S5" i="1"/>
  <c r="Q4" i="1"/>
  <c r="Q3" i="1"/>
  <c r="C4" i="3"/>
  <c r="C13" i="3"/>
  <c r="C3" i="3"/>
  <c r="C12" i="3"/>
  <c r="C11" i="3"/>
  <c r="L25" i="1" l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S7" i="1" s="1"/>
  <c r="L4" i="1"/>
  <c r="Q7" i="1" s="1"/>
  <c r="L5" i="1"/>
  <c r="R7" i="1" s="1"/>
  <c r="L7" i="1"/>
  <c r="U7" i="1" s="1"/>
  <c r="L2" i="1"/>
  <c r="T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38" i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20" i="1"/>
  <c r="B19" i="1"/>
  <c r="B18" i="1"/>
  <c r="B17" i="1"/>
  <c r="B16" i="1"/>
  <c r="B14" i="1"/>
  <c r="B15" i="1"/>
  <c r="J97" i="6"/>
  <c r="R97" i="6"/>
  <c r="T97" i="6"/>
  <c r="BP97" i="6"/>
  <c r="B4" i="1" s="1"/>
  <c r="BR97" i="6"/>
  <c r="B7" i="1"/>
  <c r="B5" i="1"/>
  <c r="BO97" i="6"/>
  <c r="B3" i="1" s="1"/>
  <c r="B6" i="1"/>
  <c r="B103" i="6" l="1"/>
  <c r="B105" i="6" l="1"/>
  <c r="B106" i="6" s="1"/>
</calcChain>
</file>

<file path=xl/sharedStrings.xml><?xml version="1.0" encoding="utf-8"?>
<sst xmlns="http://schemas.openxmlformats.org/spreadsheetml/2006/main" count="1160" uniqueCount="651">
  <si>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</si>
  <si>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</si>
  <si>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</si>
  <si>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</si>
  <si>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</si>
  <si>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</si>
  <si>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</si>
  <si>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</si>
  <si>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</si>
  <si>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</si>
  <si>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</si>
  <si>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</si>
  <si>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</si>
  <si>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</si>
  <si>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</si>
  <si>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</si>
  <si>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</si>
  <si>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</si>
  <si>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</si>
  <si>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</si>
  <si>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</si>
  <si>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</si>
  <si>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</si>
  <si>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</si>
  <si>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</si>
  <si>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</si>
  <si>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</si>
  <si>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</si>
  <si>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</si>
  <si>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</si>
  <si>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</si>
  <si>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</si>
  <si>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</si>
  <si>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</si>
  <si>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</si>
  <si>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</si>
  <si>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</si>
  <si>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</si>
  <si>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</si>
  <si>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</si>
  <si>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</si>
  <si>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</si>
  <si>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</si>
  <si>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</si>
  <si>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</si>
  <si>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</si>
  <si>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</si>
  <si>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</si>
  <si>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</si>
  <si>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</si>
  <si>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</si>
  <si>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</si>
  <si>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</si>
  <si>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</si>
  <si>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</si>
  <si>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</si>
  <si>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</si>
  <si>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</si>
  <si>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</si>
  <si>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</si>
  <si>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</si>
  <si>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</si>
  <si>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</si>
  <si>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</si>
  <si>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</si>
  <si>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</si>
  <si>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</si>
  <si>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</si>
  <si>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</si>
  <si>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</si>
  <si>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</si>
  <si>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</si>
  <si>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</si>
  <si>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</si>
  <si>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</si>
  <si>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</si>
  <si>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</si>
  <si>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</si>
  <si>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</si>
  <si>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</si>
  <si>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</si>
  <si>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</si>
  <si>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</si>
  <si>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</si>
  <si>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</si>
  <si>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</si>
  <si>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</si>
  <si>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</si>
  <si>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</si>
  <si>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</si>
  <si>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</si>
  <si>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</si>
  <si>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</si>
  <si>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</si>
  <si>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</si>
  <si>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</si>
  <si>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</si>
  <si>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</si>
  <si>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</si>
  <si>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</si>
  <si>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</si>
  <si>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</si>
  <si>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</si>
  <si>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</si>
  <si>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</si>
  <si>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</si>
  <si>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</si>
  <si>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</si>
  <si>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</si>
  <si>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</si>
  <si>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</si>
  <si>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</si>
  <si>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</si>
  <si>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</si>
  <si>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</si>
  <si>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</si>
  <si>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</si>
  <si>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</si>
  <si>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</si>
  <si>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</si>
  <si>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</si>
  <si>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</si>
  <si>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</si>
  <si>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</si>
  <si>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</si>
  <si>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</si>
  <si>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</si>
  <si>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</si>
  <si>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</si>
  <si>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</si>
  <si>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</si>
  <si>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</si>
  <si>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</si>
  <si>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</si>
  <si>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</si>
  <si>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</si>
  <si>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</si>
  <si>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</si>
  <si>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</si>
  <si>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</si>
  <si>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</si>
  <si>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</si>
  <si>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</si>
  <si>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</si>
  <si>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</si>
  <si>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</si>
  <si>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</si>
  <si>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</si>
  <si>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</si>
  <si>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</si>
  <si>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</si>
  <si>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</si>
  <si>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</si>
  <si>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</si>
  <si>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</si>
  <si>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</si>
  <si>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</si>
  <si>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</si>
  <si>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</si>
  <si>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</si>
  <si>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</si>
  <si>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</si>
  <si>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</si>
  <si>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</si>
  <si>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</si>
  <si>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</si>
  <si>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</si>
  <si>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</si>
  <si>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</si>
  <si>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</si>
  <si>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</si>
  <si>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</si>
  <si>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</si>
  <si>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</si>
  <si>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</si>
  <si>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</si>
  <si>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</si>
  <si>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</si>
  <si>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</si>
  <si>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</si>
  <si>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</si>
  <si>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</si>
  <si>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</si>
  <si>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</si>
  <si>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</si>
  <si>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</si>
  <si>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</si>
  <si>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</si>
  <si>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</si>
  <si>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</si>
  <si>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</si>
  <si>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</si>
  <si>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</si>
  <si>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</si>
  <si>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</si>
  <si>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</si>
  <si>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</si>
  <si>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</si>
  <si>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</si>
  <si>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</si>
  <si>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</si>
  <si>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</si>
  <si>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</si>
  <si>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</si>
  <si>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</si>
  <si>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</si>
  <si>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</si>
  <si>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</si>
  <si>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</si>
  <si>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</si>
  <si>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</si>
  <si>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</si>
  <si>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</si>
  <si>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</si>
  <si>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</si>
  <si>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</si>
  <si>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</si>
  <si>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</si>
  <si>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</si>
  <si>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</si>
  <si>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</si>
  <si>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</si>
  <si>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</si>
  <si>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</si>
  <si>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</si>
  <si>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</si>
  <si>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</si>
  <si>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</si>
  <si>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</si>
  <si>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</si>
  <si>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</si>
  <si>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</si>
  <si>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</si>
  <si>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</si>
  <si>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</si>
  <si>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</si>
  <si>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</si>
  <si>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</si>
  <si>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</si>
  <si>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</si>
  <si>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</si>
  <si>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</si>
  <si>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</si>
  <si>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</si>
  <si>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</si>
  <si>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</si>
  <si>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</si>
  <si>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</si>
  <si>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</si>
  <si>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</si>
  <si>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</si>
  <si>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</si>
  <si>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</si>
  <si>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</si>
  <si>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</si>
  <si>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</si>
  <si>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</si>
  <si>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</si>
  <si>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</si>
  <si>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</si>
  <si>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</si>
  <si>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</si>
  <si>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</si>
  <si>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</si>
  <si>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</si>
  <si>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</si>
  <si>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</si>
  <si>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</si>
  <si>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</si>
  <si>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</si>
  <si>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</si>
  <si>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</si>
  <si>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</si>
  <si>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</si>
  <si>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</si>
  <si>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</si>
  <si>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</si>
  <si>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</si>
  <si>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</si>
  <si>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</si>
  <si>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</si>
  <si>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</si>
  <si>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</si>
  <si>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</si>
  <si>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</si>
  <si>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</si>
  <si>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</si>
  <si>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</si>
  <si>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</si>
  <si>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</si>
  <si>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</si>
  <si>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</si>
  <si>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</si>
  <si>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</si>
  <si>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</si>
  <si>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</si>
  <si>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</si>
  <si>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</si>
  <si>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</si>
  <si>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</si>
  <si>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</si>
  <si>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</si>
  <si>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</si>
  <si>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</si>
  <si>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</si>
  <si>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</si>
  <si>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</si>
  <si>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</si>
  <si>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</si>
  <si>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</si>
  <si>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</si>
  <si>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</si>
  <si>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</si>
  <si>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</si>
  <si>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</si>
  <si>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</si>
  <si>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</si>
  <si>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</si>
  <si>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</si>
  <si>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</si>
  <si>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</si>
  <si>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</si>
  <si>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</si>
  <si>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</si>
  <si>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</si>
  <si>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</si>
  <si>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</si>
  <si>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</si>
  <si>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</si>
  <si>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</si>
  <si>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</si>
  <si>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</si>
  <si>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</si>
  <si>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</si>
  <si>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</si>
  <si>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</si>
  <si>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</si>
  <si>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</si>
  <si>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</si>
  <si>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</si>
  <si>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</si>
  <si>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</si>
  <si>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</si>
  <si>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</si>
  <si>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</si>
  <si>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</si>
  <si>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</si>
  <si>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</si>
  <si>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</si>
  <si>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</si>
  <si>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</si>
  <si>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</si>
  <si>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</si>
  <si>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</si>
  <si>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</si>
  <si>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</si>
  <si>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</si>
  <si>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</si>
  <si>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</si>
  <si>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</si>
  <si>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</si>
  <si>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</si>
  <si>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</si>
  <si>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</si>
  <si>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</si>
  <si>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</si>
  <si>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</si>
  <si>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</si>
  <si>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</si>
  <si>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</si>
  <si>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</si>
  <si>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</si>
  <si>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</si>
  <si>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</si>
  <si>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</si>
  <si>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</si>
  <si>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</si>
  <si>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</si>
  <si>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</si>
  <si>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</si>
  <si>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</si>
  <si>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</si>
  <si>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</si>
  <si>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</si>
  <si>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</si>
  <si>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</si>
  <si>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</si>
  <si>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</si>
  <si>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</si>
  <si>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</si>
  <si>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</si>
  <si>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</si>
  <si>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</si>
  <si>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</si>
  <si>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</si>
  <si>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</si>
  <si>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</si>
  <si>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</si>
  <si>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</si>
  <si>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</si>
  <si>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</si>
  <si>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</si>
  <si>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</si>
  <si>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</si>
  <si>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</si>
  <si>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</si>
  <si>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</si>
  <si>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</si>
  <si>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</si>
  <si>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</si>
  <si>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</si>
  <si>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</si>
  <si>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</si>
  <si>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</si>
  <si>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</si>
  <si>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</si>
  <si>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</si>
  <si>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</si>
  <si>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</si>
  <si>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</si>
  <si>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</si>
  <si>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</si>
  <si>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</si>
  <si>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</si>
  <si>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</si>
  <si>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</si>
  <si>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</si>
  <si>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</si>
  <si>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</si>
  <si>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</si>
  <si>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</si>
  <si>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</si>
  <si>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</si>
  <si>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</si>
  <si>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</si>
  <si>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</si>
  <si>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</si>
  <si>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</si>
  <si>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</si>
  <si>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</si>
  <si>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</si>
  <si>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</si>
  <si>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</si>
  <si>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</si>
  <si>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</si>
  <si>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</si>
  <si>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</si>
  <si>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</si>
  <si>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</si>
  <si>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</si>
  <si>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</si>
  <si>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</si>
  <si>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</si>
  <si>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</si>
  <si>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</si>
  <si>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</si>
  <si>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</si>
  <si>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</si>
  <si>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</si>
  <si>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</si>
  <si>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</si>
  <si>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</si>
  <si>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</si>
  <si>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</si>
  <si>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</si>
  <si>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</si>
  <si>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</si>
  <si>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</si>
  <si>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</si>
  <si>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</si>
  <si>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</si>
  <si>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</si>
  <si>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</si>
  <si>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</si>
  <si>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</si>
  <si>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</si>
  <si>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</si>
  <si>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</si>
  <si>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</si>
  <si>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</si>
  <si>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</si>
  <si>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</si>
  <si>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</si>
  <si>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</si>
  <si>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</si>
  <si>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</si>
  <si>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</si>
  <si>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</si>
  <si>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</si>
  <si>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</si>
  <si>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</si>
  <si>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</si>
  <si>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</si>
  <si>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</si>
  <si>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</si>
  <si>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</si>
  <si>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</si>
  <si>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</si>
  <si>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</si>
  <si>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</si>
  <si>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</si>
  <si>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</si>
  <si>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</si>
  <si>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</si>
  <si>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</si>
  <si>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</si>
  <si>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</si>
  <si>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</si>
  <si>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</si>
  <si>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</si>
  <si>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</si>
  <si>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</si>
  <si>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</si>
  <si>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</si>
  <si>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</si>
  <si>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</si>
  <si>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</si>
  <si>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</si>
  <si>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</si>
  <si>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</si>
  <si>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</si>
  <si>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</si>
  <si>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</si>
  <si>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</si>
  <si>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</si>
  <si>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</si>
  <si>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</si>
  <si>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</si>
  <si>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</si>
  <si>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</si>
  <si>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</si>
  <si>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</si>
  <si>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</si>
  <si>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</si>
  <si>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</si>
  <si>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</si>
  <si>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</si>
  <si>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</si>
  <si>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</si>
  <si>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</si>
  <si>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</si>
  <si>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</si>
  <si>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</si>
  <si>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</si>
  <si>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</si>
  <si>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</si>
  <si>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</si>
  <si>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</si>
  <si>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</si>
  <si>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</si>
  <si>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</si>
  <si>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</si>
  <si>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</si>
  <si>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</si>
  <si>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</si>
  <si>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</si>
  <si>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</si>
  <si>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</si>
  <si>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</si>
  <si>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</si>
  <si>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</si>
  <si>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</si>
  <si>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</si>
  <si>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</si>
  <si>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</si>
  <si>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</si>
  <si>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</si>
  <si>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</si>
  <si>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</si>
  <si>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</si>
  <si>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</si>
  <si>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</si>
  <si>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</si>
  <si>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Wood chips</t>
  </si>
  <si>
    <t>test</t>
  </si>
  <si>
    <t xml:space="preserve">10 mm </t>
  </si>
  <si>
    <t>stainless steel</t>
  </si>
  <si>
    <t>https://www.sciencedirect.com/science/article/pii/S0956053X08001219?via%3Dihub#aep-section-id23</t>
  </si>
  <si>
    <t>Community C</t>
  </si>
  <si>
    <t>pour test</t>
  </si>
  <si>
    <t>kJ/m2.°K.h</t>
  </si>
  <si>
    <t>kg/h</t>
  </si>
  <si>
    <t>https://www.sciencedirect.com/science/article/pii/S0956053X14005121</t>
  </si>
  <si>
    <t>file:///D:/Users/hravoaha/Downloads/cdc_72415_DS1.pdf</t>
  </si>
  <si>
    <t>Vreacteur</t>
  </si>
  <si>
    <t>rho_waste</t>
  </si>
  <si>
    <t>kg.m-3</t>
  </si>
  <si>
    <t>rho_air</t>
  </si>
  <si>
    <t>n (nombre de moles)</t>
  </si>
  <si>
    <t>masse totale des éléments (g)</t>
  </si>
  <si>
    <t>masse totale des éléments (kg/kgTM))</t>
  </si>
  <si>
    <t>CO2 (kg)</t>
  </si>
  <si>
    <t>C (g)</t>
  </si>
  <si>
    <t>CO2max (kg/kgTM)</t>
  </si>
  <si>
    <t>Y(X/S)</t>
  </si>
  <si>
    <t>Y(X/O2)</t>
  </si>
  <si>
    <t>Y(X/NH3)</t>
  </si>
  <si>
    <t>Y(X/CO2)</t>
  </si>
  <si>
    <t>Y(X/H2O)</t>
  </si>
  <si>
    <t>Reactions</t>
  </si>
  <si>
    <t>r13</t>
  </si>
  <si>
    <t>MB on Sc</t>
  </si>
  <si>
    <t>r14</t>
  </si>
  <si>
    <t>MB on Sp</t>
  </si>
  <si>
    <t>r15</t>
  </si>
  <si>
    <t>MB on Sl</t>
  </si>
  <si>
    <t>r16</t>
  </si>
  <si>
    <t>TB on Sc</t>
  </si>
  <si>
    <t>r17</t>
  </si>
  <si>
    <t>TB on Sp</t>
  </si>
  <si>
    <t>r18</t>
  </si>
  <si>
    <t>TB on Sl</t>
  </si>
  <si>
    <t>r19</t>
  </si>
  <si>
    <t>MA on Sc</t>
  </si>
  <si>
    <t>r20</t>
  </si>
  <si>
    <t>MA on Sp</t>
  </si>
  <si>
    <t>r21</t>
  </si>
  <si>
    <t>MA on Sl</t>
  </si>
  <si>
    <t>r22</t>
  </si>
  <si>
    <t>MA on Sh</t>
  </si>
  <si>
    <t>r23</t>
  </si>
  <si>
    <t>TA on Sc</t>
  </si>
  <si>
    <t>r24</t>
  </si>
  <si>
    <t>TA on Sp</t>
  </si>
  <si>
    <t>r25</t>
  </si>
  <si>
    <t>TA on Sl</t>
  </si>
  <si>
    <t>r26</t>
  </si>
  <si>
    <t>TA on Sh</t>
  </si>
  <si>
    <t>r27</t>
  </si>
  <si>
    <t>MF on Sc</t>
  </si>
  <si>
    <t>r28</t>
  </si>
  <si>
    <t>MF on Sp</t>
  </si>
  <si>
    <t>r29</t>
  </si>
  <si>
    <t>MF on Sl</t>
  </si>
  <si>
    <t>r30</t>
  </si>
  <si>
    <t>MF on Sh</t>
  </si>
  <si>
    <t>r31</t>
  </si>
  <si>
    <t>MF on Slg</t>
  </si>
  <si>
    <t>r32</t>
  </si>
  <si>
    <t>TF on Sc</t>
  </si>
  <si>
    <t>r33</t>
  </si>
  <si>
    <t>TF onSp</t>
  </si>
  <si>
    <t>r34</t>
  </si>
  <si>
    <t>TF on Sl</t>
  </si>
  <si>
    <t>r35</t>
  </si>
  <si>
    <t>TF on Sh</t>
  </si>
  <si>
    <t>r36</t>
  </si>
  <si>
    <t>TF on Slg</t>
  </si>
  <si>
    <t>r44</t>
  </si>
  <si>
    <t>Xa on NH4+</t>
  </si>
  <si>
    <t>Y(X/NO3-)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</si>
</sst>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20</xdr:row>
      <xdr:rowOff>82550</xdr:rowOff>
    </xdr:from>
    <xdr:to>
      <xdr:col>20</xdr:col>
      <xdr:colOff>733424</xdr:colOff>
      <xdr:row>30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ravoaha/Desktop/Th&#232;se/process-development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 yield"/>
      <sheetName val="kinetics"/>
      <sheetName val="tech"/>
      <sheetName val="aer"/>
      <sheetName val="reg"/>
    </sheetNames>
    <sheetDataSet>
      <sheetData sheetId="0"/>
      <sheetData sheetId="1"/>
      <sheetData sheetId="2">
        <row r="14">
          <cell r="L14">
            <v>113</v>
          </cell>
          <cell r="M14">
            <v>12</v>
          </cell>
        </row>
        <row r="15">
          <cell r="L15">
            <v>113</v>
          </cell>
        </row>
        <row r="16">
          <cell r="L16">
            <v>113</v>
          </cell>
        </row>
        <row r="18">
          <cell r="L18">
            <v>247</v>
          </cell>
        </row>
        <row r="19">
          <cell r="L19">
            <v>247</v>
          </cell>
        </row>
        <row r="20">
          <cell r="L20">
            <v>113</v>
          </cell>
        </row>
        <row r="21">
          <cell r="L21">
            <v>113</v>
          </cell>
        </row>
        <row r="22">
          <cell r="L22">
            <v>18</v>
          </cell>
        </row>
        <row r="23">
          <cell r="L23">
            <v>32</v>
          </cell>
        </row>
        <row r="24">
          <cell r="L24">
            <v>44</v>
          </cell>
        </row>
        <row r="25">
          <cell r="L25">
            <v>62</v>
          </cell>
        </row>
        <row r="26">
          <cell r="L26">
            <v>17</v>
          </cell>
        </row>
      </sheetData>
      <sheetData sheetId="3">
        <row r="3">
          <cell r="B3">
            <v>0.55752212389380529</v>
          </cell>
        </row>
        <row r="4">
          <cell r="B4">
            <v>1.0902654867256636</v>
          </cell>
        </row>
        <row r="5">
          <cell r="B5">
            <v>1.2172566371681415</v>
          </cell>
        </row>
        <row r="6">
          <cell r="B6">
            <v>0.42743362831858406</v>
          </cell>
        </row>
        <row r="7">
          <cell r="B7">
            <v>0.25506072874493924</v>
          </cell>
        </row>
        <row r="8">
          <cell r="B8">
            <v>0.49878542510121454</v>
          </cell>
        </row>
        <row r="9">
          <cell r="B9">
            <v>0.55688259109311733</v>
          </cell>
        </row>
        <row r="10">
          <cell r="B10">
            <v>0.19554655870445342</v>
          </cell>
        </row>
        <row r="11">
          <cell r="B11">
            <v>0.51862348178137652</v>
          </cell>
        </row>
        <row r="13">
          <cell r="B13">
            <v>1.83</v>
          </cell>
        </row>
        <row r="15">
          <cell r="B15">
            <v>2.1000000000000001E-2</v>
          </cell>
        </row>
        <row r="16">
          <cell r="B16">
            <v>1.0409999999999999</v>
          </cell>
        </row>
        <row r="17">
          <cell r="B17">
            <v>0.98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sciencedirect.com/science/article/pii/S0956053X08001219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J2" sqref="J2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1" width="9" bestFit="1" customWidth="1"/>
    <col min="22" max="22" width="6.26953125" bestFit="1" customWidth="1"/>
    <col min="23" max="23" width="7.36328125" bestFit="1" customWidth="1"/>
    <col min="24" max="24" width="7" bestFit="1" customWidth="1"/>
    <col min="25" max="25" width="7.1796875" bestFit="1" customWidth="1"/>
    <col min="26" max="26" width="7.26953125" bestFit="1" customWidth="1"/>
    <col min="27" max="27" width="7.54296875" bestFit="1" customWidth="1"/>
    <col min="28" max="28" width="6.453125" bestFit="1" customWidth="1"/>
    <col min="29" max="30" width="7.36328125" bestFit="1" customWidth="1"/>
    <col min="31" max="31" width="6.90625" bestFit="1" customWidth="1"/>
    <col min="32" max="32" width="7.08984375" bestFit="1" customWidth="1"/>
    <col min="33" max="34" width="7.453125" bestFit="1" customWidth="1"/>
    <col min="35" max="35" width="7.08984375" bestFit="1" customWidth="1"/>
    <col min="36" max="36" width="7.453125" bestFit="1" customWidth="1"/>
    <col min="37" max="37" width="7.1796875" bestFit="1" customWidth="1"/>
    <col min="38" max="38" width="7.54296875" bestFit="1" customWidth="1"/>
    <col min="39" max="39" width="7.453125" bestFit="1" customWidth="1"/>
    <col min="40" max="40" width="6.90625" bestFit="1" customWidth="1"/>
    <col min="41" max="41" width="6.6328125" bestFit="1" customWidth="1"/>
    <col min="42" max="42" width="7.81640625" bestFit="1" customWidth="1"/>
    <col min="43" max="44" width="8" bestFit="1" customWidth="1"/>
    <col min="45" max="45" width="7.08984375" bestFit="1" customWidth="1"/>
    <col min="46" max="47" width="7.453125" bestFit="1" customWidth="1"/>
    <col min="48" max="48" width="7.08984375" bestFit="1" customWidth="1"/>
    <col min="49" max="49" width="7.26953125" bestFit="1" customWidth="1"/>
    <col min="50" max="50" width="7.1796875" bestFit="1" customWidth="1"/>
    <col min="51" max="51" width="6.7265625" bestFit="1" customWidth="1"/>
    <col min="52" max="52" width="7.26953125" bestFit="1" customWidth="1"/>
    <col min="53" max="53" width="6.90625" bestFit="1" customWidth="1"/>
    <col min="54" max="54" width="7.26953125" bestFit="1" customWidth="1"/>
    <col min="55" max="55" width="6.81640625" bestFit="1" customWidth="1"/>
    <col min="56" max="56" width="6.54296875" bestFit="1" customWidth="1"/>
    <col min="57" max="57" width="7.36328125" bestFit="1" customWidth="1"/>
    <col min="58" max="58" width="7" bestFit="1" customWidth="1"/>
    <col min="59" max="59" width="11.6328125" bestFit="1" customWidth="1"/>
    <col min="60" max="60" width="8.7265625" bestFit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130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/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/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573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8" spans="1:3" x14ac:dyDescent="0.35">
      <c r="B98" s="14" t="s">
        <v>242</v>
      </c>
      <c r="C98">
        <f>SUM(C2:C95)</f>
        <v>0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91" workbookViewId="0">
      <selection activeCell="J97" sqref="J97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475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476</v>
      </c>
      <c r="S1" s="15" t="s">
        <v>55</v>
      </c>
      <c r="T1" s="15" t="s">
        <v>477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474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>
        <v>0.5</v>
      </c>
      <c r="D19" s="18">
        <f>'Composition of waste'!$D19*$C19/100</f>
        <v>0.4325</v>
      </c>
      <c r="E19" s="18">
        <f>'Composition of waste'!$E19*$C19/100</f>
        <v>6.7500000000000004E-2</v>
      </c>
      <c r="F19" s="18">
        <f>'Composition of waste'!$F19*$E19/100</f>
        <v>6.5500000000000003E-2</v>
      </c>
      <c r="G19" s="18">
        <f>'Composition of waste'!$G19*$E19/100</f>
        <v>2.0000000000000005E-3</v>
      </c>
      <c r="H19" s="18">
        <v>15.878457597027261</v>
      </c>
      <c r="I19" s="18">
        <v>448.00000000000006</v>
      </c>
      <c r="J19" s="18">
        <f>'Composition of waste'!$J19*'Composition (mass)'!$E19/100</f>
        <v>2.8432122514228313E-2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7.5500000000000003E-4</v>
      </c>
      <c r="S19" s="18">
        <v>1.4814814814814815E-2</v>
      </c>
      <c r="T19" s="18">
        <f>'Composition of waste'!$T19*'Composition (mass)'!$E19/100</f>
        <v>3.1830967072903511E-2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4.5000000000000005E-3</v>
      </c>
      <c r="BP19" s="18">
        <f>'Composition of waste'!$BP19*$E19/100</f>
        <v>3.0000000000000005E-3</v>
      </c>
      <c r="BQ19" s="18">
        <v>0</v>
      </c>
      <c r="BR19" s="18">
        <f>'Composition of waste'!$BR19*$E19/100</f>
        <v>5.7500000000000009E-2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2</v>
      </c>
      <c r="D20" s="18">
        <f>'Composition of waste'!$D20*$C20/100</f>
        <v>1.9</v>
      </c>
      <c r="E20" s="18">
        <f>'Composition of waste'!$E20*$C20/100</f>
        <v>0.10000000000000002</v>
      </c>
      <c r="F20" s="18">
        <f>'Composition of waste'!$F20*$E20/100</f>
        <v>8.9377784210610975E-2</v>
      </c>
      <c r="G20" s="18">
        <f>'Composition of waste'!$G20*$E20/100</f>
        <v>1.0622215789389043E-2</v>
      </c>
      <c r="H20" s="18">
        <v>15.543519724145114</v>
      </c>
      <c r="I20" s="18">
        <v>463.22916666666657</v>
      </c>
      <c r="J20" s="18">
        <f>'Composition of waste'!$J20*'Composition (mass)'!$E20/100</f>
        <v>4.0354210049868701E-2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3.8337943530446067E-3</v>
      </c>
      <c r="S20" s="18">
        <v>0.32354684978798454</v>
      </c>
      <c r="T20" s="18">
        <f>'Composition of waste'!$T20*'Composition (mass)'!$E20/100</f>
        <v>3.8667498918075964E-2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2.4023415512777219E-2</v>
      </c>
      <c r="BP20" s="18">
        <f>'Composition of waste'!$BP20*$E20/100</f>
        <v>3.9216159276949554E-3</v>
      </c>
      <c r="BQ20" s="18">
        <v>0</v>
      </c>
      <c r="BR20" s="18">
        <f>'Composition of waste'!$BR20*$E20/100</f>
        <v>6.2113024878982334E-2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>
        <v>0.5</v>
      </c>
      <c r="D33" s="18">
        <f>'Composition of waste'!$D33*$C33/100</f>
        <v>0.46299999999999997</v>
      </c>
      <c r="E33" s="18">
        <f>'Composition of waste'!$E33*$C33/100</f>
        <v>3.7000000000000005E-2</v>
      </c>
      <c r="F33" s="18">
        <f>'Composition of waste'!$F33*$E33/100</f>
        <v>3.5500000000000004E-2</v>
      </c>
      <c r="G33" s="18">
        <f>'Composition of waste'!$G33*$E33/100</f>
        <v>1.5E-3</v>
      </c>
      <c r="H33" s="18">
        <v>18.046345354609848</v>
      </c>
      <c r="I33" s="18">
        <v>513.50704225352115</v>
      </c>
      <c r="J33" s="18">
        <f>'Composition of waste'!$J33*'Composition (mass)'!$E33/100</f>
        <v>1.6808475105696784E-2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4.0000000000000002E-4</v>
      </c>
      <c r="S33" s="18">
        <v>4.0540540540540536E-2</v>
      </c>
      <c r="T33" s="18">
        <f>'Composition of waste'!$T33*'Composition (mass)'!$E33/100</f>
        <v>1.5660218633011262E-2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2.5000000000000001E-3</v>
      </c>
      <c r="BP33" s="18">
        <f>'Composition of waste'!$BP33*$E33/100</f>
        <v>5.5000000000000005E-3</v>
      </c>
      <c r="BQ33" s="18">
        <v>0</v>
      </c>
      <c r="BR33" s="18">
        <f>'Composition of waste'!$BR33*$E33/100</f>
        <v>2.7500000000000004E-2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>
        <v>2</v>
      </c>
      <c r="D59" s="18">
        <f>'Composition of waste'!$D59*$C59/100</f>
        <v>1.8340000000000001</v>
      </c>
      <c r="E59" s="18">
        <f>'Composition of waste'!$E59*$C59/100</f>
        <v>0.16600000000000001</v>
      </c>
      <c r="F59" s="18">
        <f>'Composition of waste'!$F59*$E59/100</f>
        <v>0.12800000000000003</v>
      </c>
      <c r="G59" s="18">
        <f>'Composition of waste'!$G59*$E59/100</f>
        <v>3.7999999999999999E-2</v>
      </c>
      <c r="H59" s="18">
        <v>14.972221502046677</v>
      </c>
      <c r="I59" s="18">
        <v>495.6328125</v>
      </c>
      <c r="J59" s="18">
        <f>'Composition of waste'!$J59*'Composition (mass)'!$E59/100</f>
        <v>6.2095484049190526E-2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8.3999999999999977E-3</v>
      </c>
      <c r="S59" s="18">
        <v>0.49397590361445781</v>
      </c>
      <c r="T59" s="18">
        <f>'Composition of waste'!$T59*'Composition (mass)'!$E59/100</f>
        <v>4.7575885231158015E-2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1.4800000000000001E-2</v>
      </c>
      <c r="BL59" s="18">
        <f>'Composition of waste'!$BL59*$E59/100</f>
        <v>0</v>
      </c>
      <c r="BM59" s="18">
        <v>0</v>
      </c>
      <c r="BN59" s="18">
        <f>'Composition of waste'!$BN59*$E59/100</f>
        <v>2.5999999999999994E-3</v>
      </c>
      <c r="BO59" s="18">
        <f>'Composition of waste'!$BO59*$E59/100</f>
        <v>5.2000000000000011E-2</v>
      </c>
      <c r="BP59" s="18">
        <f>'Composition of waste'!$BP59*$E59/100</f>
        <v>1.2E-2</v>
      </c>
      <c r="BQ59" s="18">
        <v>0</v>
      </c>
      <c r="BR59" s="18">
        <f>'Composition of waste'!$BR59*$E59/100</f>
        <v>6.4000000000000001E-2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>
        <v>1.5</v>
      </c>
      <c r="D61" s="18">
        <f>'Composition of waste'!$D61*$C61/100</f>
        <v>1.3560000000000003</v>
      </c>
      <c r="E61" s="18">
        <f>'Composition of waste'!$E61*$C61/100</f>
        <v>0.14399999999999999</v>
      </c>
      <c r="F61" s="18">
        <f>'Composition of waste'!$F61*$E61/100</f>
        <v>0.13349999999999998</v>
      </c>
      <c r="G61" s="18">
        <f>'Composition of waste'!$G61*$E61/100</f>
        <v>1.0500000000000001E-2</v>
      </c>
      <c r="H61" s="18">
        <v>15.847759511828567</v>
      </c>
      <c r="I61" s="18">
        <v>442.02247191011236</v>
      </c>
      <c r="J61" s="18">
        <f>'Composition of waste'!$J61*'Composition (mass)'!$E61/100</f>
        <v>6.0404674456483148E-2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4.5599999999999998E-3</v>
      </c>
      <c r="S61" s="18">
        <v>1.7708333333333333E-2</v>
      </c>
      <c r="T61" s="18">
        <f>'Composition of waste'!$T61*'Composition (mass)'!$E61/100</f>
        <v>5.9256975236936037E-2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2.1749999999999999E-2</v>
      </c>
      <c r="BL61" s="18">
        <f>'Composition of waste'!$BL61*$E61/100</f>
        <v>0</v>
      </c>
      <c r="BM61" s="18">
        <v>0</v>
      </c>
      <c r="BN61" s="18">
        <f>'Composition of waste'!$BN61*$E61/100</f>
        <v>1.1999999999999999E-3</v>
      </c>
      <c r="BO61" s="18">
        <f>'Composition of waste'!$BO61*$E61/100</f>
        <v>2.8499999999999998E-2</v>
      </c>
      <c r="BP61" s="18">
        <f>'Composition of waste'!$BP61*$E61/100</f>
        <v>3.0000000000000001E-3</v>
      </c>
      <c r="BQ61" s="18">
        <v>0</v>
      </c>
      <c r="BR61" s="18">
        <f>'Composition of waste'!$BR61*$E61/100</f>
        <v>0.10200000000000001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>
        <v>1.5</v>
      </c>
      <c r="D65" s="18">
        <f>'Composition of waste'!$D65*$C65/100</f>
        <v>1.194</v>
      </c>
      <c r="E65" s="18">
        <f>'Composition of waste'!$E65*$C65/100</f>
        <v>0.30599999999999999</v>
      </c>
      <c r="F65" s="18">
        <f>'Composition of waste'!$F65*$E65/100</f>
        <v>0.29399999999999998</v>
      </c>
      <c r="G65" s="18">
        <f>'Composition of waste'!$G65*$E65/100</f>
        <v>1.2000000000000002E-2</v>
      </c>
      <c r="H65" s="18">
        <v>16.790002275892693</v>
      </c>
      <c r="I65" s="18">
        <v>460.77551020408163</v>
      </c>
      <c r="J65" s="18">
        <f>'Composition of waste'!$J65*'Composition (mass)'!$E65/100</f>
        <v>0.13357702147039735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1.4264999999999998E-2</v>
      </c>
      <c r="S65" s="18">
        <v>9.8039215686274526E-3</v>
      </c>
      <c r="T65" s="18">
        <f>'Composition of waste'!$T65*'Composition (mass)'!$E65/100</f>
        <v>0.12485831916334643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2.9550000000000007E-2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8.8500000000000009E-2</v>
      </c>
      <c r="BP65" s="18">
        <f>'Composition of waste'!$BP65*$E65/100</f>
        <v>1.0500000000000001E-2</v>
      </c>
      <c r="BQ65" s="18">
        <v>0</v>
      </c>
      <c r="BR65" s="18">
        <f>'Composition of waste'!$BR65*$E65/100</f>
        <v>0.19350000000000001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v>2</v>
      </c>
      <c r="D83" s="18">
        <f>'Composition of waste'!$D83*$C83/100</f>
        <v>0.65937931034482733</v>
      </c>
      <c r="E83" s="18">
        <f>'Composition of waste'!$E83*$C83/100</f>
        <v>1.3407241379310346</v>
      </c>
      <c r="F83" s="18">
        <f>'Composition of waste'!$F83*$E83/100</f>
        <v>1.3003429672780478</v>
      </c>
      <c r="G83" s="18">
        <f>'Composition of waste'!$G83*$E83/100</f>
        <v>4.0381170652986353E-2</v>
      </c>
      <c r="H83" s="18">
        <v>16.725718261439166</v>
      </c>
      <c r="I83" s="18">
        <v>455.23846524921248</v>
      </c>
      <c r="J83" s="18">
        <f>'Composition of waste'!$J83*'Composition (mass)'!$E83/100</f>
        <v>0.59239822454227642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2.7919171800889684E-2</v>
      </c>
      <c r="S83" s="18">
        <v>0.69363701990855653</v>
      </c>
      <c r="T83" s="18">
        <f>'Composition of waste'!$T83*'Composition (mass)'!$E83/100</f>
        <v>0.5928769446899621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8.3180792544077712E-4</v>
      </c>
      <c r="BL83" s="18">
        <f>'Composition of waste'!$BL83*$E83/100</f>
        <v>0</v>
      </c>
      <c r="BM83" s="18">
        <v>0</v>
      </c>
      <c r="BN83" s="18">
        <f>'Composition of waste'!$BN83*$E83/100</f>
        <v>9.158452223694154E-5</v>
      </c>
      <c r="BO83" s="18">
        <f>'Composition of waste'!$BO83*$E83/100</f>
        <v>0.16132895163235655</v>
      </c>
      <c r="BP83" s="18">
        <f>'Composition of waste'!$BP83*$E83/100</f>
        <v>6.5605207373090654E-2</v>
      </c>
      <c r="BQ83" s="18">
        <v>0</v>
      </c>
      <c r="BR83" s="18">
        <f>'Composition of waste'!$BR83*$E83/100</f>
        <v>1.0735217409573019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>
        <v>0</v>
      </c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v>0</v>
      </c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B96" s="40" t="s">
        <v>573</v>
      </c>
      <c r="C96">
        <v>1</v>
      </c>
      <c r="D96" s="41">
        <f>C96*'Composition of waste'!D96/100</f>
        <v>0.1</v>
      </c>
      <c r="E96" s="18">
        <f>'Composition of waste'!$E96*$C96/100</f>
        <v>0.9</v>
      </c>
      <c r="F96" s="18">
        <f>'Composition of waste'!$F96*$E96/100</f>
        <v>0</v>
      </c>
      <c r="G96" s="18">
        <f>'Composition of waste'!$G96*$E96/100</f>
        <v>2.1510000000000001E-2</v>
      </c>
      <c r="BK96" s="18">
        <f>'Composition of waste'!$BK96*$E96/100</f>
        <v>0.29609999999999997</v>
      </c>
      <c r="BL96" s="18">
        <f>'Composition of waste'!$BL96*$E96/100</f>
        <v>0.12798000000000001</v>
      </c>
      <c r="BN96" s="18">
        <f>'Composition of waste'!$BN96*$E96/100</f>
        <v>0.28034999999999999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11</v>
      </c>
      <c r="D97" s="20">
        <f>SUM(D2:D96)</f>
        <v>7.9388793103448272</v>
      </c>
      <c r="E97" s="20">
        <f>SUM(E2:E96)</f>
        <v>3.0612241379310343</v>
      </c>
      <c r="F97" s="20">
        <f>SUM(F2:F96)</f>
        <v>2.0462207514886588</v>
      </c>
      <c r="G97" s="20">
        <f>SUM(G2:G96)</f>
        <v>0.13651338644237537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0.93407021218814124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6.0132966153934292E-2</v>
      </c>
      <c r="S97" s="20">
        <f t="shared" si="0"/>
        <v>37.864632672965826</v>
      </c>
      <c r="T97" s="20">
        <f t="shared" si="0"/>
        <v>0.91072680894539326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0.36303180792544076</v>
      </c>
      <c r="BL97" s="20">
        <f>SUM(BL2:BL96)</f>
        <v>0.12798000000000001</v>
      </c>
      <c r="BM97" s="20"/>
      <c r="BN97" s="20">
        <f>SUM(BN2:BN96)</f>
        <v>0.28424158452223691</v>
      </c>
      <c r="BO97" s="20">
        <f t="shared" si="0"/>
        <v>0.3613523671451338</v>
      </c>
      <c r="BP97" s="20">
        <f t="shared" si="0"/>
        <v>0.10352682330078561</v>
      </c>
      <c r="BQ97" s="20"/>
      <c r="BR97" s="20">
        <f t="shared" si="0"/>
        <v>1.5801347658362843</v>
      </c>
    </row>
    <row r="98" spans="1:70" x14ac:dyDescent="0.35">
      <c r="B98" s="21"/>
    </row>
    <row r="103" spans="1:70" x14ac:dyDescent="0.35">
      <c r="A103" t="s">
        <v>479</v>
      </c>
      <c r="B103">
        <f>J97/R97</f>
        <v>15.533413232884875</v>
      </c>
    </row>
    <row r="104" spans="1:70" x14ac:dyDescent="0.35">
      <c r="A104" t="s">
        <v>478</v>
      </c>
      <c r="B104">
        <v>200</v>
      </c>
    </row>
    <row r="105" spans="1:70" x14ac:dyDescent="0.35">
      <c r="A105" t="s">
        <v>480</v>
      </c>
      <c r="B105">
        <f>((C97*B103)-(30*C97))/(30-B104)</f>
        <v>0.93607326140156688</v>
      </c>
    </row>
    <row r="106" spans="1:70" x14ac:dyDescent="0.35">
      <c r="A106" t="s">
        <v>481</v>
      </c>
      <c r="B106">
        <f>((C97*B103)+(B105*B104))/(C97+B105)</f>
        <v>29.999999999999996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U46"/>
  <sheetViews>
    <sheetView tabSelected="1" zoomScale="84" zoomScaleNormal="115" workbookViewId="0">
      <selection activeCell="K16" sqref="K16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1" x14ac:dyDescent="0.35">
      <c r="A1" s="1" t="s">
        <v>515</v>
      </c>
      <c r="B1" s="1" t="s">
        <v>384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588</v>
      </c>
      <c r="Q1" t="s">
        <v>516</v>
      </c>
    </row>
    <row r="2" spans="1:21" x14ac:dyDescent="0.35">
      <c r="A2" s="2" t="s">
        <v>308</v>
      </c>
      <c r="B2" s="2">
        <f>'Composition (mass)'!BR97/B38</f>
        <v>0.14364861507602586</v>
      </c>
      <c r="C2" s="2" t="s">
        <v>526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(B2*B$38)/(L2*0.001)</f>
        <v>8.7785264768682474</v>
      </c>
      <c r="Q2" t="s">
        <v>518</v>
      </c>
      <c r="R2" t="s">
        <v>309</v>
      </c>
      <c r="S2" t="s">
        <v>6</v>
      </c>
      <c r="T2" t="s">
        <v>519</v>
      </c>
      <c r="U2" t="s">
        <v>17</v>
      </c>
    </row>
    <row r="3" spans="1:21" x14ac:dyDescent="0.35">
      <c r="A3" s="2" t="s">
        <v>6</v>
      </c>
      <c r="B3" s="2">
        <f>'Composition (mass)'!BO97/B38</f>
        <v>3.2850215195012161E-2</v>
      </c>
      <c r="C3" s="2" t="s">
        <v>526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  <c r="N3">
        <f>(B3*B$38)/(L3*0.001)</f>
        <v>1.02656922484413</v>
      </c>
      <c r="P3" t="s">
        <v>463</v>
      </c>
      <c r="Q3">
        <f>(F4-(G4/4)-(H4/2))</f>
        <v>12.25</v>
      </c>
      <c r="R3">
        <f>F5-(G5/4)-(H5/2)</f>
        <v>1</v>
      </c>
      <c r="S3">
        <f>(F3-(G3/4)-(H3/2)+((3*I3)/4))</f>
        <v>10.5</v>
      </c>
      <c r="T3">
        <f>F2-(G2/4)-(H2/2)</f>
        <v>0</v>
      </c>
      <c r="U3">
        <f>F7-(G7/4)-(H7/2)</f>
        <v>9.5</v>
      </c>
    </row>
    <row r="4" spans="1:21" x14ac:dyDescent="0.35">
      <c r="A4" s="2" t="s">
        <v>7</v>
      </c>
      <c r="B4" s="2">
        <f>'Composition (mass)'!BP97/B38</f>
        <v>9.4115293909805102E-3</v>
      </c>
      <c r="C4" s="2" t="s">
        <v>526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(B4*B$38)/(L4*0.001)</f>
        <v>0.2634270312997089</v>
      </c>
      <c r="P4" t="s">
        <v>464</v>
      </c>
      <c r="Q4">
        <f>(F4/2)-(G4/8)+(H4/4)</f>
        <v>7.625</v>
      </c>
      <c r="R4">
        <f>(F5/2)-(G5/8)+(H5/4)</f>
        <v>5</v>
      </c>
      <c r="S4">
        <f>(F3/2)-(G3/8)+(H3/4)+((3*I3)/8)</f>
        <v>7.75</v>
      </c>
      <c r="T4">
        <f>(F2/2)-(G2/8)+(H2/4)</f>
        <v>3</v>
      </c>
      <c r="U4">
        <f>(F7/2)-(G7/8)+(H7/4)</f>
        <v>7.75</v>
      </c>
    </row>
    <row r="5" spans="1:21" x14ac:dyDescent="0.35">
      <c r="A5" s="2" t="s">
        <v>309</v>
      </c>
      <c r="B5" s="33">
        <f>'Composition (mass)'!BL97/B38</f>
        <v>1.1634545454545455E-2</v>
      </c>
      <c r="C5" s="2" t="s">
        <v>526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0.45382978723404255</v>
      </c>
      <c r="P5" t="s">
        <v>465</v>
      </c>
      <c r="Q5">
        <f>(F4/2)+(G4/8)-(H4/4)</f>
        <v>17.375</v>
      </c>
      <c r="R5">
        <f>(F5/2)+(G5/8)-(H5/4)</f>
        <v>5</v>
      </c>
      <c r="S5">
        <f>(F3/2)+(G3/8)-(H3/4)-((3*I3)/8)</f>
        <v>8.25</v>
      </c>
      <c r="T5">
        <f>(F2/2)+(G2/8)-(H2/4)</f>
        <v>3</v>
      </c>
      <c r="U5">
        <f>(F7/2)+(G7/8)-(H7/4)</f>
        <v>12.25</v>
      </c>
    </row>
    <row r="6" spans="1:21" x14ac:dyDescent="0.35">
      <c r="A6" s="2" t="s">
        <v>11</v>
      </c>
      <c r="B6" s="2">
        <f>'Composition (mass)'!BK97/B38</f>
        <v>3.3002891629585522E-2</v>
      </c>
      <c r="C6" s="2" t="s">
        <v>526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f>($F6*12)+($G6*1)+($H6*16)+($I6*14)</f>
        <v>180</v>
      </c>
      <c r="M6">
        <v>4</v>
      </c>
      <c r="N6">
        <f t="shared" si="1"/>
        <v>2.0168433773635597</v>
      </c>
      <c r="P6" t="s">
        <v>466</v>
      </c>
      <c r="S6">
        <f>I3</f>
        <v>4</v>
      </c>
    </row>
    <row r="7" spans="1:21" x14ac:dyDescent="0.35">
      <c r="A7" s="2" t="s">
        <v>17</v>
      </c>
      <c r="B7" s="2">
        <f>'Composition (mass)'!BN97/B38</f>
        <v>2.5840144047476084E-2</v>
      </c>
      <c r="C7" s="2" t="s">
        <v>526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0.7766163511536528</v>
      </c>
      <c r="P7" t="s">
        <v>517</v>
      </c>
      <c r="Q7">
        <f>(Q5*16)/L4</f>
        <v>0.70737913486005088</v>
      </c>
      <c r="R7">
        <f>(R5*16)/L5</f>
        <v>0.28368794326241137</v>
      </c>
      <c r="S7">
        <f>(S5*16)/L3</f>
        <v>0.375</v>
      </c>
      <c r="T7">
        <f>(T5*16)/L2</f>
        <v>0.26666666666666666</v>
      </c>
      <c r="U7">
        <f>(U5*16)/L7</f>
        <v>0.53551912568306015</v>
      </c>
    </row>
    <row r="8" spans="1:21" x14ac:dyDescent="0.35">
      <c r="A8" s="2" t="s">
        <v>282</v>
      </c>
      <c r="B8" s="2">
        <f>'Composition (mass)'!G97/B38</f>
        <v>1.2410307858397761E-2</v>
      </c>
      <c r="C8" s="2" t="s">
        <v>526</v>
      </c>
      <c r="D8" s="2" t="s">
        <v>283</v>
      </c>
      <c r="L8">
        <f t="shared" si="0"/>
        <v>0</v>
      </c>
      <c r="M8">
        <v>6</v>
      </c>
    </row>
    <row r="9" spans="1:21" x14ac:dyDescent="0.35">
      <c r="A9" s="2" t="s">
        <v>13</v>
      </c>
      <c r="B9" s="2">
        <v>1E-4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1" x14ac:dyDescent="0.35">
      <c r="A10" s="2" t="s">
        <v>14</v>
      </c>
      <c r="B10" s="2">
        <v>1E-4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1" x14ac:dyDescent="0.35">
      <c r="A11" s="2" t="s">
        <v>15</v>
      </c>
      <c r="B11" s="2">
        <v>1E-4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  <c r="Q11">
        <f>L2*0.001</f>
        <v>0.18</v>
      </c>
    </row>
    <row r="12" spans="1:21" x14ac:dyDescent="0.35">
      <c r="A12" s="2" t="s">
        <v>16</v>
      </c>
      <c r="B12" s="2">
        <v>1E-4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1" x14ac:dyDescent="0.35">
      <c r="A13" s="2" t="s">
        <v>19</v>
      </c>
      <c r="B13" s="2">
        <v>1E-4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1" x14ac:dyDescent="0.35">
      <c r="A14" s="2" t="s">
        <v>21</v>
      </c>
      <c r="B14">
        <f>(B38*0.01)/B38/10</f>
        <v>1E-3</v>
      </c>
      <c r="C14" s="2" t="s">
        <v>526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1" x14ac:dyDescent="0.35">
      <c r="A15" s="2" t="s">
        <v>28</v>
      </c>
      <c r="B15">
        <f>(B38*0.01)/B38/10</f>
        <v>1E-3</v>
      </c>
      <c r="C15" s="2" t="s">
        <v>526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1" x14ac:dyDescent="0.35">
      <c r="A16" s="2" t="s">
        <v>30</v>
      </c>
      <c r="B16">
        <f>(B38*0.01)/B38/10</f>
        <v>1E-3</v>
      </c>
      <c r="C16" s="2" t="s">
        <v>526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(B38*0.01)/B38/10</f>
        <v>1E-3</v>
      </c>
      <c r="C17" s="2" t="s">
        <v>526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(B38*0.01)/B38/10</f>
        <v>1E-3</v>
      </c>
      <c r="C18" s="2" t="s">
        <v>526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(B38*0.01)/B38/10</f>
        <v>1E-3</v>
      </c>
      <c r="C19" s="2" t="s">
        <v>526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386</v>
      </c>
      <c r="B20">
        <f>(B38*0.01)/B38/10</f>
        <v>1E-3</v>
      </c>
      <c r="C20" s="2" t="s">
        <v>526</v>
      </c>
      <c r="D20" s="2" t="s">
        <v>442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(mass)'!D97/B38</f>
        <v>0.72171630094043882</v>
      </c>
      <c r="C22" s="2" t="s">
        <v>526</v>
      </c>
      <c r="D22" s="2" t="s">
        <v>338</v>
      </c>
    </row>
    <row r="23" spans="1:13" x14ac:dyDescent="0.35">
      <c r="A23" s="2" t="s">
        <v>349</v>
      </c>
      <c r="B23">
        <v>0</v>
      </c>
      <c r="C23" s="2" t="s">
        <v>5</v>
      </c>
      <c r="D23" s="2" t="s">
        <v>350</v>
      </c>
    </row>
    <row r="24" spans="1:13" x14ac:dyDescent="0.35">
      <c r="A24" s="2" t="s">
        <v>351</v>
      </c>
      <c r="C24" s="2" t="s">
        <v>5</v>
      </c>
      <c r="D24" s="2" t="s">
        <v>352</v>
      </c>
    </row>
    <row r="25" spans="1:13" x14ac:dyDescent="0.35">
      <c r="A25" s="2" t="s">
        <v>381</v>
      </c>
      <c r="B25">
        <v>1</v>
      </c>
      <c r="C25" s="2" t="s">
        <v>526</v>
      </c>
      <c r="D25" s="2" t="s">
        <v>20</v>
      </c>
      <c r="L25">
        <f>($F25*12)+($G25*1)+($H25*16)+($I25*14)</f>
        <v>0</v>
      </c>
    </row>
    <row r="26" spans="1:13" x14ac:dyDescent="0.35">
      <c r="A26" s="2" t="s">
        <v>353</v>
      </c>
      <c r="C26" s="2" t="s">
        <v>348</v>
      </c>
      <c r="D26" s="2" t="s">
        <v>367</v>
      </c>
    </row>
    <row r="27" spans="1:13" x14ac:dyDescent="0.35">
      <c r="A27" s="2" t="s">
        <v>354</v>
      </c>
      <c r="C27" s="2" t="s">
        <v>348</v>
      </c>
      <c r="D27" s="2" t="s">
        <v>368</v>
      </c>
    </row>
    <row r="28" spans="1:13" x14ac:dyDescent="0.35">
      <c r="A28" s="2" t="s">
        <v>355</v>
      </c>
      <c r="C28" s="2" t="s">
        <v>348</v>
      </c>
      <c r="D28" s="2" t="s">
        <v>369</v>
      </c>
    </row>
    <row r="29" spans="1:13" x14ac:dyDescent="0.35">
      <c r="A29" s="2" t="s">
        <v>356</v>
      </c>
      <c r="C29" s="2" t="s">
        <v>348</v>
      </c>
      <c r="D29" s="2" t="s">
        <v>370</v>
      </c>
    </row>
    <row r="30" spans="1:13" x14ac:dyDescent="0.35">
      <c r="A30" s="2" t="s">
        <v>357</v>
      </c>
      <c r="C30" s="2" t="s">
        <v>348</v>
      </c>
      <c r="D30" s="2" t="s">
        <v>371</v>
      </c>
    </row>
    <row r="31" spans="1:13" x14ac:dyDescent="0.35">
      <c r="A31" s="2" t="s">
        <v>358</v>
      </c>
      <c r="C31" s="2" t="s">
        <v>348</v>
      </c>
      <c r="D31" s="2" t="s">
        <v>360</v>
      </c>
    </row>
    <row r="32" spans="1:13" x14ac:dyDescent="0.35">
      <c r="A32" s="2" t="s">
        <v>359</v>
      </c>
      <c r="C32" s="2" t="s">
        <v>348</v>
      </c>
      <c r="D32" s="2" t="s">
        <v>361</v>
      </c>
    </row>
    <row r="33" spans="1:20" x14ac:dyDescent="0.35">
      <c r="A33" s="2" t="s">
        <v>355</v>
      </c>
      <c r="C33" s="2" t="s">
        <v>348</v>
      </c>
      <c r="D33" s="2" t="s">
        <v>362</v>
      </c>
    </row>
    <row r="34" spans="1:20" x14ac:dyDescent="0.35">
      <c r="A34" s="2" t="s">
        <v>356</v>
      </c>
      <c r="C34" s="2" t="s">
        <v>348</v>
      </c>
      <c r="D34" s="2" t="s">
        <v>363</v>
      </c>
    </row>
    <row r="35" spans="1:20" x14ac:dyDescent="0.35">
      <c r="A35" s="2" t="s">
        <v>357</v>
      </c>
      <c r="C35" s="2" t="s">
        <v>348</v>
      </c>
      <c r="D35" s="2" t="s">
        <v>364</v>
      </c>
    </row>
    <row r="36" spans="1:20" x14ac:dyDescent="0.35">
      <c r="A36" s="2" t="s">
        <v>336</v>
      </c>
      <c r="C36" s="2" t="s">
        <v>365</v>
      </c>
      <c r="D36" s="2" t="s">
        <v>383</v>
      </c>
    </row>
    <row r="37" spans="1:20" x14ac:dyDescent="0.35">
      <c r="A37" s="2" t="s">
        <v>366</v>
      </c>
      <c r="C37" s="2" t="s">
        <v>365</v>
      </c>
      <c r="D37" s="2" t="s">
        <v>382</v>
      </c>
    </row>
    <row r="38" spans="1:20" x14ac:dyDescent="0.35">
      <c r="A38" s="2" t="s">
        <v>523</v>
      </c>
      <c r="B38">
        <f>'Composition (mass)'!C97</f>
        <v>11</v>
      </c>
      <c r="C38" s="2" t="s">
        <v>5</v>
      </c>
      <c r="D38" s="2" t="s">
        <v>522</v>
      </c>
    </row>
    <row r="39" spans="1:20" x14ac:dyDescent="0.35">
      <c r="A39" s="2" t="s">
        <v>553</v>
      </c>
      <c r="C39" s="2" t="s">
        <v>554</v>
      </c>
    </row>
    <row r="40" spans="1:20" x14ac:dyDescent="0.35">
      <c r="A40" s="2" t="s">
        <v>570</v>
      </c>
      <c r="B40" s="39">
        <v>2E-3</v>
      </c>
      <c r="C40" s="2" t="s">
        <v>571</v>
      </c>
      <c r="D40" s="2" t="s">
        <v>572</v>
      </c>
      <c r="E40" t="s">
        <v>583</v>
      </c>
      <c r="Q40" t="s">
        <v>591</v>
      </c>
      <c r="R40" t="s">
        <v>434</v>
      </c>
      <c r="S40" t="s">
        <v>592</v>
      </c>
      <c r="T40" t="s">
        <v>300</v>
      </c>
    </row>
    <row r="41" spans="1:20" x14ac:dyDescent="0.35">
      <c r="Q41">
        <f>0.024709*11</f>
        <v>0.27179899999999996</v>
      </c>
      <c r="R41">
        <f>0.271799/(44*0.001)</f>
        <v>6.1772500000000008</v>
      </c>
      <c r="S41">
        <f>12*R41</f>
        <v>74.12700000000001</v>
      </c>
    </row>
    <row r="42" spans="1:20" x14ac:dyDescent="0.35">
      <c r="E42" s="39">
        <v>2.72</v>
      </c>
      <c r="F42" t="s">
        <v>582</v>
      </c>
      <c r="Q42">
        <f>2.63704*11</f>
        <v>29.007439999999999</v>
      </c>
      <c r="R42">
        <f>(Q42/(44*0.001))</f>
        <v>659.26</v>
      </c>
      <c r="S42">
        <f>R42*12</f>
        <v>7911.12</v>
      </c>
    </row>
    <row r="44" spans="1:20" x14ac:dyDescent="0.35">
      <c r="A44" t="s">
        <v>589</v>
      </c>
      <c r="F44">
        <f>12*((F2*N2)+(F3*N3)+(F4*N4)+(F5*N5)+(F6*N6)+(F7*N7))</f>
        <v>1294.2435288096374</v>
      </c>
    </row>
    <row r="45" spans="1:20" x14ac:dyDescent="0.35">
      <c r="A45" t="s">
        <v>590</v>
      </c>
      <c r="F45">
        <f>(F44*0.001)/B38</f>
        <v>0.11765850261905796</v>
      </c>
    </row>
    <row r="46" spans="1:20" x14ac:dyDescent="0.35">
      <c r="A46" t="s">
        <v>593</v>
      </c>
      <c r="F46">
        <f>(F45/0.012)*0.044</f>
        <v>0.43141450960321248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387</v>
      </c>
      <c r="B1" t="s">
        <v>388</v>
      </c>
    </row>
    <row r="2" spans="1:3" x14ac:dyDescent="0.35">
      <c r="A2" t="s">
        <v>389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385</v>
      </c>
      <c r="B12" s="2">
        <v>0.2</v>
      </c>
    </row>
    <row r="13" spans="1:3" x14ac:dyDescent="0.35">
      <c r="A13" s="2" t="s">
        <v>430</v>
      </c>
      <c r="B13">
        <v>1.83</v>
      </c>
      <c r="C13" t="s">
        <v>436</v>
      </c>
    </row>
    <row r="14" spans="1:3" x14ac:dyDescent="0.35">
      <c r="A14" s="2" t="s">
        <v>431</v>
      </c>
      <c r="B14">
        <v>1.98</v>
      </c>
    </row>
    <row r="15" spans="1:3" x14ac:dyDescent="0.35">
      <c r="A15" s="2" t="s">
        <v>432</v>
      </c>
      <c r="B15">
        <v>2.1000000000000001E-2</v>
      </c>
    </row>
    <row r="16" spans="1:3" x14ac:dyDescent="0.35">
      <c r="A16" s="2" t="s">
        <v>433</v>
      </c>
      <c r="B16">
        <v>1.0409999999999999</v>
      </c>
    </row>
    <row r="17" spans="1:2" x14ac:dyDescent="0.35">
      <c r="A17" s="2" t="s">
        <v>434</v>
      </c>
      <c r="B17">
        <v>0.98</v>
      </c>
    </row>
    <row r="18" spans="1:2" x14ac:dyDescent="0.35">
      <c r="A18" s="2" t="s">
        <v>435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5"/>
  <sheetViews>
    <sheetView workbookViewId="0">
      <selection activeCell="D75" sqref="D75"/>
    </sheetView>
  </sheetViews>
  <sheetFormatPr baseColWidth="10" defaultRowHeight="14.5" x14ac:dyDescent="0.35"/>
  <cols>
    <col min="1" max="1" width="15.90625" style="23" customWidth="1"/>
    <col min="2" max="2" width="8.36328125" style="23" bestFit="1" customWidth="1"/>
    <col min="3" max="3" width="18.54296875" style="23" bestFit="1" customWidth="1"/>
    <col min="4" max="4" width="45.54296875" style="23" bestFit="1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498</v>
      </c>
      <c r="G1" s="1" t="s">
        <v>499</v>
      </c>
      <c r="H1" s="1" t="s">
        <v>496</v>
      </c>
      <c r="I1" s="1" t="s">
        <v>497</v>
      </c>
    </row>
    <row r="2" spans="1:11" x14ac:dyDescent="0.35">
      <c r="A2" s="2" t="s">
        <v>484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503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485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503</v>
      </c>
      <c r="K3" s="2">
        <f t="shared" si="0"/>
        <v>0.48</v>
      </c>
    </row>
    <row r="4" spans="1:11" x14ac:dyDescent="0.35">
      <c r="A4" s="2" t="s">
        <v>486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503</v>
      </c>
      <c r="K4" s="2">
        <f t="shared" si="0"/>
        <v>0.24</v>
      </c>
    </row>
    <row r="5" spans="1:11" x14ac:dyDescent="0.35">
      <c r="A5" s="2" t="s">
        <v>487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503</v>
      </c>
      <c r="K5" s="2">
        <f t="shared" si="0"/>
        <v>0.48</v>
      </c>
    </row>
    <row r="6" spans="1:11" x14ac:dyDescent="0.35">
      <c r="A6" s="2" t="s">
        <v>488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503</v>
      </c>
      <c r="K6" s="2">
        <f t="shared" si="0"/>
        <v>0.96</v>
      </c>
    </row>
    <row r="7" spans="1:11" x14ac:dyDescent="0.35">
      <c r="A7" s="2" t="s">
        <v>489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503</v>
      </c>
      <c r="K7" s="2">
        <f t="shared" si="0"/>
        <v>0.24</v>
      </c>
    </row>
    <row r="8" spans="1:11" x14ac:dyDescent="0.35">
      <c r="A8" s="2" t="s">
        <v>490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503</v>
      </c>
      <c r="K8" s="2">
        <f t="shared" si="0"/>
        <v>0.21599999999999997</v>
      </c>
    </row>
    <row r="9" spans="1:11" x14ac:dyDescent="0.35">
      <c r="A9" s="2" t="s">
        <v>491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503</v>
      </c>
      <c r="K9" s="2">
        <f t="shared" si="0"/>
        <v>0.16800000000000001</v>
      </c>
    </row>
    <row r="10" spans="1:11" x14ac:dyDescent="0.35">
      <c r="A10" s="2" t="s">
        <v>492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503</v>
      </c>
      <c r="K10" s="2">
        <f t="shared" si="0"/>
        <v>0.16800000000000001</v>
      </c>
    </row>
    <row r="11" spans="1:11" x14ac:dyDescent="0.35">
      <c r="A11" s="2" t="s">
        <v>493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503</v>
      </c>
      <c r="K11" s="2">
        <f t="shared" si="0"/>
        <v>0.21599999999999997</v>
      </c>
    </row>
    <row r="12" spans="1:11" x14ac:dyDescent="0.35">
      <c r="A12" s="2" t="s">
        <v>494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503</v>
      </c>
      <c r="K12" s="2">
        <f t="shared" si="0"/>
        <v>0.16800000000000001</v>
      </c>
    </row>
    <row r="13" spans="1:11" x14ac:dyDescent="0.35">
      <c r="A13" s="2" t="s">
        <v>495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503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503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503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503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503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503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503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503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503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503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503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503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503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503</v>
      </c>
      <c r="K26" s="2">
        <f t="shared" si="0"/>
        <v>0.06</v>
      </c>
    </row>
    <row r="27" spans="1:11" x14ac:dyDescent="0.35">
      <c r="A27" s="23" t="s">
        <v>428</v>
      </c>
      <c r="B27" s="23">
        <v>0.03</v>
      </c>
      <c r="C27" s="23" t="s">
        <v>255</v>
      </c>
      <c r="D27" s="23" t="s">
        <v>429</v>
      </c>
      <c r="E27" s="23">
        <v>25</v>
      </c>
      <c r="F27" s="23" t="s">
        <v>500</v>
      </c>
      <c r="G27" s="23" t="s">
        <v>501</v>
      </c>
    </row>
    <row r="28" spans="1:11" x14ac:dyDescent="0.35">
      <c r="A28" s="27" t="s">
        <v>437</v>
      </c>
      <c r="B28" s="2">
        <v>4.2000000000000003E-2</v>
      </c>
      <c r="C28" s="2" t="s">
        <v>531</v>
      </c>
      <c r="D28" s="2" t="s">
        <v>439</v>
      </c>
      <c r="E28" s="23">
        <v>26</v>
      </c>
      <c r="F28" s="23" t="s">
        <v>500</v>
      </c>
      <c r="G28" s="23" t="s">
        <v>502</v>
      </c>
      <c r="H28" s="27">
        <v>1</v>
      </c>
      <c r="I28" s="27" t="s">
        <v>438</v>
      </c>
    </row>
    <row r="29" spans="1:11" x14ac:dyDescent="0.35">
      <c r="A29" s="2" t="s">
        <v>440</v>
      </c>
      <c r="B29" s="2">
        <v>8.3000000000000001E-3</v>
      </c>
      <c r="C29" s="23" t="s">
        <v>255</v>
      </c>
      <c r="D29" s="2" t="s">
        <v>441</v>
      </c>
      <c r="E29" s="23">
        <v>27</v>
      </c>
      <c r="F29" s="23" t="s">
        <v>500</v>
      </c>
      <c r="G29" s="23" t="s">
        <v>501</v>
      </c>
    </row>
    <row r="30" spans="1:11" hidden="1" x14ac:dyDescent="0.35">
      <c r="A30" s="2" t="s">
        <v>372</v>
      </c>
      <c r="B30" s="24">
        <v>9.9999999999999995E-8</v>
      </c>
      <c r="C30" s="2" t="s">
        <v>373</v>
      </c>
      <c r="D30" s="2" t="s">
        <v>378</v>
      </c>
      <c r="E30" s="23">
        <v>25</v>
      </c>
      <c r="F30" s="2" t="s">
        <v>503</v>
      </c>
    </row>
    <row r="31" spans="1:11" hidden="1" x14ac:dyDescent="0.35">
      <c r="A31" s="2" t="s">
        <v>374</v>
      </c>
      <c r="B31" s="24">
        <v>9.9999999999999995E-7</v>
      </c>
      <c r="C31" s="2" t="s">
        <v>373</v>
      </c>
      <c r="D31" s="2" t="s">
        <v>377</v>
      </c>
      <c r="E31" s="23">
        <v>26</v>
      </c>
      <c r="F31" s="2" t="s">
        <v>503</v>
      </c>
    </row>
    <row r="32" spans="1:11" hidden="1" x14ac:dyDescent="0.35">
      <c r="A32" s="2" t="s">
        <v>375</v>
      </c>
      <c r="B32" s="24">
        <v>9.9999999999999995E-8</v>
      </c>
      <c r="C32" s="2" t="s">
        <v>373</v>
      </c>
      <c r="D32" s="2" t="s">
        <v>379</v>
      </c>
      <c r="E32" s="23">
        <v>27</v>
      </c>
      <c r="F32" s="2" t="s">
        <v>503</v>
      </c>
    </row>
    <row r="33" spans="1:8" hidden="1" x14ac:dyDescent="0.35">
      <c r="A33" s="2" t="s">
        <v>376</v>
      </c>
      <c r="B33" s="24">
        <v>9.9999999999999995E-8</v>
      </c>
      <c r="C33" s="2" t="s">
        <v>373</v>
      </c>
      <c r="D33" s="2" t="s">
        <v>380</v>
      </c>
      <c r="E33" s="23">
        <v>28</v>
      </c>
      <c r="F33" s="2" t="s">
        <v>503</v>
      </c>
    </row>
    <row r="34" spans="1:8" x14ac:dyDescent="0.35">
      <c r="A34" s="2" t="s">
        <v>390</v>
      </c>
      <c r="B34" s="24">
        <v>1E-4</v>
      </c>
      <c r="C34" s="2" t="s">
        <v>525</v>
      </c>
      <c r="D34" s="2" t="s">
        <v>514</v>
      </c>
      <c r="E34" s="23">
        <v>29</v>
      </c>
      <c r="F34" s="2" t="s">
        <v>503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503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503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503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503</v>
      </c>
    </row>
    <row r="39" spans="1:8" x14ac:dyDescent="0.35">
      <c r="A39" s="2" t="s">
        <v>425</v>
      </c>
      <c r="B39" s="2">
        <v>57.2</v>
      </c>
      <c r="C39" s="2" t="s">
        <v>323</v>
      </c>
      <c r="D39" s="2" t="s">
        <v>330</v>
      </c>
      <c r="F39" s="2" t="s">
        <v>503</v>
      </c>
    </row>
    <row r="40" spans="1:8" x14ac:dyDescent="0.35">
      <c r="A40" s="2" t="s">
        <v>424</v>
      </c>
      <c r="B40" s="2">
        <v>65.5</v>
      </c>
      <c r="C40" s="23" t="s">
        <v>323</v>
      </c>
      <c r="D40" s="2" t="s">
        <v>331</v>
      </c>
      <c r="F40" s="2" t="s">
        <v>503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345</v>
      </c>
    </row>
    <row r="42" spans="1:8" s="26" customFormat="1" x14ac:dyDescent="0.35">
      <c r="A42" s="28" t="s">
        <v>528</v>
      </c>
      <c r="B42" s="26">
        <v>0.2</v>
      </c>
      <c r="C42" s="26" t="s">
        <v>529</v>
      </c>
      <c r="D42" s="28" t="s">
        <v>521</v>
      </c>
      <c r="F42" s="2" t="s">
        <v>503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503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503</v>
      </c>
    </row>
    <row r="45" spans="1:8" x14ac:dyDescent="0.35">
      <c r="A45" s="2" t="s">
        <v>344</v>
      </c>
      <c r="B45" s="24">
        <v>4.9999999999999998E-8</v>
      </c>
      <c r="C45" s="2" t="s">
        <v>524</v>
      </c>
      <c r="D45" s="2" t="s">
        <v>527</v>
      </c>
      <c r="F45" s="2" t="s">
        <v>503</v>
      </c>
    </row>
    <row r="46" spans="1:8" x14ac:dyDescent="0.35">
      <c r="A46" s="2" t="s">
        <v>346</v>
      </c>
      <c r="B46" s="24">
        <v>6.2000000000000003E-5</v>
      </c>
      <c r="C46" s="2" t="s">
        <v>524</v>
      </c>
      <c r="D46" s="2" t="s">
        <v>347</v>
      </c>
      <c r="F46" s="2" t="s">
        <v>503</v>
      </c>
    </row>
    <row r="47" spans="1:8" x14ac:dyDescent="0.35">
      <c r="A47" s="23" t="s">
        <v>530</v>
      </c>
      <c r="B47" s="36">
        <v>8.4000000000000005E-2</v>
      </c>
      <c r="C47" s="2" t="s">
        <v>524</v>
      </c>
    </row>
    <row r="48" spans="1:8" s="34" customFormat="1" hidden="1" x14ac:dyDescent="0.35">
      <c r="A48" s="34" t="s">
        <v>401</v>
      </c>
      <c r="B48" s="34">
        <v>404</v>
      </c>
      <c r="C48" s="34" t="s">
        <v>402</v>
      </c>
      <c r="D48" s="34" t="s">
        <v>403</v>
      </c>
      <c r="E48" s="34" t="s">
        <v>404</v>
      </c>
    </row>
    <row r="49" spans="1:8" s="34" customFormat="1" hidden="1" x14ac:dyDescent="0.35">
      <c r="A49" s="34" t="s">
        <v>405</v>
      </c>
      <c r="B49" s="34">
        <v>1005</v>
      </c>
      <c r="C49" s="34" t="s">
        <v>407</v>
      </c>
      <c r="D49" s="34" t="s">
        <v>406</v>
      </c>
      <c r="E49" s="34" t="s">
        <v>408</v>
      </c>
    </row>
    <row r="50" spans="1:8" s="34" customFormat="1" hidden="1" x14ac:dyDescent="0.35">
      <c r="A50" s="34" t="s">
        <v>411</v>
      </c>
      <c r="B50" s="34">
        <v>710</v>
      </c>
      <c r="C50" s="34" t="s">
        <v>407</v>
      </c>
      <c r="D50" s="34" t="s">
        <v>420</v>
      </c>
      <c r="E50" s="34" t="s">
        <v>418</v>
      </c>
      <c r="F50" s="34" t="s">
        <v>421</v>
      </c>
    </row>
    <row r="51" spans="1:8" s="34" customFormat="1" hidden="1" x14ac:dyDescent="0.35">
      <c r="A51" s="34" t="s">
        <v>412</v>
      </c>
      <c r="B51" s="34">
        <v>1000</v>
      </c>
      <c r="C51" s="34" t="s">
        <v>407</v>
      </c>
    </row>
    <row r="52" spans="1:8" s="34" customFormat="1" hidden="1" x14ac:dyDescent="0.35">
      <c r="A52" s="34" t="s">
        <v>413</v>
      </c>
      <c r="B52" s="35">
        <v>1260</v>
      </c>
      <c r="C52" s="34" t="s">
        <v>407</v>
      </c>
      <c r="D52" s="34" t="s">
        <v>416</v>
      </c>
      <c r="E52" s="34" t="s">
        <v>417</v>
      </c>
    </row>
    <row r="53" spans="1:8" s="34" customFormat="1" hidden="1" x14ac:dyDescent="0.35">
      <c r="A53" s="34" t="s">
        <v>414</v>
      </c>
      <c r="B53" s="34">
        <v>1542</v>
      </c>
      <c r="C53" s="34" t="s">
        <v>407</v>
      </c>
      <c r="D53" s="34" t="s">
        <v>422</v>
      </c>
      <c r="E53" s="34" t="s">
        <v>423</v>
      </c>
    </row>
    <row r="54" spans="1:8" s="34" customFormat="1" hidden="1" x14ac:dyDescent="0.35">
      <c r="A54" s="34" t="s">
        <v>415</v>
      </c>
      <c r="B54" s="34">
        <v>1305</v>
      </c>
      <c r="C54" s="34" t="s">
        <v>407</v>
      </c>
      <c r="E54" s="34" t="s">
        <v>419</v>
      </c>
    </row>
    <row r="55" spans="1:8" x14ac:dyDescent="0.35">
      <c r="A55" s="2" t="s">
        <v>426</v>
      </c>
      <c r="B55" s="23">
        <v>0.2</v>
      </c>
      <c r="C55"/>
      <c r="D55" s="2" t="s">
        <v>427</v>
      </c>
      <c r="E55" s="23">
        <v>54</v>
      </c>
      <c r="F55" s="23" t="s">
        <v>500</v>
      </c>
      <c r="G55" s="23" t="s">
        <v>501</v>
      </c>
    </row>
    <row r="56" spans="1:8" x14ac:dyDescent="0.35">
      <c r="A56" s="26" t="s">
        <v>532</v>
      </c>
      <c r="B56" s="26">
        <v>0.2</v>
      </c>
      <c r="C56" s="26" t="s">
        <v>443</v>
      </c>
      <c r="D56" s="27" t="s">
        <v>444</v>
      </c>
      <c r="F56" s="23" t="s">
        <v>500</v>
      </c>
      <c r="G56" s="23" t="s">
        <v>533</v>
      </c>
    </row>
    <row r="57" spans="1:8" x14ac:dyDescent="0.35">
      <c r="A57" s="23" t="s">
        <v>467</v>
      </c>
      <c r="B57" s="38">
        <v>5.352E-4</v>
      </c>
      <c r="C57" s="26" t="s">
        <v>551</v>
      </c>
      <c r="D57" s="27" t="s">
        <v>483</v>
      </c>
      <c r="F57" s="37" t="s">
        <v>552</v>
      </c>
    </row>
    <row r="58" spans="1:8" x14ac:dyDescent="0.35">
      <c r="A58" s="23" t="s">
        <v>482</v>
      </c>
      <c r="B58" s="26">
        <v>0.72</v>
      </c>
      <c r="C58" s="26" t="s">
        <v>524</v>
      </c>
      <c r="D58" s="27" t="s">
        <v>504</v>
      </c>
      <c r="F58" s="23" t="s">
        <v>550</v>
      </c>
      <c r="G58" s="23" t="s">
        <v>502</v>
      </c>
    </row>
    <row r="59" spans="1:8" x14ac:dyDescent="0.35">
      <c r="A59" s="23" t="s">
        <v>509</v>
      </c>
      <c r="B59" s="26">
        <v>3.3000000000000002E-2</v>
      </c>
      <c r="C59" s="23" t="s">
        <v>529</v>
      </c>
      <c r="D59" s="23" t="s">
        <v>510</v>
      </c>
      <c r="F59" s="23" t="s">
        <v>550</v>
      </c>
    </row>
    <row r="60" spans="1:8" x14ac:dyDescent="0.35">
      <c r="A60" s="23" t="s">
        <v>511</v>
      </c>
      <c r="B60" s="38">
        <v>400000</v>
      </c>
      <c r="C60" s="23" t="s">
        <v>549</v>
      </c>
      <c r="D60" s="23" t="s">
        <v>512</v>
      </c>
      <c r="F60" s="23" t="s">
        <v>513</v>
      </c>
    </row>
    <row r="61" spans="1:8" x14ac:dyDescent="0.35">
      <c r="A61" s="23" t="s">
        <v>520</v>
      </c>
      <c r="B61" s="36">
        <v>1.9000000000000001E-5</v>
      </c>
      <c r="C61" s="23" t="s">
        <v>529</v>
      </c>
      <c r="G61" s="26">
        <v>0.6</v>
      </c>
      <c r="H61" s="23" t="s">
        <v>335</v>
      </c>
    </row>
    <row r="62" spans="1:8" x14ac:dyDescent="0.35">
      <c r="A62" s="23" t="s">
        <v>337</v>
      </c>
      <c r="B62" s="26">
        <v>0.4</v>
      </c>
    </row>
    <row r="63" spans="1:8" x14ac:dyDescent="0.35">
      <c r="A63" s="23" t="s">
        <v>340</v>
      </c>
      <c r="B63" s="26">
        <v>0.6</v>
      </c>
    </row>
    <row r="64" spans="1:8" x14ac:dyDescent="0.35">
      <c r="A64" s="23" t="s">
        <v>544</v>
      </c>
      <c r="B64" s="23">
        <v>0.26700000000000002</v>
      </c>
      <c r="C64" s="23" t="s">
        <v>534</v>
      </c>
      <c r="D64" s="23" t="s">
        <v>535</v>
      </c>
    </row>
    <row r="65" spans="1:6" x14ac:dyDescent="0.35">
      <c r="A65" s="23" t="s">
        <v>545</v>
      </c>
      <c r="B65" s="23">
        <v>0.375</v>
      </c>
      <c r="C65" s="23" t="s">
        <v>536</v>
      </c>
      <c r="D65" s="23" t="s">
        <v>537</v>
      </c>
    </row>
    <row r="66" spans="1:6" x14ac:dyDescent="0.35">
      <c r="A66" s="23" t="s">
        <v>546</v>
      </c>
      <c r="B66" s="23">
        <v>0.70699999999999996</v>
      </c>
      <c r="C66" s="23" t="s">
        <v>538</v>
      </c>
      <c r="D66" s="23" t="s">
        <v>539</v>
      </c>
    </row>
    <row r="67" spans="1:6" x14ac:dyDescent="0.35">
      <c r="A67" s="23" t="s">
        <v>547</v>
      </c>
      <c r="B67" s="23">
        <v>0.28399999999999997</v>
      </c>
      <c r="C67" s="23" t="s">
        <v>540</v>
      </c>
      <c r="D67" s="23" t="s">
        <v>541</v>
      </c>
    </row>
    <row r="68" spans="1:6" x14ac:dyDescent="0.35">
      <c r="A68" s="23" t="s">
        <v>548</v>
      </c>
      <c r="B68" s="23">
        <v>0.53500000000000003</v>
      </c>
      <c r="C68" s="23" t="s">
        <v>542</v>
      </c>
      <c r="D68" s="23" t="s">
        <v>543</v>
      </c>
    </row>
    <row r="69" spans="1:6" x14ac:dyDescent="0.35">
      <c r="A69" s="23" t="s">
        <v>555</v>
      </c>
      <c r="B69" s="23">
        <v>1.1200000000000001</v>
      </c>
      <c r="C69" s="23" t="s">
        <v>557</v>
      </c>
      <c r="D69" t="s">
        <v>556</v>
      </c>
      <c r="F69" t="s">
        <v>558</v>
      </c>
    </row>
    <row r="70" spans="1:6" x14ac:dyDescent="0.35">
      <c r="A70" s="23" t="s">
        <v>559</v>
      </c>
      <c r="B70" s="23">
        <v>440</v>
      </c>
      <c r="C70" s="23" t="s">
        <v>560</v>
      </c>
      <c r="D70" s="23" t="s">
        <v>561</v>
      </c>
    </row>
    <row r="71" spans="1:6" x14ac:dyDescent="0.35">
      <c r="A71" s="26" t="s">
        <v>505</v>
      </c>
      <c r="B71" s="26">
        <v>0.44</v>
      </c>
      <c r="C71" s="26" t="s">
        <v>506</v>
      </c>
      <c r="D71" s="27" t="s">
        <v>507</v>
      </c>
      <c r="E71" s="26"/>
      <c r="F71" s="26" t="s">
        <v>508</v>
      </c>
    </row>
    <row r="72" spans="1:6" x14ac:dyDescent="0.35">
      <c r="A72" s="23" t="s">
        <v>562</v>
      </c>
      <c r="B72" s="36">
        <v>1.0049999999999999</v>
      </c>
      <c r="C72" s="23" t="s">
        <v>564</v>
      </c>
    </row>
    <row r="73" spans="1:6" x14ac:dyDescent="0.35">
      <c r="A73" s="23" t="s">
        <v>563</v>
      </c>
    </row>
    <row r="74" spans="1:6" x14ac:dyDescent="0.35">
      <c r="A74" s="23" t="s">
        <v>585</v>
      </c>
      <c r="B74" s="36">
        <v>600</v>
      </c>
      <c r="C74" s="23" t="s">
        <v>586</v>
      </c>
    </row>
    <row r="75" spans="1:6" x14ac:dyDescent="0.35">
      <c r="A75" s="23" t="s">
        <v>587</v>
      </c>
      <c r="B75" s="23">
        <v>1.2929999999999999</v>
      </c>
      <c r="C75" s="23" t="s">
        <v>586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A152-43C0-431A-9CB7-AED9414AC560}">
  <dimension ref="A1:J26"/>
  <sheetViews>
    <sheetView topLeftCell="A13" workbookViewId="0">
      <selection activeCell="J24" sqref="J24"/>
    </sheetView>
  </sheetViews>
  <sheetFormatPr baseColWidth="10" defaultRowHeight="14.5" x14ac:dyDescent="0.35"/>
  <sheetData>
    <row r="1" spans="1:8" x14ac:dyDescent="0.35">
      <c r="B1" t="s">
        <v>594</v>
      </c>
      <c r="C1" t="s">
        <v>595</v>
      </c>
      <c r="D1" t="s">
        <v>596</v>
      </c>
      <c r="E1" t="s">
        <v>597</v>
      </c>
      <c r="F1" t="s">
        <v>598</v>
      </c>
      <c r="G1" t="s">
        <v>650</v>
      </c>
      <c r="H1" t="s">
        <v>599</v>
      </c>
    </row>
    <row r="2" spans="1:8" x14ac:dyDescent="0.35">
      <c r="A2" t="s">
        <v>600</v>
      </c>
      <c r="B2">
        <v>0.35</v>
      </c>
      <c r="C2">
        <f>([1]Variables!L14/[1]Variables!L23)*([1]stoe!B3/(6-(5*[1]stoe!B3)))</f>
        <v>0.61286157024793375</v>
      </c>
      <c r="D2">
        <f>([1]Variables!M14/[1]Variables!L26)</f>
        <v>0.70588235294117652</v>
      </c>
      <c r="E2">
        <f>([1]stoe!B3/(6-5*([1]stoe!B3)))*([1]Variables!L14/[1]Variables!L24)</f>
        <v>0.44571750563486096</v>
      </c>
      <c r="F2">
        <f>([1]Variables!L14/[1]Variables!L22)*([1]stoe!B3/(6-(2*[1]stoe!B3)))</f>
        <v>0.71648550724637672</v>
      </c>
      <c r="H2" t="s">
        <v>601</v>
      </c>
    </row>
    <row r="3" spans="1:8" x14ac:dyDescent="0.35">
      <c r="A3" t="s">
        <v>602</v>
      </c>
      <c r="B3">
        <v>0.35</v>
      </c>
      <c r="C3">
        <f>([1]Variables!L15/[1]Variables!L23)*([1]stoe!B4/((33/2)-(5*[1]stoe!B4)))</f>
        <v>0.34845814977973566</v>
      </c>
      <c r="D3">
        <f>([1]Variables!L14/[1]Variables!L26)*([1]stoe!B4/(4-[1]stoe!B4))</f>
        <v>2.4906254472591955</v>
      </c>
      <c r="E3">
        <f>([1]Variables!L14/[1]Variables!L24)*([1]stoe!B4/(15-(5*[1]stoe!B4)))</f>
        <v>0.29323447636700645</v>
      </c>
      <c r="F3">
        <f>([1]Variables!L14/[1]Variables!L22)*([1]stoe!B4/(6-(2*[1]stoe!B4)))</f>
        <v>1.7919884666872614</v>
      </c>
      <c r="H3" t="s">
        <v>603</v>
      </c>
    </row>
    <row r="4" spans="1:8" x14ac:dyDescent="0.35">
      <c r="A4" t="s">
        <v>604</v>
      </c>
      <c r="B4">
        <v>0.35</v>
      </c>
      <c r="C4">
        <f>([1]Variables!L14/[1]Variables!L23)*([1]stoe!B5/((134/4)-(5*[1]stoe!B5)))</f>
        <v>0.15679878540876441</v>
      </c>
      <c r="D4">
        <f>([1]Variables!L14/[1]Variables!L26)</f>
        <v>6.6470588235294121</v>
      </c>
      <c r="E4">
        <f>([1]Variables!L14/[1]Variables!L24)*([1]stoe!B5/(25-(5*[1]stoe!B5)))</f>
        <v>0.16528408426291219</v>
      </c>
      <c r="F4">
        <f>([1]Variables!L14/[1]Variables!L22)*([1]stoe!B5/((45/2)-(2*[1]stoe!B5)))</f>
        <v>0.38083634706418507</v>
      </c>
      <c r="H4" t="s">
        <v>605</v>
      </c>
    </row>
    <row r="5" spans="1:8" x14ac:dyDescent="0.35">
      <c r="A5" t="s">
        <v>606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607</v>
      </c>
    </row>
    <row r="6" spans="1:8" x14ac:dyDescent="0.35">
      <c r="A6" t="s">
        <v>608</v>
      </c>
      <c r="B6">
        <v>0.35</v>
      </c>
      <c r="C6">
        <f t="shared" ref="C6:F7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609</v>
      </c>
    </row>
    <row r="7" spans="1:8" x14ac:dyDescent="0.35">
      <c r="A7" t="s">
        <v>610</v>
      </c>
      <c r="B7">
        <v>0.35</v>
      </c>
      <c r="C7">
        <f t="shared" si="1"/>
        <v>0.15679878540876441</v>
      </c>
      <c r="D7">
        <f t="shared" si="1"/>
        <v>6.6470588235294121</v>
      </c>
      <c r="E7">
        <f t="shared" si="1"/>
        <v>0.16528408426291219</v>
      </c>
      <c r="F7">
        <f t="shared" si="1"/>
        <v>0.38083634706418507</v>
      </c>
      <c r="H7" t="s">
        <v>611</v>
      </c>
    </row>
    <row r="8" spans="1:8" x14ac:dyDescent="0.35">
      <c r="A8" t="s">
        <v>612</v>
      </c>
      <c r="B8">
        <v>0.35</v>
      </c>
      <c r="C8">
        <f t="shared" ref="C8:F10" si="2">C2</f>
        <v>0.61286157024793375</v>
      </c>
      <c r="D8">
        <f t="shared" si="2"/>
        <v>0.70588235294117652</v>
      </c>
      <c r="E8">
        <f t="shared" si="2"/>
        <v>0.44571750563486096</v>
      </c>
      <c r="F8">
        <f t="shared" si="2"/>
        <v>0.71648550724637672</v>
      </c>
      <c r="H8" t="s">
        <v>613</v>
      </c>
    </row>
    <row r="9" spans="1:8" x14ac:dyDescent="0.35">
      <c r="A9" t="s">
        <v>614</v>
      </c>
      <c r="B9">
        <v>0.35</v>
      </c>
      <c r="C9">
        <f t="shared" si="2"/>
        <v>0.34845814977973566</v>
      </c>
      <c r="D9">
        <f t="shared" si="2"/>
        <v>2.4906254472591955</v>
      </c>
      <c r="E9">
        <f t="shared" si="2"/>
        <v>0.29323447636700645</v>
      </c>
      <c r="F9">
        <f t="shared" si="2"/>
        <v>1.7919884666872614</v>
      </c>
      <c r="H9" t="s">
        <v>615</v>
      </c>
    </row>
    <row r="10" spans="1:8" x14ac:dyDescent="0.35">
      <c r="A10" t="s">
        <v>616</v>
      </c>
      <c r="B10">
        <v>0.35</v>
      </c>
      <c r="C10">
        <f t="shared" si="2"/>
        <v>0.15679878540876441</v>
      </c>
      <c r="D10">
        <f t="shared" si="2"/>
        <v>6.6470588235294121</v>
      </c>
      <c r="E10">
        <f t="shared" si="2"/>
        <v>0.16528408426291219</v>
      </c>
      <c r="F10">
        <f t="shared" si="2"/>
        <v>0.38083634706418507</v>
      </c>
      <c r="H10" t="s">
        <v>617</v>
      </c>
    </row>
    <row r="11" spans="1:8" x14ac:dyDescent="0.35">
      <c r="A11" t="s">
        <v>618</v>
      </c>
      <c r="B11">
        <v>0.35</v>
      </c>
      <c r="C11">
        <f>([1]Variables!L16/[1]Variables!L23)*([1]stoe!B6/(10-(5*[1]stoe!B6)))</f>
        <v>0.19196328081035452</v>
      </c>
      <c r="D11">
        <f>([1]Variables!L16/[1]Variables!L26)</f>
        <v>6.6470588235294121</v>
      </c>
      <c r="E11">
        <f>([1]Variables!L16/[1]Variables!L24)*([1]stoe!B6/(10-(5*[1]stoe!B6)))</f>
        <v>0.13960965877116693</v>
      </c>
      <c r="F11">
        <f>([1]Variables!L16/[1]Variables!L22)*([1]stoe!B6/(9-(2*[1]stoe!B6)))</f>
        <v>0.32944009850789513</v>
      </c>
      <c r="H11" t="s">
        <v>619</v>
      </c>
    </row>
    <row r="12" spans="1:8" x14ac:dyDescent="0.35">
      <c r="A12" t="s">
        <v>620</v>
      </c>
      <c r="B12">
        <v>0.35</v>
      </c>
      <c r="C12">
        <f t="shared" ref="C12:F14" si="3">C2</f>
        <v>0.61286157024793375</v>
      </c>
      <c r="D12">
        <f t="shared" si="3"/>
        <v>0.70588235294117652</v>
      </c>
      <c r="E12">
        <f t="shared" si="3"/>
        <v>0.44571750563486096</v>
      </c>
      <c r="F12">
        <f t="shared" si="3"/>
        <v>0.71648550724637672</v>
      </c>
      <c r="H12" t="s">
        <v>621</v>
      </c>
    </row>
    <row r="13" spans="1:8" x14ac:dyDescent="0.35">
      <c r="A13" t="s">
        <v>622</v>
      </c>
      <c r="B13">
        <v>0.35</v>
      </c>
      <c r="C13">
        <f t="shared" si="3"/>
        <v>0.34845814977973566</v>
      </c>
      <c r="D13">
        <f t="shared" si="3"/>
        <v>2.4906254472591955</v>
      </c>
      <c r="E13">
        <f t="shared" si="3"/>
        <v>0.29323447636700645</v>
      </c>
      <c r="F13">
        <f t="shared" si="3"/>
        <v>1.7919884666872614</v>
      </c>
      <c r="H13" t="s">
        <v>623</v>
      </c>
    </row>
    <row r="14" spans="1:8" x14ac:dyDescent="0.35">
      <c r="A14" t="s">
        <v>624</v>
      </c>
      <c r="B14">
        <v>0.35</v>
      </c>
      <c r="C14">
        <f t="shared" si="3"/>
        <v>0.15679878540876441</v>
      </c>
      <c r="D14">
        <f t="shared" si="3"/>
        <v>6.6470588235294121</v>
      </c>
      <c r="E14">
        <f t="shared" si="3"/>
        <v>0.16528408426291219</v>
      </c>
      <c r="F14">
        <f t="shared" si="3"/>
        <v>0.38083634706418507</v>
      </c>
      <c r="H14" t="s">
        <v>625</v>
      </c>
    </row>
    <row r="15" spans="1:8" x14ac:dyDescent="0.35">
      <c r="A15" t="s">
        <v>626</v>
      </c>
      <c r="B15">
        <v>0.35</v>
      </c>
      <c r="C15">
        <f t="shared" ref="C15:F15" si="4">C11</f>
        <v>0.19196328081035452</v>
      </c>
      <c r="D15">
        <f t="shared" si="4"/>
        <v>6.6470588235294121</v>
      </c>
      <c r="E15">
        <f t="shared" si="4"/>
        <v>0.13960965877116693</v>
      </c>
      <c r="F15">
        <f t="shared" si="4"/>
        <v>0.32944009850789513</v>
      </c>
      <c r="H15" t="s">
        <v>627</v>
      </c>
    </row>
    <row r="16" spans="1:8" x14ac:dyDescent="0.35">
      <c r="A16" t="s">
        <v>628</v>
      </c>
      <c r="B16">
        <v>0.35</v>
      </c>
      <c r="C16">
        <f>([1]Variables!L18/[1]Variables!L23)*([1]stoe!B7/(6-((21/2)*[1]stoe!B7)))</f>
        <v>0.59266453382084072</v>
      </c>
      <c r="D16">
        <f>([1]Variables!L18/[1]Variables!L26)</f>
        <v>14.529411764705882</v>
      </c>
      <c r="E16">
        <f>([1]Variables!L18/[1]Variables!L24)*([1]stoe!B7/(6-(10*[1]stoe!B7)))</f>
        <v>0.41509282970550565</v>
      </c>
      <c r="F16">
        <f>([1]Variables!L18/[1]Variables!L22)*([1]stoe!B7/(6-(7*[1]stoe!B7)))</f>
        <v>0.83045148895292964</v>
      </c>
      <c r="H16" t="s">
        <v>629</v>
      </c>
    </row>
    <row r="17" spans="1:10" x14ac:dyDescent="0.35">
      <c r="A17" t="s">
        <v>630</v>
      </c>
      <c r="B17">
        <v>0.35</v>
      </c>
      <c r="C17">
        <f>([1]Variables!L18/[1]Variables!L23)*([1]stoe!B8/((33/2)-((21/2)*[1]stoe!B8)))</f>
        <v>0.34183471727955711</v>
      </c>
      <c r="D17">
        <f>([1]Variables!L18/[1]Variables!L26)*([1]stoe!B8/(4-[1]stoe!B8))</f>
        <v>2.0698699461283123</v>
      </c>
      <c r="E17">
        <f>([1]Variables!L18/[1]Variables!L24)*([1]stoe!B8/(16-(10*[1]stoe!B8)))</f>
        <v>0.25426470588235289</v>
      </c>
      <c r="F17">
        <f>([1]Variables!L18/[1]Variables!L22)*([1]stoe!B8/(6-(7*[1]stoe!B8)))</f>
        <v>2.7284986729789824</v>
      </c>
      <c r="H17" t="s">
        <v>631</v>
      </c>
    </row>
    <row r="18" spans="1:10" x14ac:dyDescent="0.35">
      <c r="A18" t="s">
        <v>632</v>
      </c>
      <c r="B18">
        <v>0.35</v>
      </c>
      <c r="C18">
        <f>([1]Variables!L18/[1]Variables!L23)*([1]stoe!B9/((139/4)-((21/2)*[1]stoe!B9)))</f>
        <v>0.14872079850398687</v>
      </c>
      <c r="D18">
        <f>([1]Variables!L18/[1]Variables!L26)</f>
        <v>14.529411764705882</v>
      </c>
      <c r="E18">
        <f>([1]Variables!L18/[1]Variables!L24)*([1]stoe!B9/(25-(10*[1]stoe!B9)))</f>
        <v>0.16088252564187555</v>
      </c>
      <c r="F18">
        <f>([1]Variables!L18/[1]Variables!L22)*([1]stoe!B9/((45/2)-(7*[1]stoe!B9)))</f>
        <v>0.41080205601442249</v>
      </c>
      <c r="H18" t="s">
        <v>633</v>
      </c>
    </row>
    <row r="19" spans="1:10" x14ac:dyDescent="0.35">
      <c r="A19" t="s">
        <v>634</v>
      </c>
      <c r="B19">
        <v>0.35</v>
      </c>
      <c r="C19">
        <f>([1]Variables!L19/[1]Variables!L23)*([1]stoe!B10/(10-((21/2)*[1]stoe!B10)))</f>
        <v>0.18993587130957534</v>
      </c>
      <c r="D19">
        <f>[1]Variables!L19/[1]Variables!L26</f>
        <v>14.529411764705882</v>
      </c>
      <c r="E19">
        <f>([1]Variables!L19/[1]Variables!L24)*([1]stoe!B10/(10-(10*[1]stoe!B10)))</f>
        <v>0.13645628402800014</v>
      </c>
      <c r="F19">
        <f>([1]Variables!L19/[1]Variables!L22)*([1]stoe!B10/(9-(7*[1]stoe!B10)))</f>
        <v>0.35162784939961444</v>
      </c>
      <c r="H19" t="s">
        <v>635</v>
      </c>
    </row>
    <row r="20" spans="1:10" x14ac:dyDescent="0.35">
      <c r="A20" t="s">
        <v>636</v>
      </c>
      <c r="B20">
        <v>0.35</v>
      </c>
      <c r="C20">
        <f>([1]Variables!L19/[1]Variables!L23)*([1]stoe!B11/((49/2)-((21/2)*[1]stoe!B11)))</f>
        <v>0.21008868149029522</v>
      </c>
      <c r="D20">
        <f>([1]Variables!L19/[1]Variables!L26)</f>
        <v>14.529411764705882</v>
      </c>
      <c r="E20">
        <f>([1]Variables!L19/[1]Variables!L24)*([1]stoe!B11/(20-(10*[1]stoe!B11)))</f>
        <v>0.19653096971353326</v>
      </c>
      <c r="F20">
        <f>([1]Variables!L19/[1]Variables!L22)*([1]stoe!B11/(15-(7*[1]stoe!B11)))</f>
        <v>0.6259362128927346</v>
      </c>
      <c r="H20" t="s">
        <v>637</v>
      </c>
    </row>
    <row r="21" spans="1:10" x14ac:dyDescent="0.35">
      <c r="A21" t="s">
        <v>638</v>
      </c>
      <c r="B21">
        <v>0.35</v>
      </c>
      <c r="C21">
        <f t="shared" ref="C21:F25" si="5">C16</f>
        <v>0.59266453382084072</v>
      </c>
      <c r="D21">
        <f t="shared" si="5"/>
        <v>14.529411764705882</v>
      </c>
      <c r="E21">
        <f t="shared" si="5"/>
        <v>0.41509282970550565</v>
      </c>
      <c r="F21">
        <f t="shared" si="5"/>
        <v>0.83045148895292964</v>
      </c>
      <c r="H21" t="s">
        <v>639</v>
      </c>
    </row>
    <row r="22" spans="1:10" x14ac:dyDescent="0.35">
      <c r="A22" t="s">
        <v>640</v>
      </c>
      <c r="B22">
        <v>0.35</v>
      </c>
      <c r="C22">
        <f t="shared" si="5"/>
        <v>0.34183471727955711</v>
      </c>
      <c r="D22">
        <f t="shared" si="5"/>
        <v>2.0698699461283123</v>
      </c>
      <c r="E22">
        <f t="shared" si="5"/>
        <v>0.25426470588235289</v>
      </c>
      <c r="F22">
        <f t="shared" si="5"/>
        <v>2.7284986729789824</v>
      </c>
      <c r="H22" t="s">
        <v>641</v>
      </c>
    </row>
    <row r="23" spans="1:10" x14ac:dyDescent="0.35">
      <c r="A23" t="s">
        <v>642</v>
      </c>
      <c r="B23">
        <v>0.35</v>
      </c>
      <c r="C23">
        <f t="shared" si="5"/>
        <v>0.14872079850398687</v>
      </c>
      <c r="D23">
        <f t="shared" si="5"/>
        <v>14.529411764705882</v>
      </c>
      <c r="E23">
        <f t="shared" si="5"/>
        <v>0.16088252564187555</v>
      </c>
      <c r="F23">
        <f t="shared" si="5"/>
        <v>0.41080205601442249</v>
      </c>
      <c r="H23" t="s">
        <v>643</v>
      </c>
      <c r="J23">
        <f>(0.021/0.98)*(113/62)</f>
        <v>3.9055299539170509E-2</v>
      </c>
    </row>
    <row r="24" spans="1:10" x14ac:dyDescent="0.35">
      <c r="A24" t="s">
        <v>644</v>
      </c>
      <c r="B24">
        <v>0.35</v>
      </c>
      <c r="C24">
        <f t="shared" si="5"/>
        <v>0.18993587130957534</v>
      </c>
      <c r="D24">
        <f t="shared" si="5"/>
        <v>14.529411764705882</v>
      </c>
      <c r="E24">
        <f t="shared" si="5"/>
        <v>0.13645628402800014</v>
      </c>
      <c r="F24">
        <f t="shared" si="5"/>
        <v>0.35162784939961444</v>
      </c>
      <c r="H24" t="s">
        <v>645</v>
      </c>
    </row>
    <row r="25" spans="1:10" x14ac:dyDescent="0.35">
      <c r="A25" t="s">
        <v>646</v>
      </c>
      <c r="B25">
        <v>0.35</v>
      </c>
      <c r="C25">
        <f t="shared" si="5"/>
        <v>0.21008868149029522</v>
      </c>
      <c r="D25">
        <f t="shared" si="5"/>
        <v>14.529411764705882</v>
      </c>
      <c r="E25">
        <f t="shared" si="5"/>
        <v>0.19653096971353326</v>
      </c>
      <c r="F25">
        <f t="shared" si="5"/>
        <v>0.6259362128927346</v>
      </c>
      <c r="H25" t="s">
        <v>647</v>
      </c>
    </row>
    <row r="26" spans="1:10" x14ac:dyDescent="0.35">
      <c r="A26" t="s">
        <v>648</v>
      </c>
      <c r="B26">
        <v>0.13</v>
      </c>
      <c r="C26">
        <f>([1]stoe!B15/[1]stoe!B13)*([1]Variables!L21/[1]Variables!L23)</f>
        <v>4.0522540983606553E-2</v>
      </c>
      <c r="F26">
        <f>([1]stoe!B15/[1]stoe!B16)*([1]Variables!L20/[1]Variables!L22)</f>
        <v>0.1266410502721742</v>
      </c>
      <c r="G26">
        <f>([1]stoe!B15/[1]stoe!B17)*([1]Variables!L20/[1]Variables!L25)</f>
        <v>3.9055299539170509E-2</v>
      </c>
      <c r="H26" t="s">
        <v>649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22"/>
  <sheetViews>
    <sheetView workbookViewId="0">
      <selection activeCell="E13" sqref="E13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399</v>
      </c>
      <c r="C1" s="2" t="s">
        <v>397</v>
      </c>
      <c r="D1" s="2" t="s">
        <v>409</v>
      </c>
      <c r="E1" s="2" t="s">
        <v>584</v>
      </c>
      <c r="F1" s="2"/>
      <c r="J1" t="s">
        <v>456</v>
      </c>
    </row>
    <row r="2" spans="1:14" x14ac:dyDescent="0.35">
      <c r="A2" s="2" t="s">
        <v>457</v>
      </c>
      <c r="B2" s="2">
        <f>(D11*3.6)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453</v>
      </c>
      <c r="J2" t="s">
        <v>454</v>
      </c>
      <c r="K2">
        <v>0.12</v>
      </c>
      <c r="N2" s="31" t="s">
        <v>445</v>
      </c>
    </row>
    <row r="3" spans="1:14" x14ac:dyDescent="0.35">
      <c r="A3" s="2" t="s">
        <v>458</v>
      </c>
      <c r="B3" s="2">
        <f>(D12*3.6)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392</v>
      </c>
      <c r="B4" s="2">
        <f>(D13*3.6)</f>
        <v>24</v>
      </c>
      <c r="C4">
        <f>(1.5*0.8*3)+(1.5*1)</f>
        <v>5.1000000000000005</v>
      </c>
      <c r="D4">
        <f>10</f>
        <v>10</v>
      </c>
      <c r="E4">
        <f>1.5*1*0.8</f>
        <v>1.2000000000000002</v>
      </c>
      <c r="J4" t="s">
        <v>455</v>
      </c>
      <c r="K4">
        <v>0.2</v>
      </c>
    </row>
    <row r="5" spans="1:14" x14ac:dyDescent="0.35">
      <c r="A5" s="2" t="s">
        <v>393</v>
      </c>
      <c r="B5" s="2">
        <f>(D14*3.6)</f>
        <v>14.4</v>
      </c>
      <c r="C5" s="2">
        <v>15</v>
      </c>
      <c r="D5">
        <f>20</f>
        <v>20</v>
      </c>
      <c r="J5" t="s">
        <v>576</v>
      </c>
      <c r="K5">
        <v>0.04</v>
      </c>
    </row>
    <row r="6" spans="1:14" x14ac:dyDescent="0.35">
      <c r="A6" s="2" t="s">
        <v>574</v>
      </c>
      <c r="B6" s="2">
        <f>D14*3.6</f>
        <v>14.4</v>
      </c>
      <c r="C6" s="2">
        <f>E22</f>
        <v>0.52800000000000002</v>
      </c>
      <c r="E6">
        <f>0.066</f>
        <v>6.6000000000000003E-2</v>
      </c>
    </row>
    <row r="7" spans="1:14" x14ac:dyDescent="0.35">
      <c r="A7" s="2" t="s">
        <v>394</v>
      </c>
      <c r="B7" s="2" t="s">
        <v>580</v>
      </c>
      <c r="C7" s="2" t="s">
        <v>337</v>
      </c>
      <c r="D7" s="2" t="s">
        <v>581</v>
      </c>
    </row>
    <row r="8" spans="1:14" x14ac:dyDescent="0.35">
      <c r="A8" s="2" t="s">
        <v>395</v>
      </c>
      <c r="B8" s="2" t="s">
        <v>396</v>
      </c>
      <c r="C8" s="2" t="s">
        <v>398</v>
      </c>
      <c r="D8" s="2" t="s">
        <v>410</v>
      </c>
    </row>
    <row r="9" spans="1:14" x14ac:dyDescent="0.35">
      <c r="A9" s="2"/>
      <c r="B9" s="2"/>
      <c r="C9" s="2"/>
    </row>
    <row r="10" spans="1:14" x14ac:dyDescent="0.35">
      <c r="A10" s="2"/>
      <c r="B10" s="2" t="s">
        <v>449</v>
      </c>
      <c r="C10" s="2" t="s">
        <v>446</v>
      </c>
      <c r="D10" t="s">
        <v>468</v>
      </c>
      <c r="E10" s="2"/>
      <c r="F10" s="2" t="s">
        <v>469</v>
      </c>
    </row>
    <row r="11" spans="1:14" ht="24.5" x14ac:dyDescent="0.35">
      <c r="A11" s="2" t="s">
        <v>451</v>
      </c>
      <c r="B11" s="30" t="s">
        <v>450</v>
      </c>
      <c r="C11" s="2">
        <f>(1.01*1*4)+(1.01*1.01)</f>
        <v>5.0601000000000003</v>
      </c>
      <c r="D11">
        <f>(1/(0.018/0.12))</f>
        <v>6.666666666666667</v>
      </c>
      <c r="F11" t="s">
        <v>447</v>
      </c>
      <c r="G11" s="31" t="s">
        <v>448</v>
      </c>
    </row>
    <row r="12" spans="1:14" ht="24.5" x14ac:dyDescent="0.35">
      <c r="A12" s="2" t="s">
        <v>452</v>
      </c>
      <c r="B12" s="30" t="s">
        <v>450</v>
      </c>
      <c r="C12" s="2">
        <f>(1.01*1*4)+(1.01*1.01)</f>
        <v>5.0601000000000003</v>
      </c>
      <c r="D12">
        <f>1/(0.018/0.2)</f>
        <v>11.111111111111112</v>
      </c>
    </row>
    <row r="13" spans="1:14" ht="24.5" x14ac:dyDescent="0.35">
      <c r="A13" s="2" t="s">
        <v>578</v>
      </c>
      <c r="B13" s="30" t="s">
        <v>461</v>
      </c>
      <c r="C13">
        <f>(1.5*0.8*3)+(1.5*1)</f>
        <v>5.1000000000000005</v>
      </c>
      <c r="D13">
        <f>(1/(0.018/0.12))</f>
        <v>6.666666666666667</v>
      </c>
      <c r="F13" t="s">
        <v>459</v>
      </c>
      <c r="G13" s="31" t="s">
        <v>460</v>
      </c>
    </row>
    <row r="14" spans="1:14" x14ac:dyDescent="0.35">
      <c r="A14" s="2" t="s">
        <v>579</v>
      </c>
      <c r="B14" s="30" t="s">
        <v>575</v>
      </c>
      <c r="D14">
        <f>1/(0.01/K5)</f>
        <v>4</v>
      </c>
      <c r="F14" s="31" t="s">
        <v>577</v>
      </c>
      <c r="G14" s="31"/>
    </row>
    <row r="15" spans="1:14" x14ac:dyDescent="0.35">
      <c r="A15" s="2" t="s">
        <v>462</v>
      </c>
    </row>
    <row r="16" spans="1:14" x14ac:dyDescent="0.35">
      <c r="A16" s="2" t="s">
        <v>470</v>
      </c>
    </row>
    <row r="17" spans="1:6" x14ac:dyDescent="0.35">
      <c r="A17" s="2" t="s">
        <v>471</v>
      </c>
    </row>
    <row r="18" spans="1:6" x14ac:dyDescent="0.35">
      <c r="A18" s="2" t="s">
        <v>472</v>
      </c>
    </row>
    <row r="19" spans="1:6" x14ac:dyDescent="0.35">
      <c r="A19" s="2" t="s">
        <v>473</v>
      </c>
    </row>
    <row r="20" spans="1:6" x14ac:dyDescent="0.35">
      <c r="E20">
        <f>(3.14*0.25*0.25*0.65)</f>
        <v>0.12756250000000002</v>
      </c>
    </row>
    <row r="21" spans="1:6" x14ac:dyDescent="0.35">
      <c r="D21" t="s">
        <v>319</v>
      </c>
      <c r="E21">
        <f>0.066/(3.14*0.25*0.25)</f>
        <v>0.33630573248407641</v>
      </c>
      <c r="F21" t="s">
        <v>433</v>
      </c>
    </row>
    <row r="22" spans="1:6" x14ac:dyDescent="0.35">
      <c r="D22" t="s">
        <v>397</v>
      </c>
      <c r="E22">
        <f>(2*3.14*0.25*E21)</f>
        <v>0.52800000000000002</v>
      </c>
      <c r="F22" t="s">
        <v>337</v>
      </c>
    </row>
  </sheetData>
  <hyperlinks>
    <hyperlink ref="G11" r:id="rId1" xr:uid="{1CEABAA3-6617-4EB3-9F2D-C93F4943CEA5}"/>
    <hyperlink ref="N2" r:id="rId2" xr:uid="{6C69F668-A99C-45F7-9F36-6842FD76DCAE}"/>
    <hyperlink ref="G13" r:id="rId3" xr:uid="{B5F5207D-3EAC-4BC1-BB01-79EFB36DD9C3}"/>
    <hyperlink ref="F14" r:id="rId4" location="aep-section-id23" xr:uid="{32DE7536-D432-472D-9FEB-838F39BD59FF}"/>
  </hyperlinks>
  <pageMargins left="0.7" right="0.7" top="0.75" bottom="0.75" header="0.3" footer="0.3"/>
  <pageSetup paperSize="9" orientation="portrait" verticalDpi="597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B1" t="s">
        <v>409</v>
      </c>
    </row>
    <row r="2" spans="1:3" x14ac:dyDescent="0.35">
      <c r="A2" t="s">
        <v>565</v>
      </c>
      <c r="B2">
        <f>0.0000015*3600*('Composition (mass)'!C97-aer!D97)</f>
        <v>5.9400000000000001E-2</v>
      </c>
      <c r="C2" t="s">
        <v>568</v>
      </c>
    </row>
    <row r="3" spans="1:3" x14ac:dyDescent="0.35">
      <c r="A3" t="s">
        <v>566</v>
      </c>
      <c r="B3">
        <f>0.0006*1.2*60*'Composition (mass)'!C97</f>
        <v>0.47519999999999996</v>
      </c>
      <c r="C3" t="s">
        <v>569</v>
      </c>
    </row>
    <row r="4" spans="1:3" x14ac:dyDescent="0.35">
      <c r="B4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391</v>
      </c>
    </row>
    <row r="2" spans="1:2" x14ac:dyDescent="0.35">
      <c r="A2" t="s">
        <v>400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kinetics</vt:lpstr>
      <vt:lpstr>Xyield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2023-12-19T10:44:20Z</dcterms:modified>
</cp:coreProperties>
</file>