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<sst xmlns="http://schemas.openxmlformats.org/spreadsheetml/2006/main" count="7043" uniqueCount="3127">
  <si>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</si>
  <si>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</si>
  <si>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</si>
  <si>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</si>
  <si>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</si>
  <si>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</si>
  <si>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</si>
  <si>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</si>
  <si>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</si>
  <si>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</si>
  <si>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</si>
  <si>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</si>
  <si>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</si>
  <si>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</si>
  <si>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</si>
  <si>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</si>
  <si>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</si>
  <si>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</si>
  <si>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</si>
  <si>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</si>
  <si>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</si>
  <si>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</si>
  <si>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</si>
  <si>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</si>
  <si>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</si>
  <si>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</si>
  <si>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</si>
  <si>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</si>
  <si>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</si>
  <si>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</si>
  <si>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</si>
  <si>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</si>
  <si>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</si>
  <si>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</si>
  <si>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</si>
  <si>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</si>
  <si>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</si>
  <si>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</si>
  <si>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</si>
  <si>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</si>
  <si>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</si>
  <si>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</si>
  <si>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</si>
  <si>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</si>
  <si>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</si>
  <si>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</si>
  <si>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</si>
  <si>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</si>
  <si>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</si>
  <si>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</si>
  <si>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</si>
  <si>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</si>
  <si>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</si>
  <si>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</si>
  <si>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</si>
  <si>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</si>
  <si>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</si>
  <si>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</si>
  <si>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</si>
  <si>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</si>
  <si>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</si>
  <si>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</si>
  <si>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</si>
  <si>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</si>
  <si>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</si>
  <si>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</si>
  <si>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</si>
  <si>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</si>
  <si>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</si>
  <si>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</si>
  <si>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</si>
  <si>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</si>
  <si>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</si>
  <si>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</si>
  <si>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</si>
  <si>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</si>
  <si>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</si>
  <si>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</si>
  <si>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</si>
  <si>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</si>
  <si>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</si>
  <si>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</si>
  <si>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</si>
  <si>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</si>
  <si>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</si>
  <si>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</si>
  <si>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</si>
  <si>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</si>
  <si>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</si>
  <si>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</si>
  <si>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</si>
  <si>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</si>
  <si>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</si>
  <si>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</si>
  <si>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</si>
  <si>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</si>
  <si>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</si>
  <si>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</si>
  <si>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</si>
  <si>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</si>
  <si>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</si>
  <si>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</si>
  <si>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</si>
  <si>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</si>
  <si>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</si>
  <si>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</si>
  <si>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</si>
  <si>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</si>
  <si>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</si>
  <si>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</si>
  <si>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</si>
  <si>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</si>
  <si>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</si>
  <si>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</si>
  <si>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</si>
  <si>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</si>
  <si>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</si>
  <si>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</si>
  <si>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</si>
  <si>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</si>
  <si>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</si>
  <si>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</si>
  <si>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</si>
  <si>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</si>
  <si>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</si>
  <si>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</si>
  <si>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</si>
  <si>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</si>
  <si>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</si>
  <si>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</si>
  <si>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</si>
  <si>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</si>
  <si>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</si>
  <si>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</si>
  <si>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</si>
  <si>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</si>
  <si>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</si>
  <si>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</si>
  <si>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</si>
  <si>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</si>
  <si>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</si>
  <si>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</si>
  <si>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</si>
  <si>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</si>
  <si>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</si>
  <si>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</si>
  <si>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</si>
  <si>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</si>
  <si>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</si>
  <si>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</si>
  <si>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</si>
  <si>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</si>
  <si>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</si>
  <si>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</si>
  <si>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</si>
  <si>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</si>
  <si>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</si>
  <si>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</si>
  <si>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</si>
  <si>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</si>
  <si>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</si>
  <si>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</si>
  <si>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</si>
  <si>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</si>
  <si>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</si>
  <si>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</si>
  <si>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</si>
  <si>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</si>
  <si>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</si>
  <si>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</si>
  <si>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</si>
  <si>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</si>
  <si>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</si>
  <si>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</si>
  <si>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</si>
  <si>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</si>
  <si>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</si>
  <si>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</si>
  <si>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</si>
  <si>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</si>
  <si>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</si>
  <si>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</si>
  <si>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</si>
  <si>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</si>
  <si>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</si>
  <si>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</si>
  <si>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</si>
  <si>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</si>
  <si>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</si>
  <si>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</si>
  <si>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</si>
  <si>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</si>
  <si>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</si>
  <si>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</si>
  <si>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</si>
  <si>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</si>
  <si>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</si>
  <si>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</si>
  <si>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</si>
  <si>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</si>
  <si>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</si>
  <si>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</si>
  <si>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</si>
  <si>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</si>
  <si>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</si>
  <si>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</si>
  <si>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</si>
  <si>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</si>
  <si>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</si>
  <si>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</si>
  <si>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</si>
  <si>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</si>
  <si>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</si>
  <si>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</si>
  <si>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</si>
  <si>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</si>
  <si>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</si>
  <si>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</si>
  <si>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</si>
  <si>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</si>
  <si>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</si>
  <si>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</si>
  <si>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</si>
  <si>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</si>
  <si>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</si>
  <si>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</si>
  <si>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</si>
  <si>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</si>
  <si>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</si>
  <si>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</si>
  <si>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</si>
  <si>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</si>
  <si>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</si>
  <si>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</si>
  <si>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</si>
  <si>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</si>
  <si>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</si>
  <si>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</si>
  <si>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</si>
  <si>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</si>
  <si>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</si>
  <si>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</si>
  <si>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</si>
  <si>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</si>
  <si>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</si>
  <si>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</si>
  <si>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</si>
  <si>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</si>
  <si>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</si>
  <si>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</si>
  <si>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</si>
  <si>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</si>
  <si>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</si>
  <si>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</si>
  <si>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</si>
  <si>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</si>
  <si>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</si>
  <si>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</si>
  <si>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</si>
  <si>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</si>
  <si>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</si>
  <si>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</si>
  <si>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</si>
  <si>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</si>
  <si>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</si>
  <si>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</si>
  <si>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</si>
  <si>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</si>
  <si>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</si>
  <si>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</si>
  <si>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</si>
  <si>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</si>
  <si>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</si>
  <si>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</si>
  <si>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</si>
  <si>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</si>
  <si>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</si>
  <si>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</si>
  <si>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</si>
  <si>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</si>
  <si>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</si>
  <si>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</si>
  <si>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</si>
  <si>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</si>
  <si>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</si>
  <si>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</si>
  <si>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</si>
  <si>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</si>
  <si>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</si>
  <si>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</si>
  <si>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</si>
  <si>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</si>
  <si>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</si>
  <si>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</si>
  <si>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</si>
  <si>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</si>
  <si>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</si>
  <si>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</si>
  <si>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</si>
  <si>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</si>
  <si>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</si>
  <si>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</si>
  <si>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</si>
  <si>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</si>
  <si>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</si>
  <si>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</si>
  <si>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</si>
  <si>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</si>
  <si>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</si>
  <si>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</si>
  <si>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</si>
  <si>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</si>
  <si>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</si>
  <si>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</si>
  <si>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</si>
  <si>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</si>
  <si>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</si>
  <si>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</si>
  <si>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</si>
  <si>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</si>
  <si>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</si>
  <si>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</si>
  <si>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</si>
  <si>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</si>
  <si>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</si>
  <si>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</si>
  <si>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</si>
  <si>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</si>
  <si>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</si>
  <si>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</si>
  <si>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</si>
  <si>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</si>
  <si>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</si>
  <si>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</si>
  <si>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</si>
  <si>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</si>
  <si>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</si>
  <si>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</si>
  <si>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</si>
  <si>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</si>
  <si>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</si>
  <si>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</si>
  <si>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</si>
  <si>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</si>
  <si>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</si>
  <si>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</si>
  <si>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</si>
  <si>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</si>
  <si>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</si>
  <si>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</si>
  <si>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</si>
  <si>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</si>
  <si>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</si>
  <si>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</si>
  <si>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</si>
  <si>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</si>
  <si>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</si>
  <si>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</si>
  <si>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</si>
  <si>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</si>
  <si>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</si>
  <si>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</si>
  <si>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</si>
  <si>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</si>
  <si>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</si>
  <si>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</si>
  <si>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</si>
  <si>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</si>
  <si>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</si>
  <si>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</si>
  <si>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</si>
  <si>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</si>
  <si>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</si>
  <si>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</si>
  <si>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</si>
  <si>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</si>
  <si>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</si>
  <si>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</si>
  <si>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</si>
  <si>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</si>
  <si>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</si>
  <si>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</si>
  <si>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</si>
  <si>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</si>
  <si>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</si>
  <si>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</si>
  <si>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</si>
  <si>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</si>
  <si>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</si>
  <si>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</si>
  <si>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</si>
  <si>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</si>
  <si>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</si>
  <si>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</si>
  <si>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</si>
  <si>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</si>
  <si>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</si>
  <si>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</si>
  <si>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</si>
  <si>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</si>
  <si>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</si>
  <si>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</si>
  <si>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</si>
  <si>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</si>
  <si>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</si>
  <si>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</si>
  <si>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</si>
  <si>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</si>
  <si>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</si>
  <si>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</si>
  <si>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</si>
  <si>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</si>
  <si>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</si>
  <si>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</si>
  <si>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</si>
  <si>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</si>
  <si>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</si>
  <si>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</si>
  <si>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</si>
  <si>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</si>
  <si>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</si>
  <si>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</si>
  <si>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</si>
  <si>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</si>
  <si>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</si>
  <si>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</si>
  <si>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</si>
  <si>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</si>
  <si>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</si>
  <si>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</si>
  <si>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</si>
  <si>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</si>
  <si>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</si>
  <si>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</si>
  <si>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</si>
  <si>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</si>
  <si>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</si>
  <si>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</si>
  <si>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</si>
  <si>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</si>
  <si>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</si>
  <si>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</si>
  <si>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</si>
  <si>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</si>
  <si>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</si>
  <si>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</si>
  <si>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</si>
  <si>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</si>
  <si>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</si>
  <si>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</si>
  <si>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</si>
  <si>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</si>
  <si>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</si>
  <si>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</si>
  <si>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</si>
  <si>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</si>
  <si>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</si>
  <si>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</si>
  <si>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</si>
  <si>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</si>
  <si>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</si>
  <si>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</si>
  <si>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</si>
  <si>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</si>
  <si>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</si>
  <si>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</si>
  <si>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</si>
  <si>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</si>
  <si>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</si>
  <si>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</si>
  <si>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</si>
  <si>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</si>
  <si>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</si>
  <si>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</si>
  <si>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</si>
  <si>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</si>
  <si>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</si>
  <si>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</si>
  <si>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</si>
  <si>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</si>
  <si>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</si>
  <si>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</si>
  <si>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</si>
  <si>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</si>
  <si>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</si>
  <si>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</si>
  <si>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</si>
  <si>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</si>
  <si>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</si>
  <si>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</si>
  <si>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</si>
  <si>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</si>
  <si>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</si>
  <si>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</si>
  <si>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</si>
  <si>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</si>
  <si>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</si>
  <si>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</si>
  <si>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</si>
  <si>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</si>
  <si>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</si>
  <si>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</si>
  <si>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</si>
  <si>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</si>
  <si>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</si>
  <si>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</si>
  <si>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</si>
  <si>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</si>
  <si>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</si>
  <si>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</si>
  <si>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</si>
  <si>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</si>
  <si>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</si>
  <si>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</si>
  <si>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</si>
  <si>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</si>
  <si>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</si>
  <si>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</si>
  <si>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</si>
  <si>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</si>
  <si>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</si>
  <si>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</si>
  <si>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</si>
  <si>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</si>
  <si>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</si>
  <si>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</si>
  <si>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</si>
  <si>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</si>
  <si>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</si>
  <si>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</si>
  <si>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</si>
  <si>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</si>
  <si>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</si>
  <si>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</si>
  <si>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</si>
  <si>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</si>
  <si>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</si>
  <si>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</si>
  <si>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</si>
  <si>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</si>
  <si>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</si>
  <si>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</si>
  <si>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</si>
  <si>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</si>
  <si>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</si>
  <si>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</si>
  <si>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</si>
  <si>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</si>
  <si>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</si>
  <si>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</si>
  <si>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</si>
  <si>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</si>
  <si>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</si>
  <si>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</si>
  <si>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</si>
  <si>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</si>
  <si>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</si>
  <si>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</si>
  <si>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</si>
  <si>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</si>
  <si>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</si>
  <si>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</si>
  <si>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</si>
  <si>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</si>
  <si>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</si>
  <si>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</si>
  <si>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</si>
  <si>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</si>
  <si>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</si>
  <si>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</si>
  <si>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</si>
  <si>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</si>
  <si>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</si>
  <si>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</si>
  <si>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</si>
  <si>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</si>
  <si>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</si>
  <si>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</si>
  <si>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</si>
  <si>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</si>
  <si>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</si>
  <si>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</si>
  <si>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</si>
  <si>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</si>
  <si>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</si>
  <si>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</si>
  <si>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</si>
  <si>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</si>
  <si>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</si>
  <si>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</si>
  <si>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</si>
  <si>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</si>
  <si>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</si>
  <si>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</si>
  <si>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</si>
  <si>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</si>
  <si>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</si>
  <si>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</si>
  <si>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</si>
  <si>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</si>
  <si>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</si>
  <si>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</si>
  <si>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</si>
  <si>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</si>
  <si>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</si>
  <si>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</si>
  <si>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</si>
  <si>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</si>
  <si>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</si>
  <si>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</si>
  <si>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</si>
  <si>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</si>
  <si>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</si>
  <si>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</si>
  <si>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</si>
  <si>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</si>
  <si>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</si>
  <si>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</si>
  <si>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</si>
  <si>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</si>
  <si>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</si>
  <si>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</si>
  <si>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</si>
  <si>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</si>
  <si>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</si>
  <si>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</si>
  <si>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</si>
  <si>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</si>
  <si>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</si>
  <si>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</si>
  <si>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</si>
  <si>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</si>
  <si>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</si>
  <si>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</si>
  <si>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</si>
  <si>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</si>
  <si>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</si>
  <si>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</si>
  <si>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</si>
  <si>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</si>
  <si>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</si>
  <si>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</si>
  <si>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</si>
  <si>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</si>
  <si>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</si>
  <si>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</si>
  <si>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</si>
  <si>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</si>
  <si>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</si>
  <si>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</si>
  <si>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</si>
  <si>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</si>
  <si>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</si>
  <si>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</si>
  <si>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</si>
  <si>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</si>
  <si>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</si>
  <si>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</si>
  <si>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</si>
  <si>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</si>
  <si>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</si>
  <si>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</si>
  <si>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</si>
  <si>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</si>
  <si>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</si>
  <si>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</si>
  <si>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</si>
  <si>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</si>
  <si>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</si>
  <si>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</si>
  <si>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</si>
  <si>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</si>
  <si>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</si>
  <si>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</si>
  <si>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</si>
  <si>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</si>
  <si>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</si>
  <si>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</si>
  <si>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</si>
  <si>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</si>
  <si>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</si>
  <si>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</si>
  <si>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</si>
  <si>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</si>
  <si>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</si>
  <si>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</si>
  <si>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</si>
  <si>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</si>
  <si>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</si>
  <si>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</si>
  <si>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</si>
  <si>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</si>
  <si>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</si>
  <si>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</si>
  <si>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</si>
  <si>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</si>
  <si>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</si>
  <si>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</si>
  <si>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</si>
  <si>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</si>
  <si>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</si>
  <si>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</si>
  <si>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</si>
  <si>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</si>
  <si>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</si>
  <si>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</si>
  <si>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</si>
  <si>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</si>
  <si>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</si>
  <si>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</si>
  <si>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</si>
  <si>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</si>
  <si>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</si>
  <si>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</si>
  <si>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</si>
  <si>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</si>
  <si>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</si>
  <si>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</si>
  <si>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</si>
  <si>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</si>
  <si>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</si>
  <si>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</si>
  <si>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</si>
  <si>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</si>
  <si>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</si>
  <si>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</si>
  <si>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</si>
  <si>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</si>
  <si>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</si>
  <si>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</si>
  <si>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</si>
  <si>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</si>
  <si>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</si>
  <si>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</si>
  <si>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</si>
  <si>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</si>
  <si>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</si>
  <si>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</si>
  <si>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</si>
  <si>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</si>
  <si>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</si>
  <si>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</si>
  <si>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</si>
  <si>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</si>
  <si>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</si>
  <si>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</si>
  <si>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</si>
  <si>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</si>
  <si>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</si>
  <si>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</si>
  <si>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</si>
  <si>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</si>
  <si>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</si>
  <si>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</si>
  <si>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</si>
  <si>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</si>
  <si>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</si>
  <si>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</si>
  <si>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</si>
  <si>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</si>
  <si>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</si>
  <si>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</si>
  <si>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</si>
  <si>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</si>
  <si>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</si>
  <si>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</si>
  <si>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</si>
  <si>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</si>
  <si>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</si>
  <si>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</si>
  <si>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</si>
  <si>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</si>
  <si>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</si>
  <si>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</si>
  <si>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</si>
  <si>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</si>
  <si>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</si>
  <si>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</si>
  <si>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</si>
  <si>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</si>
  <si>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</si>
  <si>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</si>
  <si>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</si>
  <si>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</si>
  <si>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</si>
  <si>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</si>
  <si>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</si>
  <si>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</si>
  <si>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</si>
  <si>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</si>
  <si>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</si>
  <si>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</si>
  <si>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</si>
  <si>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</si>
  <si>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</si>
  <si>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</si>
  <si>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</si>
  <si>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</si>
  <si>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</si>
  <si>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</si>
  <si>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</si>
  <si>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</si>
  <si>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</si>
  <si>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</si>
  <si>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</si>
  <si>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</si>
  <si>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</si>
  <si>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</si>
  <si>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</si>
  <si>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</si>
  <si>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</si>
  <si>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</si>
  <si>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</si>
  <si>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</si>
  <si>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</si>
  <si>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</si>
  <si>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</si>
  <si>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</si>
  <si>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</si>
  <si>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</si>
  <si>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</si>
  <si>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</si>
  <si>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</si>
  <si>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</si>
  <si>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</si>
  <si>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</si>
  <si>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</si>
  <si>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</si>
  <si>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</si>
  <si>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</si>
  <si>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</si>
  <si>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</si>
  <si>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</si>
  <si>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</si>
  <si>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</si>
  <si>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</si>
  <si>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</si>
  <si>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</si>
  <si>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</si>
  <si>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</si>
  <si>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</si>
  <si>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</si>
  <si>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</si>
  <si>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</si>
  <si>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</si>
  <si>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</si>
  <si>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</si>
  <si>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</si>
  <si>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</si>
  <si>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</si>
  <si>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</si>
  <si>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</si>
  <si>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</si>
  <si>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</si>
  <si>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</si>
  <si>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</si>
  <si>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</si>
  <si>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</si>
  <si>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</si>
  <si>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</si>
  <si>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</si>
  <si>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</si>
  <si>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</si>
  <si>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</si>
  <si>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</si>
  <si>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</si>
  <si>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</si>
  <si>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</si>
  <si>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</si>
  <si>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</si>
  <si>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</si>
  <si>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</si>
  <si>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</si>
  <si>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</si>
  <si>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</si>
  <si>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</si>
  <si>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</si>
  <si>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</si>
  <si>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</si>
  <si>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</si>
  <si>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</si>
  <si>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</si>
  <si>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</si>
  <si>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</si>
  <si>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</si>
  <si>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</si>
  <si>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</si>
  <si>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</si>
  <si>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</si>
  <si>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</si>
  <si>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</si>
  <si>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</si>
  <si>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</si>
  <si>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</si>
  <si>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</si>
  <si>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</si>
  <si>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</si>
  <si>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</si>
  <si>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</si>
  <si>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</si>
  <si>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</si>
  <si>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</si>
  <si>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</si>
  <si>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</si>
  <si>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</si>
  <si>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</si>
  <si>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</si>
  <si>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</si>
  <si>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</si>
  <si>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</si>
  <si>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</si>
  <si>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</si>
  <si>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</si>
  <si>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</si>
  <si>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</si>
  <si>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</si>
  <si>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</si>
  <si>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</si>
  <si>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</si>
  <si>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</si>
  <si>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</si>
  <si>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</si>
  <si>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</si>
  <si>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</si>
  <si>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</si>
  <si>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</si>
  <si>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</si>
  <si>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</si>
  <si>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</si>
  <si>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</si>
  <si>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</si>
  <si>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</si>
  <si>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</si>
  <si>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</si>
  <si>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</si>
  <si>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</si>
  <si>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</si>
  <si>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</si>
  <si>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</si>
  <si>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</si>
  <si>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</si>
  <si>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</si>
  <si>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</si>
  <si>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</si>
  <si>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</si>
  <si>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</si>
  <si>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</si>
  <si>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</si>
  <si>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</si>
  <si>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</si>
  <si>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</si>
  <si>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</si>
  <si>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</si>
  <si>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</si>
  <si>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</si>
  <si>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</si>
  <si>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</si>
  <si>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</si>
  <si>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</si>
  <si>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</si>
  <si>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</si>
  <si>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</si>
  <si>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</si>
  <si>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</si>
  <si>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</si>
  <si>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</si>
  <si>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</si>
  <si>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</si>
  <si>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</si>
  <si>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</si>
  <si>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</si>
  <si>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</si>
  <si>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</si>
  <si>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</si>
  <si>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</si>
  <si>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</si>
  <si>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</si>
  <si>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</si>
  <si>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</si>
  <si>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</si>
  <si>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</si>
  <si>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</si>
  <si>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</si>
  <si>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</si>
  <si>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</si>
  <si>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</si>
  <si>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</si>
  <si>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</si>
  <si>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</si>
  <si>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</si>
  <si>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</si>
  <si>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</si>
  <si>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</si>
  <si>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</si>
  <si>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</si>
  <si>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</si>
  <si>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</si>
  <si>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</si>
  <si>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</si>
  <si>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</si>
  <si>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</si>
  <si>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</si>
  <si>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</si>
  <si>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</si>
  <si>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</si>
  <si>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</si>
  <si>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</si>
  <si>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</si>
  <si>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</si>
  <si>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</si>
  <si>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</si>
  <si>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</si>
  <si>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</si>
  <si>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</si>
  <si>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</si>
  <si>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</si>
  <si>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</si>
  <si>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</si>
  <si>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</si>
  <si>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</si>
  <si>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</si>
  <si>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</si>
  <si>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</si>
  <si>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</si>
  <si>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</si>
  <si>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</si>
  <si>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</si>
  <si>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</si>
  <si>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</si>
  <si>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</si>
  <si>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</si>
  <si>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</si>
  <si>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</si>
  <si>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</si>
  <si>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</si>
  <si>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</si>
  <si>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</si>
  <si>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</si>
  <si>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</si>
  <si>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</si>
  <si>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</si>
  <si>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</si>
  <si>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</si>
  <si>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</si>
  <si>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</si>
  <si>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</si>
  <si>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</si>
  <si>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</si>
  <si>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</si>
  <si>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</si>
  <si>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</si>
  <si>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</si>
  <si>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</si>
  <si>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</si>
  <si>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</si>
  <si>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</si>
  <si>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</si>
  <si>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</si>
  <si>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</si>
  <si>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</si>
  <si>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</si>
  <si>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</si>
  <si>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</si>
  <si>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</si>
  <si>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</si>
  <si>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</si>
  <si>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</si>
  <si>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</si>
  <si>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</si>
  <si>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</si>
  <si>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</si>
  <si>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</si>
  <si>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</si>
  <si>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</si>
  <si>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</si>
  <si>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</si>
  <si>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</si>
  <si>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</si>
  <si>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</si>
  <si>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</si>
  <si>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</si>
  <si>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</si>
  <si>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</si>
  <si>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</si>
  <si>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</si>
  <si>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</si>
  <si>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</si>
  <si>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</si>
  <si>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</si>
  <si>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</si>
  <si>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</si>
  <si>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</si>
  <si>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</si>
  <si>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</si>
  <si>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</si>
  <si>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</si>
  <si>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</si>
  <si>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</si>
  <si>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</si>
  <si>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</si>
  <si>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</si>
  <si>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</si>
  <si>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</si>
  <si>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</si>
  <si>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</si>
  <si>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</si>
  <si>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</si>
  <si>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</si>
  <si>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</si>
  <si>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</si>
  <si>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</si>
  <si>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</si>
  <si>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</si>
  <si>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</si>
  <si>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</si>
  <si>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</si>
  <si>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</si>
  <si>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</si>
  <si>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</si>
  <si>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</si>
  <si>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</si>
  <si>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</si>
  <si>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</si>
  <si>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</si>
  <si>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</si>
  <si>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</si>
  <si>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</si>
  <si>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</si>
  <si>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</si>
  <si>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</si>
  <si>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</si>
  <si>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</si>
  <si>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</si>
  <si>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</si>
  <si>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</si>
  <si>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</si>
  <si>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</si>
  <si>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</si>
  <si>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</si>
  <si>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</si>
  <si>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</si>
  <si>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</si>
  <si>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</si>
  <si>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</si>
  <si>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</si>
  <si>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</si>
  <si>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</si>
  <si>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</si>
  <si>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</si>
  <si>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</si>
  <si>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</si>
  <si>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</si>
  <si>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</si>
  <si>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</si>
  <si>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</si>
  <si>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</si>
  <si>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</si>
  <si>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</si>
  <si>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</si>
  <si>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</si>
  <si>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</si>
  <si>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</si>
  <si>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</si>
  <si>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</si>
  <si>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</si>
  <si>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</si>
  <si>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</si>
  <si>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</si>
  <si>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</si>
  <si>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</si>
  <si>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</si>
  <si>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</si>
  <si>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</si>
  <si>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</si>
  <si>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</si>
  <si>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</si>
  <si>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</si>
  <si>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</si>
  <si>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</si>
  <si>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</si>
  <si>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</si>
  <si>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</si>
  <si>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</si>
  <si>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</si>
  <si>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</si>
  <si>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</si>
  <si>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</si>
  <si>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</si>
  <si>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</si>
  <si>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</si>
  <si>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</si>
  <si>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</si>
  <si>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</si>
  <si>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</si>
  <si>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</si>
  <si>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</si>
  <si>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</si>
  <si>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</si>
  <si>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</si>
  <si>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</si>
  <si>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</si>
  <si>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</si>
  <si>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</si>
  <si>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</si>
  <si>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</si>
  <si>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</si>
  <si>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</si>
  <si>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</si>
  <si>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</si>
  <si>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</si>
  <si>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</si>
  <si>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</si>
  <si>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</si>
  <si>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</si>
  <si>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</si>
  <si>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</si>
  <si>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</si>
  <si>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</si>
  <si>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</si>
  <si>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</si>
  <si>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</si>
  <si>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</si>
  <si>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</si>
  <si>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</si>
  <si>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</si>
  <si>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</si>
  <si>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</si>
  <si>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</si>
  <si>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</si>
  <si>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</si>
  <si>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</si>
  <si>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</si>
  <si>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</si>
  <si>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</si>
  <si>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</si>
  <si>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</si>
  <si>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</si>
  <si>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</si>
  <si>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</si>
  <si>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</si>
  <si>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</si>
  <si>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</si>
  <si>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</si>
  <si>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</si>
  <si>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</si>
  <si>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</si>
  <si>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</si>
  <si>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</si>
  <si>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</si>
  <si>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</si>
  <si>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</si>
  <si>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</si>
  <si>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</si>
  <si>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</si>
  <si>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</si>
  <si>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</si>
  <si>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</si>
  <si>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</si>
  <si>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</si>
  <si>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</si>
  <si>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</si>
  <si>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</si>
  <si>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</si>
  <si>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</si>
  <si>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</si>
  <si>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</si>
  <si>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</si>
  <si>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</si>
  <si>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</si>
  <si>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</si>
  <si>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</si>
  <si>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</si>
  <si>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</si>
  <si>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</si>
  <si>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</si>
  <si>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</si>
  <si>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</si>
  <si>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</si>
  <si>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</si>
  <si>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</si>
  <si>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</si>
  <si>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</si>
  <si>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</si>
  <si>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</si>
  <si>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</si>
  <si>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</si>
  <si>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</si>
  <si>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</si>
  <si>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</si>
  <si>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</si>
  <si>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</si>
  <si>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</si>
  <si>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</si>
  <si>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</si>
  <si>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</si>
  <si>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</si>
  <si>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</si>
  <si>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</si>
  <si>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</si>
  <si>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</si>
  <si>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</si>
  <si>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</si>
  <si>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</si>
  <si>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</si>
  <si>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</si>
  <si>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</si>
  <si>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</si>
  <si>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</si>
  <si>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</si>
  <si>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</si>
  <si>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</si>
  <si>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</si>
  <si>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</si>
  <si>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</si>
  <si>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</si>
  <si>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</si>
  <si>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</si>
  <si>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</si>
  <si>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</si>
  <si>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</si>
  <si>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</si>
  <si>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</si>
  <si>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</si>
  <si>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</si>
  <si>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</si>
  <si>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</si>
  <si>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</si>
  <si>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</si>
  <si>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</si>
  <si>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</si>
  <si>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</si>
  <si>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</si>
  <si>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</si>
  <si>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</si>
  <si>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</si>
  <si>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</si>
  <si>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</si>
  <si>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</si>
  <si>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</si>
  <si>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</si>
  <si>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</si>
  <si>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</si>
  <si>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</si>
  <si>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</si>
  <si>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</si>
  <si>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</si>
  <si>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</si>
  <si>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</si>
  <si>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</si>
  <si>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</si>
  <si>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</si>
  <si>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</si>
  <si>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</si>
  <si>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</si>
  <si>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</si>
  <si>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</si>
  <si>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</si>
  <si>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</si>
  <si>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</si>
  <si>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</si>
  <si>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</si>
  <si>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</si>
  <si>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</si>
  <si>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</si>
  <si>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</si>
  <si>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</si>
  <si>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</si>
  <si>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</si>
  <si>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</si>
  <si>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</si>
  <si>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</si>
  <si>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</si>
  <si>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</si>
  <si>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</si>
  <si>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</si>
  <si>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</si>
  <si>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</si>
  <si>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</si>
  <si>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</si>
  <si>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</si>
  <si>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</si>
  <si>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</si>
  <si>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</si>
  <si>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</si>
  <si>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</si>
  <si>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</si>
  <si>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</si>
  <si>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</si>
  <si>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</si>
  <si>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</si>
  <si>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</si>
  <si>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</si>
  <si>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</si>
  <si>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</si>
  <si>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</si>
  <si>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</si>
  <si>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</si>
  <si>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</si>
  <si>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</si>
  <si>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</si>
  <si>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</si>
  <si>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</si>
  <si>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</si>
  <si>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</si>
  <si>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</si>
  <si>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</si>
  <si>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</si>
  <si>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</si>
  <si>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</si>
  <si>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</si>
  <si>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</si>
  <si>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</si>
  <si>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</si>
  <si>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</si>
  <si>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</si>
  <si>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</si>
  <si>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</si>
  <si>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</si>
  <si>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</si>
  <si>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</si>
  <si>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</si>
  <si>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</si>
  <si>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</si>
  <si>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</si>
  <si>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</si>
  <si>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</si>
  <si>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</si>
  <si>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</si>
  <si>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</si>
  <si>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</si>
  <si>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</si>
  <si>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</si>
  <si>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</si>
  <si>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</si>
  <si>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</si>
  <si>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</si>
  <si>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</si>
  <si>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</si>
  <si>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</si>
  <si>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</si>
  <si>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</si>
  <si>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</si>
  <si>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</si>
  <si>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</si>
  <si>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</si>
  <si>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</si>
  <si>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</si>
  <si>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</si>
  <si>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</si>
  <si>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</si>
  <si>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</si>
  <si>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</si>
  <si>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</si>
  <si>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</si>
  <si>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</si>
  <si>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</si>
  <si>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</si>
  <si>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</si>
  <si>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</si>
  <si>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</si>
  <si>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</si>
  <si>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</si>
  <si>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</si>
  <si>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</si>
  <si>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</si>
  <si>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</si>
  <si>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</si>
  <si>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</si>
  <si>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</si>
  <si>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</si>
  <si>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</si>
  <si>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</si>
  <si>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</si>
  <si>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</si>
  <si>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</si>
  <si>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</si>
  <si>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</si>
  <si>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</si>
  <si>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</si>
  <si>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</si>
  <si>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</si>
  <si>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</si>
  <si>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</si>
  <si>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</si>
  <si>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</si>
  <si>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</si>
  <si>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</si>
  <si>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</si>
  <si>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</si>
  <si>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</si>
  <si>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</si>
  <si>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</si>
  <si>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</si>
  <si>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</si>
  <si>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</si>
  <si>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</si>
  <si>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</si>
  <si>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</si>
  <si>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</si>
  <si>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</si>
  <si>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</si>
  <si>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</si>
  <si>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</si>
  <si>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</si>
  <si>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</si>
  <si>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</si>
  <si>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</si>
  <si>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</si>
  <si>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</si>
  <si>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</si>
  <si>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</si>
  <si>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</si>
  <si>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</si>
  <si>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</si>
  <si>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</si>
  <si>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</si>
  <si>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</si>
  <si>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</si>
  <si>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</si>
  <si>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</si>
  <si>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</si>
  <si>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</si>
  <si>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</si>
  <si>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</si>
  <si>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</si>
  <si>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</si>
  <si>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</si>
  <si>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</si>
  <si>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</si>
  <si>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</si>
  <si>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</si>
  <si>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</si>
  <si>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</si>
  <si>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</si>
  <si>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</si>
  <si>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</si>
  <si>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</si>
  <si>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</si>
  <si>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</si>
  <si>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</si>
  <si>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</si>
  <si>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</si>
  <si>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</si>
  <si>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</si>
  <si>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</si>
  <si>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</si>
  <si>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</si>
  <si>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</si>
  <si>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</si>
  <si>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</si>
  <si>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</si>
  <si>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</si>
  <si>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</si>
  <si>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</si>
  <si>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</si>
  <si>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</si>
  <si>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</si>
  <si>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</si>
  <si>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</si>
  <si>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</si>
  <si>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</si>
  <si>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</si>
  <si>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</si>
  <si>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</si>
  <si>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</si>
  <si>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</si>
  <si>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</si>
  <si>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</si>
  <si>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</si>
  <si>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</si>
  <si>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</si>
  <si>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</si>
  <si>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</si>
  <si>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</si>
  <si>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</si>
  <si>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</si>
  <si>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</si>
  <si>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</si>
  <si>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</si>
  <si>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</si>
  <si>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</si>
  <si>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</si>
  <si>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</si>
  <si>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</si>
  <si>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</si>
  <si>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</si>
  <si>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</si>
  <si>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</si>
  <si>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</si>
  <si>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</si>
  <si>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</si>
  <si>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</si>
  <si>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</si>
  <si>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</si>
  <si>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</si>
  <si>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</si>
  <si>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</si>
  <si>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</si>
  <si>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</si>
  <si>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</si>
  <si>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</si>
  <si>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</si>
  <si>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</si>
  <si>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</si>
  <si>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</si>
  <si>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</si>
  <si>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</si>
  <si>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</si>
  <si>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</si>
  <si>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</si>
  <si>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</si>
  <si>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</si>
  <si>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</si>
  <si>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</si>
  <si>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</si>
  <si>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</si>
  <si>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</si>
  <si>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</si>
  <si>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</si>
  <si>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</si>
  <si>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</si>
  <si>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</si>
  <si>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</si>
  <si>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</si>
  <si>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</si>
  <si>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</si>
  <si>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</si>
  <si>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</si>
  <si>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</si>
  <si>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</si>
  <si>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</si>
  <si>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</si>
  <si>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</si>
  <si>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</si>
  <si>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</si>
  <si>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</si>
  <si>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</si>
  <si>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</si>
  <si>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t>Little Lamb</t>
  </si>
  <si>
    <t>Ascend: Animal. Whenever a friendly Animal Unit is deployed adjacently, gain +1 Power.</t>
  </si>
  <si>
    <t>Weaponized Pest</t>
  </si>
  <si>
    <t>Deploy: Move all Tokens from a friendly Unit to this.</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</si>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</sst>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2">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7"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8" numFmtId="0" xfId="0" applyAlignment="1" applyBorder="1" applyFont="1">
      <alignment readingOrder="0"/>
    </xf>
    <xf borderId="4" fillId="13" fontId="24" numFmtId="0" xfId="0" applyAlignment="1" applyBorder="1" applyFont="1">
      <alignment horizontal="center" readingOrder="0"/>
    </xf>
    <xf borderId="6" fillId="13" fontId="24" numFmtId="0" xfId="0" applyAlignment="1" applyBorder="1" applyFont="1">
      <alignment horizontal="center" readingOrder="0"/>
    </xf>
    <xf borderId="7" fillId="0" fontId="29" numFmtId="0" xfId="0" applyAlignment="1" applyBorder="1" applyFont="1">
      <alignment readingOrder="0"/>
    </xf>
    <xf borderId="8" fillId="0" fontId="29" numFmtId="0" xfId="0" applyBorder="1" applyFont="1"/>
    <xf borderId="9" fillId="0" fontId="29" numFmtId="0" xfId="0" applyAlignment="1" applyBorder="1" applyFont="1">
      <alignment readingOrder="0"/>
    </xf>
    <xf borderId="0" fillId="0" fontId="30" numFmtId="0" xfId="0" applyAlignment="1" applyFont="1">
      <alignment horizontal="left"/>
    </xf>
    <xf borderId="10" fillId="0" fontId="30" numFmtId="0" xfId="0" applyAlignment="1" applyBorder="1" applyFont="1">
      <alignment horizontal="left"/>
    </xf>
    <xf borderId="9" fillId="0" fontId="5" numFmtId="0" xfId="0" applyAlignment="1" applyBorder="1" applyFont="1">
      <alignment readingOrder="0" vertical="bottom"/>
    </xf>
    <xf borderId="8" fillId="0" fontId="31" numFmtId="0" xfId="0" applyAlignment="1" applyBorder="1" applyFont="1">
      <alignment readingOrder="0"/>
    </xf>
    <xf borderId="9" fillId="0" fontId="10" numFmtId="0" xfId="0" applyAlignment="1" applyBorder="1" applyFont="1">
      <alignment readingOrder="0"/>
    </xf>
    <xf borderId="8" fillId="8" fontId="32" numFmtId="0" xfId="0" applyAlignment="1" applyBorder="1" applyFont="1">
      <alignment horizontal="left" readingOrder="0"/>
    </xf>
    <xf borderId="8" fillId="0" fontId="29" numFmtId="0" xfId="0" applyAlignment="1" applyBorder="1" applyFont="1">
      <alignment readingOrder="0"/>
    </xf>
    <xf borderId="9" fillId="0" fontId="31" numFmtId="0" xfId="0" applyAlignment="1" applyBorder="1" applyFont="1">
      <alignment readingOrder="0"/>
    </xf>
    <xf borderId="11" fillId="8" fontId="32"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30" numFmtId="0" xfId="0" applyAlignment="1" applyBorder="1" applyFont="1">
      <alignment horizontal="left"/>
    </xf>
    <xf borderId="15" fillId="0" fontId="30" numFmtId="0" xfId="0" applyAlignment="1" applyBorder="1" applyFont="1">
      <alignment horizontal="left"/>
    </xf>
    <xf borderId="12" fillId="0" fontId="33" numFmtId="0" xfId="0" applyAlignment="1" applyBorder="1" applyFont="1">
      <alignment horizontal="right" readingOrder="0"/>
    </xf>
    <xf borderId="16" fillId="0" fontId="34" numFmtId="0" xfId="0" applyAlignment="1" applyBorder="1" applyFont="1">
      <alignment readingOrder="0"/>
    </xf>
    <xf borderId="16" fillId="0" fontId="30" numFmtId="0" xfId="0" applyAlignment="1" applyBorder="1" applyFont="1">
      <alignment horizontal="left"/>
    </xf>
    <xf borderId="17" fillId="0" fontId="30" numFmtId="0" xfId="0" applyAlignment="1" applyBorder="1" applyFont="1">
      <alignment horizontal="left"/>
    </xf>
    <xf borderId="18" fillId="0" fontId="30" numFmtId="0" xfId="0" applyAlignment="1" applyBorder="1" applyFont="1">
      <alignment horizontal="left"/>
    </xf>
    <xf borderId="12" fillId="0" fontId="11" numFmtId="0" xfId="0" applyAlignment="1" applyBorder="1" applyFont="1">
      <alignment horizontal="right" readingOrder="0"/>
    </xf>
    <xf borderId="9" fillId="0" fontId="35" numFmtId="0" xfId="0" applyAlignment="1" applyBorder="1" applyFont="1">
      <alignment readingOrder="0"/>
    </xf>
    <xf borderId="9" fillId="0" fontId="30" numFmtId="0" xfId="0" applyAlignment="1" applyBorder="1" applyFont="1">
      <alignment horizontal="left"/>
    </xf>
    <xf borderId="0" fillId="0" fontId="36" numFmtId="0" xfId="0" applyFont="1"/>
    <xf borderId="9" fillId="0" fontId="34" numFmtId="0" xfId="0" applyAlignment="1" applyBorder="1" applyFont="1">
      <alignment readingOrder="0"/>
    </xf>
    <xf borderId="19" fillId="0" fontId="29"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5" numFmtId="0" xfId="0" applyAlignment="1" applyBorder="1" applyFont="1">
      <alignment readingOrder="0"/>
    </xf>
    <xf borderId="22" fillId="0" fontId="30" numFmtId="0" xfId="0" applyAlignment="1" applyBorder="1" applyFont="1">
      <alignment horizontal="left"/>
    </xf>
    <xf borderId="23" fillId="0" fontId="30" numFmtId="0" xfId="0" applyAlignment="1" applyBorder="1" applyFont="1">
      <alignment horizontal="left"/>
    </xf>
    <xf borderId="24" fillId="0" fontId="30" numFmtId="0" xfId="0" applyAlignment="1" applyBorder="1" applyFont="1">
      <alignment horizontal="left"/>
    </xf>
    <xf borderId="25" fillId="0" fontId="29" numFmtId="0" xfId="0" applyAlignment="1" applyBorder="1" applyFont="1">
      <alignment readingOrder="0"/>
    </xf>
    <xf borderId="4" fillId="0" fontId="37" numFmtId="0" xfId="0" applyAlignment="1" applyBorder="1" applyFont="1">
      <alignment readingOrder="0"/>
    </xf>
    <xf borderId="4" fillId="0" fontId="38" numFmtId="0" xfId="0" applyAlignment="1" applyBorder="1" applyFont="1">
      <alignment horizontal="center"/>
    </xf>
    <xf borderId="6" fillId="0" fontId="38" numFmtId="0" xfId="0" applyAlignment="1" applyBorder="1" applyFont="1">
      <alignment horizontal="center"/>
    </xf>
    <xf borderId="25" fillId="0" fontId="10" numFmtId="0" xfId="0" applyBorder="1" applyFont="1"/>
    <xf borderId="26" fillId="0" fontId="29" numFmtId="0" xfId="0" applyAlignment="1" applyBorder="1" applyFont="1">
      <alignment readingOrder="0"/>
    </xf>
    <xf borderId="4" fillId="21" fontId="29" numFmtId="0" xfId="0" applyAlignment="1" applyBorder="1" applyFill="1" applyFont="1">
      <alignment horizontal="center" readingOrder="0"/>
    </xf>
    <xf borderId="4" fillId="18" fontId="29" numFmtId="0" xfId="0" applyAlignment="1" applyBorder="1" applyFont="1">
      <alignment horizontal="center" readingOrder="0"/>
    </xf>
    <xf borderId="4" fillId="14" fontId="29" numFmtId="0" xfId="0" applyAlignment="1" applyBorder="1" applyFont="1">
      <alignment horizontal="center" readingOrder="0"/>
    </xf>
    <xf borderId="4" fillId="22" fontId="29" numFmtId="0" xfId="0" applyAlignment="1" applyBorder="1" applyFill="1" applyFont="1">
      <alignment horizontal="center" readingOrder="0"/>
    </xf>
    <xf borderId="6" fillId="19" fontId="28" numFmtId="0" xfId="0" applyAlignment="1" applyBorder="1" applyFont="1">
      <alignment horizontal="center" readingOrder="0"/>
    </xf>
    <xf borderId="4" fillId="0" fontId="29" numFmtId="0" xfId="0" applyAlignment="1" applyBorder="1" applyFont="1">
      <alignment horizontal="center" readingOrder="0"/>
    </xf>
    <xf borderId="26" fillId="0" fontId="29"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9" numFmtId="0" xfId="0" applyAlignment="1" applyBorder="1" applyFont="1">
      <alignment horizontal="right"/>
    </xf>
    <xf borderId="27" fillId="0" fontId="10" numFmtId="0" xfId="0" applyBorder="1" applyFont="1"/>
    <xf borderId="0" fillId="9" fontId="30" numFmtId="0" xfId="0" applyAlignment="1" applyFont="1">
      <alignment horizontal="center"/>
    </xf>
    <xf borderId="10" fillId="9" fontId="30" numFmtId="0" xfId="0" applyAlignment="1" applyBorder="1" applyFont="1">
      <alignment horizontal="center"/>
    </xf>
    <xf borderId="12" fillId="0" fontId="18"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9" numFmtId="0" xfId="0" applyAlignment="1" applyBorder="1" applyFont="1">
      <alignment horizontal="right" readingOrder="0"/>
    </xf>
    <xf borderId="6" fillId="0" fontId="29"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9" numFmtId="0" xfId="0" applyAlignment="1" applyBorder="1" applyFont="1">
      <alignment horizontal="right"/>
    </xf>
    <xf borderId="12" fillId="0" fontId="18" numFmtId="0" xfId="0" applyBorder="1" applyFont="1"/>
    <xf borderId="21" fillId="0" fontId="29" numFmtId="0" xfId="0" applyAlignment="1" applyBorder="1" applyFont="1">
      <alignment horizontal="right"/>
    </xf>
    <xf borderId="30" fillId="0" fontId="10" numFmtId="0" xfId="0" applyBorder="1" applyFont="1"/>
    <xf borderId="23" fillId="9" fontId="30" numFmtId="0" xfId="0" applyAlignment="1" applyBorder="1" applyFont="1">
      <alignment horizontal="center"/>
    </xf>
    <xf borderId="24" fillId="9" fontId="30" numFmtId="0" xfId="0" applyAlignment="1" applyBorder="1" applyFont="1">
      <alignment horizontal="center"/>
    </xf>
    <xf borderId="10" fillId="0" fontId="10" numFmtId="0" xfId="0" applyBorder="1" applyFont="1"/>
    <xf borderId="0" fillId="9" fontId="30" numFmtId="0" xfId="0" applyFont="1"/>
    <xf borderId="21" fillId="0" fontId="10" numFmtId="0" xfId="0" applyBorder="1" applyFont="1"/>
    <xf borderId="24" fillId="0" fontId="10" numFmtId="0" xfId="0" applyBorder="1" applyFont="1"/>
    <xf borderId="0" fillId="13" fontId="40" numFmtId="0" xfId="0" applyAlignment="1" applyFont="1">
      <alignment horizontal="left" readingOrder="0"/>
    </xf>
    <xf borderId="0" fillId="13" fontId="41" numFmtId="0" xfId="0" applyAlignment="1" applyFont="1">
      <alignment horizontal="left" readingOrder="0"/>
    </xf>
    <xf borderId="0" fillId="13" fontId="1" numFmtId="0" xfId="0" applyAlignment="1" applyFont="1">
      <alignment horizontal="left" readingOrder="0"/>
    </xf>
    <xf borderId="0" fillId="0" fontId="42" numFmtId="0" xfId="0" applyFont="1"/>
    <xf borderId="0" fillId="0" fontId="43" numFmtId="0" xfId="0" applyFont="1"/>
    <xf borderId="0" fillId="13" fontId="44" numFmtId="0" xfId="0" applyAlignment="1" applyFont="1">
      <alignment horizontal="left" readingOrder="0"/>
    </xf>
    <xf borderId="0" fillId="13" fontId="24"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5" numFmtId="0" xfId="0" applyAlignment="1" applyFont="1">
      <alignment readingOrder="0"/>
    </xf>
    <xf borderId="0" fillId="0" fontId="2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31" fillId="8" fontId="29" numFmtId="0" xfId="0" applyAlignment="1" applyBorder="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35" numFmtId="0" xfId="0" applyAlignment="1" applyFont="1">
      <alignment horizontal="left" readingOrder="0"/>
    </xf>
    <xf borderId="0" fillId="0" fontId="49" numFmtId="0" xfId="0" applyAlignment="1" applyFont="1">
      <alignment horizontal="left" readingOrder="0" vertical="center"/>
    </xf>
    <xf borderId="0" fillId="0" fontId="50"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6"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1"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108703984"/>
        <c:axId val="1939274005"/>
      </c:barChart>
      <c:catAx>
        <c:axId val="21087039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939274005"/>
      </c:catAx>
      <c:valAx>
        <c:axId val="19392740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0870398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297" Type="http://schemas.openxmlformats.org/officeDocument/2006/relationships/hyperlink" Target="https://alpha.midjourney.com/jobs/b782234a-ae27-4ab3-a874-11519512ecce?index=1" TargetMode="External"/><Relationship Id="rId175" Type="http://schemas.openxmlformats.org/officeDocument/2006/relationships/hyperlink" Target="https://alpha.midjourney.com/jobs/f309aeec-173a-46f1-b16b-f5f15141815a?index=2" TargetMode="External"/><Relationship Id="rId296" Type="http://schemas.openxmlformats.org/officeDocument/2006/relationships/hyperlink" Target="https://alpha.midjourney.com/jobs/b1f8f3d5-445f-4c75-8c69-dc3c00dd6a2a?index=1" TargetMode="External"/><Relationship Id="rId174" Type="http://schemas.openxmlformats.org/officeDocument/2006/relationships/hyperlink" Target="https://alpha.midjourney.com/jobs/f309aeec-173a-46f1-b16b-f5f15141815a?index=0" TargetMode="External"/><Relationship Id="rId295" Type="http://schemas.openxmlformats.org/officeDocument/2006/relationships/hyperlink" Target="https://alpha.midjourney.com/jobs/b1f8f3d5-445f-4c75-8c69-dc3c00dd6a2a?index=3" TargetMode="External"/><Relationship Id="rId173" Type="http://schemas.openxmlformats.org/officeDocument/2006/relationships/hyperlink" Target="https://alpha.midjourney.com/jobs/fdd4f64e-d836-4c8f-9358-77cc88394b13?index=1" TargetMode="External"/><Relationship Id="rId294" Type="http://schemas.openxmlformats.org/officeDocument/2006/relationships/hyperlink" Target="https://alpha.midjourney.com/jobs/b6935539-efed-401f-850a-d485cb53a209?index=2"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299" Type="http://schemas.openxmlformats.org/officeDocument/2006/relationships/hyperlink" Target="https://alpha.midjourney.com/jobs/bace0219-18ab-4fad-b1cf-6dd7f636ba09?index=1" TargetMode="External"/><Relationship Id="rId177" Type="http://schemas.openxmlformats.org/officeDocument/2006/relationships/hyperlink" Target="https://alpha.midjourney.com/jobs/f14bf8bf-3033-40a6-9792-dd0d2005d4a4?index=0" TargetMode="External"/><Relationship Id="rId298" Type="http://schemas.openxmlformats.org/officeDocument/2006/relationships/hyperlink" Target="https://alpha.midjourney.com/jobs/bace0219-18ab-4fad-b1cf-6dd7f636ba09?index=3"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271" Type="http://schemas.openxmlformats.org/officeDocument/2006/relationships/hyperlink" Target="https://alpha.midjourney.com/jobs/8ccfe4e3-0dd5-4f9c-be98-1629ec29694f?index=0" TargetMode="External"/><Relationship Id="rId392" Type="http://schemas.openxmlformats.org/officeDocument/2006/relationships/hyperlink" Target="https://alpha.midjourney.com/jobs/ee08debf-6dfa-4c1a-b68d-af2815e27ecd?index=0" TargetMode="External"/><Relationship Id="rId270" Type="http://schemas.openxmlformats.org/officeDocument/2006/relationships/hyperlink" Target="https://alpha.midjourney.com/jobs/4675fbf5-6bfc-4c8a-9092-aaf4e3643f28?index=2"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269" Type="http://schemas.openxmlformats.org/officeDocument/2006/relationships/hyperlink" Target="https://alpha.midjourney.com/jobs/0ac155c4-dccd-49ea-a6ba-b70dd8d8e9a3?index=2"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264" Type="http://schemas.openxmlformats.org/officeDocument/2006/relationships/hyperlink" Target="https://alpha.midjourney.com/jobs/9d22a6ef-3cfd-4390-83a1-bcb607bfc60e?index=2"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263" Type="http://schemas.openxmlformats.org/officeDocument/2006/relationships/hyperlink" Target="https://alpha.midjourney.com/jobs/9d22a6ef-3cfd-4390-83a1-bcb607bfc60e?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262" Type="http://schemas.openxmlformats.org/officeDocument/2006/relationships/hyperlink" Target="https://alpha.midjourney.com/jobs/bb66d639-f343-4845-af2a-5eb193006647?index=0"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261" Type="http://schemas.openxmlformats.org/officeDocument/2006/relationships/hyperlink" Target="https://alpha.midjourney.com/jobs/aa3828cc-da5b-44fd-a991-7dfa8d358eca?index=1"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268" Type="http://schemas.openxmlformats.org/officeDocument/2006/relationships/hyperlink" Target="https://alpha.midjourney.com/jobs/712bc1b1-a311-4c9e-8fd3-9084faf62db5?index=2"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267" Type="http://schemas.openxmlformats.org/officeDocument/2006/relationships/hyperlink" Target="https://alpha.midjourney.com/jobs/712bc1b1-a311-4c9e-8fd3-9084faf62db5?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266" Type="http://schemas.openxmlformats.org/officeDocument/2006/relationships/hyperlink" Target="https://alpha.midjourney.com/jobs/edce3cff-dccc-4dd6-927a-c86b99379750?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265" Type="http://schemas.openxmlformats.org/officeDocument/2006/relationships/hyperlink" Target="https://alpha.midjourney.com/jobs/4a4fcd20-cf99-4f08-98be-e4a9a21447fd?index=2" TargetMode="External"/><Relationship Id="rId386" Type="http://schemas.openxmlformats.org/officeDocument/2006/relationships/hyperlink" Target="https://alpha.midjourney.com/jobs/f4364281-c341-4325-823b-cc159f62e3fa?index=3" TargetMode="External"/><Relationship Id="rId260" Type="http://schemas.openxmlformats.org/officeDocument/2006/relationships/hyperlink" Target="https://alpha.midjourney.com/jobs/b5789562-2e2e-4ceb-8443-0ae424a3c7dd?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259" Type="http://schemas.openxmlformats.org/officeDocument/2006/relationships/hyperlink" Target="https://alpha.midjourney.com/jobs/87f09264-db69-471c-a5b1-db98d924778f?index=3" TargetMode="External"/><Relationship Id="rId137" Type="http://schemas.openxmlformats.org/officeDocument/2006/relationships/hyperlink" Target="https://alpha.midjourney.com/jobs/3583fb04-e10f-4436-a53d-ac6033c51e68?index=3" TargetMode="External"/><Relationship Id="rId258" Type="http://schemas.openxmlformats.org/officeDocument/2006/relationships/hyperlink" Target="https://alpha.midjourney.com/jobs/87f09264-db69-471c-a5b1-db98d924778f?index=0"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253" Type="http://schemas.openxmlformats.org/officeDocument/2006/relationships/hyperlink" Target="https://alpha.midjourney.com/jobs/61d71d29-7f19-4719-9f9d-b595a90e7eac?index=3" TargetMode="External"/><Relationship Id="rId374" Type="http://schemas.openxmlformats.org/officeDocument/2006/relationships/hyperlink" Target="https://alpha.midjourney.com/jobs/7ab22aed-daaa-486c-bcb0-51549f984fe3?index=0" TargetMode="External"/><Relationship Id="rId495" Type="http://schemas.openxmlformats.org/officeDocument/2006/relationships/hyperlink" Target="https://alpha.midjourney.com/jobs/54b00b16-65a7-4baa-b8e3-37fd71f85d8f?index=3" TargetMode="External"/><Relationship Id="rId131" Type="http://schemas.openxmlformats.org/officeDocument/2006/relationships/hyperlink" Target="https://alpha.midjourney.com/jobs/a0c2bdad-9975-4339-8646-d109edd1ea08?index=0" TargetMode="External"/><Relationship Id="rId252" Type="http://schemas.openxmlformats.org/officeDocument/2006/relationships/hyperlink" Target="https://alpha.midjourney.com/jobs/792d59ef-82cf-4773-9eb4-65105c9208ec?index=2" TargetMode="External"/><Relationship Id="rId373" Type="http://schemas.openxmlformats.org/officeDocument/2006/relationships/hyperlink" Target="https://alpha.midjourney.com/jobs/670cd204-5704-4f12-9125-5eb354177f5f?index=2" TargetMode="External"/><Relationship Id="rId494" Type="http://schemas.openxmlformats.org/officeDocument/2006/relationships/hyperlink" Target="https://alpha.midjourney.com/jobs/fdf1b8f9-ccc0-4aaa-8191-4fab233512d4?index=0" TargetMode="External"/><Relationship Id="rId130" Type="http://schemas.openxmlformats.org/officeDocument/2006/relationships/hyperlink" Target="https://alpha.midjourney.com/jobs/05e7dc87-7c7f-400d-b1d6-3bce616d0bfb?index=0" TargetMode="External"/><Relationship Id="rId251" Type="http://schemas.openxmlformats.org/officeDocument/2006/relationships/hyperlink" Target="https://alpha.midjourney.com/jobs/e4901e8f-dc64-4a32-8b4e-4db18f9edb34?index=2" TargetMode="External"/><Relationship Id="rId372" Type="http://schemas.openxmlformats.org/officeDocument/2006/relationships/hyperlink" Target="https://alpha.midjourney.com/jobs/710d0cf8-ce38-4aa4-b3f2-876f350c95e5?index=1"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371" Type="http://schemas.openxmlformats.org/officeDocument/2006/relationships/hyperlink" Target="https://alpha.midjourney.com/jobs/13f74e45-15bf-4673-a15e-3672c00526da?index=2" TargetMode="External"/><Relationship Id="rId492" Type="http://schemas.openxmlformats.org/officeDocument/2006/relationships/hyperlink" Target="https://alpha.midjourney.com/jobs/1c7bdaca-4cf8-4915-ae8e-aacfc7c209d2?index=3" TargetMode="External"/><Relationship Id="rId136" Type="http://schemas.openxmlformats.org/officeDocument/2006/relationships/hyperlink" Target="https://alpha.midjourney.com/jobs/b96d47c1-e03b-4dad-bc97-123945866ebe?index=3" TargetMode="External"/><Relationship Id="rId257" Type="http://schemas.openxmlformats.org/officeDocument/2006/relationships/hyperlink" Target="https://alpha.midjourney.com/jobs/53760255-c6fe-4c4c-ac76-95aa017993f9?index=1" TargetMode="External"/><Relationship Id="rId378" Type="http://schemas.openxmlformats.org/officeDocument/2006/relationships/hyperlink" Target="https://alpha.midjourney.com/jobs/c57f1fec-7402-4dfa-a0da-3df1bc5a18a7?index=2" TargetMode="External"/><Relationship Id="rId499" Type="http://schemas.openxmlformats.org/officeDocument/2006/relationships/hyperlink" Target="https://alpha.midjourney.com/jobs/4ff343f0-4546-4f8f-bb97-7214850f4953?index=3" TargetMode="External"/><Relationship Id="rId135" Type="http://schemas.openxmlformats.org/officeDocument/2006/relationships/hyperlink" Target="https://alpha.midjourney.com/jobs/05e7dc87-7c7f-400d-b1d6-3bce616d0bfb?index=2" TargetMode="External"/><Relationship Id="rId256" Type="http://schemas.openxmlformats.org/officeDocument/2006/relationships/hyperlink" Target="https://alpha.midjourney.com/jobs/841174db-5c68-41e8-819a-09fa028c5943?index=0" TargetMode="External"/><Relationship Id="rId377" Type="http://schemas.openxmlformats.org/officeDocument/2006/relationships/hyperlink" Target="https://alpha.midjourney.com/jobs/c01595f3-8df5-40fb-ad79-c4ab3f4993bf?index=3" TargetMode="External"/><Relationship Id="rId498" Type="http://schemas.openxmlformats.org/officeDocument/2006/relationships/hyperlink" Target="https://alpha.midjourney.com/jobs/4ff343f0-4546-4f8f-bb97-7214850f4953?index=1" TargetMode="External"/><Relationship Id="rId134" Type="http://schemas.openxmlformats.org/officeDocument/2006/relationships/hyperlink" Target="https://alpha.midjourney.com/jobs/e7a204c6-76d5-4cd7-9a02-e06393503315?index=0" TargetMode="External"/><Relationship Id="rId255" Type="http://schemas.openxmlformats.org/officeDocument/2006/relationships/hyperlink" Target="https://alpha.midjourney.com/jobs/841174db-5c68-41e8-819a-09fa028c5943?index=3" TargetMode="External"/><Relationship Id="rId376" Type="http://schemas.openxmlformats.org/officeDocument/2006/relationships/hyperlink" Target="https://alpha.midjourney.com/jobs/eca24b96-706c-4dc3-98e0-b7e7167890f1?index=1" TargetMode="External"/><Relationship Id="rId497" Type="http://schemas.openxmlformats.org/officeDocument/2006/relationships/hyperlink" Target="https://alpha.midjourney.com/jobs/81588d14-ce8b-416b-ab7d-351ff14b045b?index=1" TargetMode="External"/><Relationship Id="rId133" Type="http://schemas.openxmlformats.org/officeDocument/2006/relationships/hyperlink" Target="https://alpha.midjourney.com/jobs/36d433e2-f591-4ea5-b62a-5cb266b18ca8?index=3" TargetMode="External"/><Relationship Id="rId254" Type="http://schemas.openxmlformats.org/officeDocument/2006/relationships/hyperlink" Target="https://alpha.midjourney.com/jobs/8f47bfa6-8da8-478d-aba1-dff1a5520f1c?index=0" TargetMode="External"/><Relationship Id="rId375" Type="http://schemas.openxmlformats.org/officeDocument/2006/relationships/hyperlink" Target="https://alpha.midjourney.com/jobs/22bb3e8d-5c52-4c44-8587-02c99977f143?index=0" TargetMode="External"/><Relationship Id="rId496" Type="http://schemas.openxmlformats.org/officeDocument/2006/relationships/hyperlink" Target="https://alpha.midjourney.com/jobs/a70a1341-a55b-41e0-af0e-c975f47bf9b4?index=0" TargetMode="External"/><Relationship Id="rId172" Type="http://schemas.openxmlformats.org/officeDocument/2006/relationships/hyperlink" Target="https://alpha.midjourney.com/jobs/ccfe11ca-d68d-42dd-b1cd-d5aa6d3c9b8b?index=0" TargetMode="External"/><Relationship Id="rId293" Type="http://schemas.openxmlformats.org/officeDocument/2006/relationships/hyperlink" Target="https://alpha.midjourney.com/jobs/efc96ed0-d87b-4d29-bb86-f29795728bf8?index=2" TargetMode="External"/><Relationship Id="rId171" Type="http://schemas.openxmlformats.org/officeDocument/2006/relationships/hyperlink" Target="https://alpha.midjourney.com/jobs/ccfe11ca-d68d-42dd-b1cd-d5aa6d3c9b8b?index=2" TargetMode="External"/><Relationship Id="rId292" Type="http://schemas.openxmlformats.org/officeDocument/2006/relationships/hyperlink" Target="https://alpha.midjourney.com/jobs/3f700745-93e9-491e-b302-0f3b8129cd3a?index=3" TargetMode="External"/><Relationship Id="rId170" Type="http://schemas.openxmlformats.org/officeDocument/2006/relationships/hyperlink" Target="https://alpha.midjourney.com/jobs/3e4015d3-c57e-4d12-9ddb-df5fcfb9d19d?index=0"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165" Type="http://schemas.openxmlformats.org/officeDocument/2006/relationships/hyperlink" Target="https://alpha.midjourney.com/jobs/e3dc4ec9-31d3-451f-b89d-f3942b80c042?index=2" TargetMode="External"/><Relationship Id="rId286" Type="http://schemas.openxmlformats.org/officeDocument/2006/relationships/hyperlink" Target="https://alpha.midjourney.com/jobs/8572f917-df31-4408-8707-1d30d6ca5130?index=2" TargetMode="External"/><Relationship Id="rId164" Type="http://schemas.openxmlformats.org/officeDocument/2006/relationships/hyperlink" Target="https://alpha.midjourney.com/jobs/7c0c6fe5-3d11-46e9-9fb2-27a3e4ad98d5?index=0" TargetMode="External"/><Relationship Id="rId285" Type="http://schemas.openxmlformats.org/officeDocument/2006/relationships/hyperlink" Target="https://alpha.midjourney.com/jobs/9f59a1ed-24af-4d99-acaa-6a2a05df2427?index=3" TargetMode="External"/><Relationship Id="rId163" Type="http://schemas.openxmlformats.org/officeDocument/2006/relationships/hyperlink" Target="https://alpha.midjourney.com/jobs/7c0c6fe5-3d11-46e9-9fb2-27a3e4ad98d5?index=3" TargetMode="External"/><Relationship Id="rId284" Type="http://schemas.openxmlformats.org/officeDocument/2006/relationships/hyperlink" Target="https://alpha.midjourney.com/jobs/7fc25a68-b33f-47f1-a6ec-9553717b1c97?index=1" TargetMode="External"/><Relationship Id="rId162" Type="http://schemas.openxmlformats.org/officeDocument/2006/relationships/hyperlink" Target="https://alpha.midjourney.com/jobs/9f273a40-8ff4-4686-8521-a3d630b0eaf9?index=1" TargetMode="External"/><Relationship Id="rId283" Type="http://schemas.openxmlformats.org/officeDocument/2006/relationships/hyperlink" Target="https://alpha.midjourney.com/jobs/7fc25a68-b33f-47f1-a6ec-9553717b1c97?index=0"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289" Type="http://schemas.openxmlformats.org/officeDocument/2006/relationships/hyperlink" Target="https://alpha.midjourney.com/jobs/2ddb8064-c0f9-4c6e-bd7c-5450e649e0ba?index=0" TargetMode="External"/><Relationship Id="rId167" Type="http://schemas.openxmlformats.org/officeDocument/2006/relationships/hyperlink" Target="https://alpha.midjourney.com/jobs/a4c0044f-a986-4aa9-87bf-000b67966a4b?index=0" TargetMode="External"/><Relationship Id="rId288" Type="http://schemas.openxmlformats.org/officeDocument/2006/relationships/hyperlink" Target="https://alpha.midjourney.com/jobs/2ddb8064-c0f9-4c6e-bd7c-5450e649e0ba?index=1" TargetMode="External"/><Relationship Id="rId166" Type="http://schemas.openxmlformats.org/officeDocument/2006/relationships/hyperlink" Target="https://alpha.midjourney.com/jobs/7a2e29fb-bd98-4d30-88b2-8bfee70c4a47?index=0" TargetMode="External"/><Relationship Id="rId287" Type="http://schemas.openxmlformats.org/officeDocument/2006/relationships/hyperlink" Target="https://alpha.midjourney.com/jobs/fb929c6c-57e6-433a-a266-d6503efa9f59?index=3" TargetMode="External"/><Relationship Id="rId161" Type="http://schemas.openxmlformats.org/officeDocument/2006/relationships/hyperlink" Target="https://alpha.midjourney.com/jobs/a9cd8a18-681f-4ef7-927f-65a2d9169d26?index=0" TargetMode="External"/><Relationship Id="rId282" Type="http://schemas.openxmlformats.org/officeDocument/2006/relationships/hyperlink" Target="https://alpha.midjourney.com/jobs/a57b5b64-f263-4fdf-af6b-1b93580bfe5e?index=0" TargetMode="External"/><Relationship Id="rId160" Type="http://schemas.openxmlformats.org/officeDocument/2006/relationships/hyperlink" Target="https://alpha.midjourney.com/jobs/bce87206-d1bc-4ae5-b2a8-99df10be783b?index=2"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275" Type="http://schemas.openxmlformats.org/officeDocument/2006/relationships/hyperlink" Target="https://alpha.midjourney.com/jobs/e27864a6-cc07-4984-b181-922b584c0d96?index=3"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274" Type="http://schemas.openxmlformats.org/officeDocument/2006/relationships/hyperlink" Target="https://alpha.midjourney.com/jobs/c0bbf41e-da40-447a-8817-ba761c755907?index=1"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273" Type="http://schemas.openxmlformats.org/officeDocument/2006/relationships/hyperlink" Target="https://alpha.midjourney.com/jobs/47e93cbb-0e71-491a-a49b-5685172b96b1?index=2"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272" Type="http://schemas.openxmlformats.org/officeDocument/2006/relationships/hyperlink" Target="https://alpha.midjourney.com/jobs/8ccfe4e3-0dd5-4f9c-be98-1629ec29694f?index=2"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279" Type="http://schemas.openxmlformats.org/officeDocument/2006/relationships/hyperlink" Target="https://alpha.midjourney.com/jobs/a3874385-0194-4c0f-ba14-08b4d7628a67?index=1" TargetMode="External"/><Relationship Id="rId157" Type="http://schemas.openxmlformats.org/officeDocument/2006/relationships/hyperlink" Target="https://alpha.midjourney.com/jobs/f82cb067-a26e-43e4-a7b7-872ad83abf92?index=1" TargetMode="External"/><Relationship Id="rId278" Type="http://schemas.openxmlformats.org/officeDocument/2006/relationships/hyperlink" Target="https://alpha.midjourney.com/jobs/eaad0536-abea-4999-883c-e3e793929cf4?index=3"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277" Type="http://schemas.openxmlformats.org/officeDocument/2006/relationships/hyperlink" Target="https://alpha.midjourney.com/jobs/e30e77bd-955e-4e8e-afe4-eae7161982c4?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276" Type="http://schemas.openxmlformats.org/officeDocument/2006/relationships/hyperlink" Target="https://alpha.midjourney.com/jobs/0a1168a7-16a3-4022-b822-fd13a508a624?index=0" TargetMode="External"/><Relationship Id="rId397" Type="http://schemas.openxmlformats.org/officeDocument/2006/relationships/hyperlink" Target="https://alpha.midjourney.com/jobs/a6b8108d-1bb5-42d2-a7a0-28095eb3d2c2?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629" Type="http://schemas.openxmlformats.org/officeDocument/2006/relationships/hyperlink" Target="https://alpha.midjourney.com/jobs/cfeb6d61-6de8-4337-8049-cf9ea0ce4b14?index=2" TargetMode="External"/><Relationship Id="rId503" Type="http://schemas.openxmlformats.org/officeDocument/2006/relationships/hyperlink" Target="https://alpha.midjourney.com/jobs/c05760f1-f3cd-41ec-8511-d7268f2ece64?index=2" TargetMode="External"/><Relationship Id="rId624" Type="http://schemas.openxmlformats.org/officeDocument/2006/relationships/hyperlink" Target="https://alpha.midjourney.com/jobs/ec8bc6ad-ad0e-4de1-8b67-74577084f9b3?index=3" TargetMode="External"/><Relationship Id="rId502" Type="http://schemas.openxmlformats.org/officeDocument/2006/relationships/hyperlink" Target="https://alpha.midjourney.com/jobs/c05760f1-f3cd-41ec-8511-d7268f2ece64?index=0" TargetMode="External"/><Relationship Id="rId623" Type="http://schemas.openxmlformats.org/officeDocument/2006/relationships/hyperlink" Target="https://alpha.midjourney.com/jobs/ec8bc6ad-ad0e-4de1-8b67-74577084f9b3?index=0" TargetMode="External"/><Relationship Id="rId501" Type="http://schemas.openxmlformats.org/officeDocument/2006/relationships/hyperlink" Target="https://alpha.midjourney.com/jobs/c05760f1-f3cd-41ec-8511-d7268f2ece64?index=3" TargetMode="External"/><Relationship Id="rId622" Type="http://schemas.openxmlformats.org/officeDocument/2006/relationships/hyperlink" Target="https://alpha.midjourney.com/jobs/ec8bc6ad-ad0e-4de1-8b67-74577084f9b3?index=2" TargetMode="External"/><Relationship Id="rId500" Type="http://schemas.openxmlformats.org/officeDocument/2006/relationships/hyperlink" Target="https://alpha.midjourney.com/jobs/f73f0149-0f46-4732-a763-e53b93a1af4c?index=2" TargetMode="External"/><Relationship Id="rId621" Type="http://schemas.openxmlformats.org/officeDocument/2006/relationships/hyperlink" Target="https://alpha.midjourney.com/jobs/c010a863-b47f-48fe-a635-442f668abe87?index=0" TargetMode="External"/><Relationship Id="rId507" Type="http://schemas.openxmlformats.org/officeDocument/2006/relationships/hyperlink" Target="https://alpha.midjourney.com/jobs/cd68eca5-b2a0-4c1c-8754-be10ef5594c4?index=2" TargetMode="External"/><Relationship Id="rId628" Type="http://schemas.openxmlformats.org/officeDocument/2006/relationships/hyperlink" Target="https://alpha.midjourney.com/jobs/0b995103-dd4c-42dc-aec0-6590d8d4db84?index=3" TargetMode="External"/><Relationship Id="rId506" Type="http://schemas.openxmlformats.org/officeDocument/2006/relationships/hyperlink" Target="https://alpha.midjourney.com/jobs/ffb1e104-375b-4f63-8128-521e20f32108?index=3" TargetMode="External"/><Relationship Id="rId627" Type="http://schemas.openxmlformats.org/officeDocument/2006/relationships/hyperlink" Target="https://alpha.midjourney.com/jobs/85e96c0b-7f8e-45eb-8f72-4d3e18eded4f?index=2" TargetMode="External"/><Relationship Id="rId505" Type="http://schemas.openxmlformats.org/officeDocument/2006/relationships/hyperlink" Target="https://alpha.midjourney.com/jobs/60b4cdd1-0eb4-42fa-9e84-240b001d2af7?index=1" TargetMode="External"/><Relationship Id="rId626" Type="http://schemas.openxmlformats.org/officeDocument/2006/relationships/hyperlink" Target="https://alpha.midjourney.com/jobs/a407a34c-2a7a-47d2-858a-c385875cdc0c?index=0" TargetMode="External"/><Relationship Id="rId504" Type="http://schemas.openxmlformats.org/officeDocument/2006/relationships/hyperlink" Target="https://alpha.midjourney.com/jobs/14c4af69-8e71-4174-ab81-7b2daa2c165f?index=3" TargetMode="External"/><Relationship Id="rId625" Type="http://schemas.openxmlformats.org/officeDocument/2006/relationships/hyperlink" Target="https://alpha.midjourney.com/jobs/4a047b2e-a8c8-4e3b-935a-a0167e827322?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620" Type="http://schemas.openxmlformats.org/officeDocument/2006/relationships/hyperlink" Target="https://alpha.midjourney.com/jobs/a773fda1-8e09-4208-91c9-e509ced2b25d?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612" Type="http://schemas.openxmlformats.org/officeDocument/2006/relationships/hyperlink" Target="https://alpha.midjourney.com/jobs/4865252e-62d3-4d61-a1ff-9e163d348e13?index=2" TargetMode="External"/><Relationship Id="rId611" Type="http://schemas.openxmlformats.org/officeDocument/2006/relationships/hyperlink" Target="https://alpha.midjourney.com/jobs/210e4748-4c39-4d6d-84d6-16b05dcaab37?index=1" TargetMode="External"/><Relationship Id="rId610" Type="http://schemas.openxmlformats.org/officeDocument/2006/relationships/hyperlink" Target="https://alpha.midjourney.com/jobs/1ee1739c-f460-4f92-977f-b926ed62b9c9?index=2" TargetMode="External"/><Relationship Id="rId617" Type="http://schemas.openxmlformats.org/officeDocument/2006/relationships/hyperlink" Target="https://alpha.midjourney.com/jobs/9be18b40-35c2-40a9-81e0-0d0edb28fc87?index=0" TargetMode="External"/><Relationship Id="rId616" Type="http://schemas.openxmlformats.org/officeDocument/2006/relationships/hyperlink" Target="https://alpha.midjourney.com/jobs/042c7da6-d2b4-4b4e-9fac-c8a1de048f01?index=0" TargetMode="External"/><Relationship Id="rId615" Type="http://schemas.openxmlformats.org/officeDocument/2006/relationships/hyperlink" Target="https://alpha.midjourney.com/jobs/ecea684f-75e7-4a2a-8d8c-b31339d7d861?index=0" TargetMode="External"/><Relationship Id="rId614" Type="http://schemas.openxmlformats.org/officeDocument/2006/relationships/hyperlink" Target="https://alpha.midjourney.com/jobs/1d4aed0b-b3f1-4a68-841a-b6560e29fb45?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525" Type="http://schemas.openxmlformats.org/officeDocument/2006/relationships/hyperlink" Target="https://alpha.midjourney.com/jobs/cad89887-2107-4a4a-a838-1f9e91e99c08?index=3" TargetMode="External"/><Relationship Id="rId646" Type="http://schemas.openxmlformats.org/officeDocument/2006/relationships/hyperlink" Target="https://alpha.midjourney.com/jobs/5c5f6b26-162e-4512-81a8-623ad199c9db?index=2" TargetMode="External"/><Relationship Id="rId403" Type="http://schemas.openxmlformats.org/officeDocument/2006/relationships/hyperlink" Target="https://alpha.midjourney.com/jobs/64a2413c-9261-4124-ba7d-e64c2319aae0?index=0" TargetMode="External"/><Relationship Id="rId524" Type="http://schemas.openxmlformats.org/officeDocument/2006/relationships/hyperlink" Target="https://alpha.midjourney.com/jobs/e18914ea-b88b-4850-b270-9a974e0f9c38?index=3" TargetMode="External"/><Relationship Id="rId645" Type="http://schemas.openxmlformats.org/officeDocument/2006/relationships/hyperlink" Target="https://alpha.midjourney.com/jobs/74ae0134-7c5f-4b5f-b25f-6d6412423dc0?index=1" TargetMode="External"/><Relationship Id="rId402" Type="http://schemas.openxmlformats.org/officeDocument/2006/relationships/hyperlink" Target="https://alpha.midjourney.com/jobs/b7fa891c-92aa-4309-9f37-1140cd8df7b3?index=2" TargetMode="External"/><Relationship Id="rId523" Type="http://schemas.openxmlformats.org/officeDocument/2006/relationships/hyperlink" Target="https://alpha.midjourney.com/jobs/a7bc418c-0990-4a3f-bc7d-3afbdf436f51?index=3" TargetMode="External"/><Relationship Id="rId644" Type="http://schemas.openxmlformats.org/officeDocument/2006/relationships/hyperlink" Target="https://alpha.midjourney.com/jobs/b446efd1-d0f0-46e6-bb05-0789f08d931d?index=3" TargetMode="External"/><Relationship Id="rId401" Type="http://schemas.openxmlformats.org/officeDocument/2006/relationships/hyperlink" Target="https://alpha.midjourney.com/jobs/4f36ce57-0d46-485b-824d-f5324b716d84?index=1" TargetMode="External"/><Relationship Id="rId522" Type="http://schemas.openxmlformats.org/officeDocument/2006/relationships/hyperlink" Target="https://alpha.midjourney.com/jobs/f7f3688f-3853-44d1-bca6-d995d6876cc0?index=3" TargetMode="External"/><Relationship Id="rId643" Type="http://schemas.openxmlformats.org/officeDocument/2006/relationships/hyperlink" Target="https://alpha.midjourney.com/jobs/b446efd1-d0f0-46e6-bb05-0789f08d931d?index=1" TargetMode="External"/><Relationship Id="rId408" Type="http://schemas.openxmlformats.org/officeDocument/2006/relationships/hyperlink" Target="https://alpha.midjourney.com/jobs/fc65d230-0b7a-4bbd-9653-6fa105e5bcec?index=3" TargetMode="External"/><Relationship Id="rId529" Type="http://schemas.openxmlformats.org/officeDocument/2006/relationships/hyperlink" Target="https://alpha.midjourney.com/jobs/c9d4bd01-17d8-4d2f-9739-b9d56ab0d774?index=0" TargetMode="External"/><Relationship Id="rId407" Type="http://schemas.openxmlformats.org/officeDocument/2006/relationships/hyperlink" Target="https://alpha.midjourney.com/jobs/0bfb1ddb-5317-44ca-ac28-18bec4484bb2?index=2" TargetMode="External"/><Relationship Id="rId528" Type="http://schemas.openxmlformats.org/officeDocument/2006/relationships/hyperlink" Target="https://alpha.midjourney.com/jobs/c9d4bd01-17d8-4d2f-9739-b9d56ab0d774?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527" Type="http://schemas.openxmlformats.org/officeDocument/2006/relationships/hyperlink" Target="https://alpha.midjourney.com/jobs/4472fa6e-c6fb-4157-b854-c8e1d2b42995?index=3"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526" Type="http://schemas.openxmlformats.org/officeDocument/2006/relationships/hyperlink" Target="https://alpha.midjourney.com/jobs/cad89887-2107-4a4a-a838-1f9e91e99c08?index=0" TargetMode="External"/><Relationship Id="rId647" Type="http://schemas.openxmlformats.org/officeDocument/2006/relationships/hyperlink" Target="https://alpha.midjourney.com/jobs/0874622e-ceb7-4298-aa38-4f6bf7fa38ea?index=1"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64811c7a-9306-4518-8d43-b94ca602125b?index=2" TargetMode="External"/><Relationship Id="rId521" Type="http://schemas.openxmlformats.org/officeDocument/2006/relationships/hyperlink" Target="https://alpha.midjourney.com/jobs/1c4b3aa0-24ce-4b0d-932d-a4ef2357ffd3?index=3" TargetMode="External"/><Relationship Id="rId642" Type="http://schemas.openxmlformats.org/officeDocument/2006/relationships/hyperlink" Target="https://alpha.midjourney.com/jobs/a3f9b0a5-cf95-46d6-b2ad-b875e23a9b7b?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641" Type="http://schemas.openxmlformats.org/officeDocument/2006/relationships/hyperlink" Target="https://alpha.midjourney.com/jobs/a3f9b0a5-cf95-46d6-b2ad-b875e23a9b7b?index=2" TargetMode="External"/><Relationship Id="rId640" Type="http://schemas.openxmlformats.org/officeDocument/2006/relationships/hyperlink" Target="https://alpha.midjourney.com/jobs/a3f9b0a5-cf95-46d6-b2ad-b875e23a9b7b?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635" Type="http://schemas.openxmlformats.org/officeDocument/2006/relationships/hyperlink" Target="https://alpha.midjourney.com/jobs/b4e6f87d-bee5-4e2c-bc71-25002b90cf7b?index=2" TargetMode="External"/><Relationship Id="rId513" Type="http://schemas.openxmlformats.org/officeDocument/2006/relationships/hyperlink" Target="https://alpha.midjourney.com/jobs/71ad0300-4ba1-428b-8822-b9eb4533ed5b?index=2" TargetMode="External"/><Relationship Id="rId634" Type="http://schemas.openxmlformats.org/officeDocument/2006/relationships/hyperlink" Target="https://alpha.midjourney.com/jobs/b4e6f87d-bee5-4e2c-bc71-25002b90cf7b?index=3" TargetMode="External"/><Relationship Id="rId512" Type="http://schemas.openxmlformats.org/officeDocument/2006/relationships/hyperlink" Target="https://alpha.midjourney.com/jobs/0e512ffb-8345-4946-84e7-5131a9bbf7ae?index=0" TargetMode="External"/><Relationship Id="rId633" Type="http://schemas.openxmlformats.org/officeDocument/2006/relationships/hyperlink" Target="https://alpha.midjourney.com/jobs/7f83f9df-7679-4c80-af2f-aaa0f9a41c1e?index=0" TargetMode="External"/><Relationship Id="rId511" Type="http://schemas.openxmlformats.org/officeDocument/2006/relationships/hyperlink" Target="https://alpha.midjourney.com/jobs/0e512ffb-8345-4946-84e7-5131a9bbf7ae?index=2" TargetMode="External"/><Relationship Id="rId632" Type="http://schemas.openxmlformats.org/officeDocument/2006/relationships/hyperlink" Target="https://alpha.midjourney.com/jobs/37b0498c-4b19-4c10-b0ef-756203163b3f?index=2" TargetMode="External"/><Relationship Id="rId518" Type="http://schemas.openxmlformats.org/officeDocument/2006/relationships/hyperlink" Target="https://alpha.midjourney.com/jobs/2d0e2890-33fe-48d4-b23e-7e57b1b55461?index=3" TargetMode="External"/><Relationship Id="rId639" Type="http://schemas.openxmlformats.org/officeDocument/2006/relationships/hyperlink" Target="https://alpha.midjourney.com/jobs/2be582e5-299d-470b-9cbc-a89027a4991d?index=3" TargetMode="External"/><Relationship Id="rId517" Type="http://schemas.openxmlformats.org/officeDocument/2006/relationships/hyperlink" Target="https://alpha.midjourney.com/jobs/7f3fc151-552c-4fdc-8562-e0fb8c45fd4e?index=1" TargetMode="External"/><Relationship Id="rId638" Type="http://schemas.openxmlformats.org/officeDocument/2006/relationships/hyperlink" Target="https://alpha.midjourney.com/jobs/82cf010f-86e1-4c76-bba4-1f5a5c122086?index=3" TargetMode="External"/><Relationship Id="rId516" Type="http://schemas.openxmlformats.org/officeDocument/2006/relationships/hyperlink" Target="https://alpha.midjourney.com/jobs/f49f8020-8320-4fdc-ae76-8030c07ee2b5?index=0" TargetMode="External"/><Relationship Id="rId637" Type="http://schemas.openxmlformats.org/officeDocument/2006/relationships/hyperlink" Target="https://alpha.midjourney.com/jobs/82cf010f-86e1-4c76-bba4-1f5a5c122086?index=2" TargetMode="External"/><Relationship Id="rId515" Type="http://schemas.openxmlformats.org/officeDocument/2006/relationships/hyperlink" Target="https://alpha.midjourney.com/jobs/f1e95a77-2ca1-473a-a951-6d24ac381780?index=1" TargetMode="External"/><Relationship Id="rId636" Type="http://schemas.openxmlformats.org/officeDocument/2006/relationships/hyperlink" Target="https://alpha.midjourney.com/jobs/22a34a29-1762-4b99-a1b7-f4960f0961b3?index=0"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631" Type="http://schemas.openxmlformats.org/officeDocument/2006/relationships/hyperlink" Target="https://alpha.midjourney.com/jobs/3bf3147f-0874-4e69-a5cf-babf4744fc51?index=3" TargetMode="External"/><Relationship Id="rId18" Type="http://schemas.openxmlformats.org/officeDocument/2006/relationships/hyperlink" Target="https://alpha.midjourney.com/jobs/95b04bf6-cd9b-4053-92a1-5231ba065df7?index=2" TargetMode="External"/><Relationship Id="rId630" Type="http://schemas.openxmlformats.org/officeDocument/2006/relationships/hyperlink" Target="https://alpha.midjourney.com/jobs/e9cfddb2-74e8-4821-93ef-db5a57e9c0e6?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ec5ac332-b6b1-4b86-8b06-ac7403f17f1b?index=3" TargetMode="External"/><Relationship Id="rId700" Type="http://schemas.openxmlformats.org/officeDocument/2006/relationships/hyperlink" Target="https://alpha.midjourney.com/jobs/ca25e5d3-d262-4f14-9b5c-79a9a9086431?index=2" TargetMode="External"/><Relationship Id="rId705" Type="http://schemas.openxmlformats.org/officeDocument/2006/relationships/drawing" Target="../drawings/drawing1.xml"/><Relationship Id="rId704" Type="http://schemas.openxmlformats.org/officeDocument/2006/relationships/hyperlink" Target="https://alpha.midjourney.com/jobs/e44b464d-8fb8-4785-b44d-30862c9b331d?index=0" TargetMode="External"/><Relationship Id="rId703" Type="http://schemas.openxmlformats.org/officeDocument/2006/relationships/hyperlink" Target="https://alpha.midjourney.com/jobs/0910dc1c-1abc-4850-9805-126bdbab7799?index=2" TargetMode="External"/><Relationship Id="rId702" Type="http://schemas.openxmlformats.org/officeDocument/2006/relationships/hyperlink" Target="https://alpha.midjourney.com/jobs/ec5ac332-b6b1-4b86-8b06-ac7403f17f1b?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60" Type="http://schemas.openxmlformats.org/officeDocument/2006/relationships/hyperlink" Target="https://alpha.midjourney.com/jobs/5d379442-c2b3-4a53-bf98-52967fbf33ff?index=2" TargetMode="External"/><Relationship Id="rId602" Type="http://schemas.openxmlformats.org/officeDocument/2006/relationships/hyperlink" Target="https://alpha.midjourney.com/jobs/12fada4d-5aaf-4322-b3d3-24be5496e64d?index=3" TargetMode="External"/><Relationship Id="rId601" Type="http://schemas.openxmlformats.org/officeDocument/2006/relationships/hyperlink" Target="https://alpha.midjourney.com/jobs/83be14db-adaf-4786-aeef-ad19b39bd2ca?index=2" TargetMode="External"/><Relationship Id="rId600" Type="http://schemas.openxmlformats.org/officeDocument/2006/relationships/hyperlink" Target="https://alpha.midjourney.com/jobs/52110149-5889-41ad-8d65-2ed05aed8c38?index=3" TargetMode="External"/><Relationship Id="rId606" Type="http://schemas.openxmlformats.org/officeDocument/2006/relationships/hyperlink" Target="https://alpha.midjourney.com/jobs/47bd8a99-96cc-4b41-bc50-6ab93ee3369d?index=0" TargetMode="External"/><Relationship Id="rId605" Type="http://schemas.openxmlformats.org/officeDocument/2006/relationships/hyperlink" Target="https://alpha.midjourney.com/jobs/bdf467d6-4699-4676-a6f9-39e3cbb899e5?index=0" TargetMode="External"/><Relationship Id="rId604" Type="http://schemas.openxmlformats.org/officeDocument/2006/relationships/hyperlink" Target="https://alpha.midjourney.com/jobs/c4a83c37-4d6d-4f59-96bb-5d38ce1a9de6?index=3" TargetMode="External"/><Relationship Id="rId603" Type="http://schemas.openxmlformats.org/officeDocument/2006/relationships/hyperlink" Target="https://alpha.midjourney.com/jobs/dc99fa2e-811a-4134-88e2-76ee3a711eec?index=3" TargetMode="External"/><Relationship Id="rId69" Type="http://schemas.openxmlformats.org/officeDocument/2006/relationships/hyperlink" Target="https://alpha.midjourney.com/jobs/dc24ed1d-b615-4b1e-b267-7f9c968a5009?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228" Type="http://schemas.openxmlformats.org/officeDocument/2006/relationships/hyperlink" Target="https://alpha.midjourney.com/jobs/78ae5a97-8656-4c23-992f-61f8947a1950?index=3"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227" Type="http://schemas.openxmlformats.org/officeDocument/2006/relationships/hyperlink" Target="https://alpha.midjourney.com/jobs/ae00d456-a481-4034-a8c2-fdb97fffe7f6?index=2" TargetMode="External"/><Relationship Id="rId348" Type="http://schemas.openxmlformats.org/officeDocument/2006/relationships/hyperlink" Target="https://alpha.midjourney.com/jobs/4ccb8031-ae89-47b6-a633-e16eac63166b?index=3" TargetMode="External"/><Relationship Id="rId469" Type="http://schemas.openxmlformats.org/officeDocument/2006/relationships/hyperlink" Target="https://alpha.midjourney.com/jobs/05ead972-45fd-4d93-b3b6-736da52e9d68?index=1" TargetMode="External"/><Relationship Id="rId105" Type="http://schemas.openxmlformats.org/officeDocument/2006/relationships/hyperlink" Target="https://alpha.midjourney.com/jobs/c2526578-9eb7-4bfc-b6cd-0f981333543c?index=1" TargetMode="External"/><Relationship Id="rId226" Type="http://schemas.openxmlformats.org/officeDocument/2006/relationships/hyperlink" Target="https://alpha.midjourney.com/jobs/ae00d456-a481-4034-a8c2-fdb97fffe7f6?index=1" TargetMode="External"/><Relationship Id="rId347" Type="http://schemas.openxmlformats.org/officeDocument/2006/relationships/hyperlink" Target="https://alpha.midjourney.com/jobs/7bb8e808-62d2-41bb-8749-200a9089a3e9?index=2" TargetMode="External"/><Relationship Id="rId468" Type="http://schemas.openxmlformats.org/officeDocument/2006/relationships/hyperlink" Target="https://alpha.midjourney.com/jobs/3f1e36e7-8385-4701-8ad1-a8a145d654d4?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225" Type="http://schemas.openxmlformats.org/officeDocument/2006/relationships/hyperlink" Target="https://alpha.midjourney.com/jobs/8c7e4ea8-e35f-4309-86b6-e6a9f1efaecb?index=2" TargetMode="External"/><Relationship Id="rId346" Type="http://schemas.openxmlformats.org/officeDocument/2006/relationships/hyperlink" Target="https://alpha.midjourney.com/jobs/658a4dd0-bf6d-47e7-86d8-52ee52a8f214?index=2" TargetMode="External"/><Relationship Id="rId467" Type="http://schemas.openxmlformats.org/officeDocument/2006/relationships/hyperlink" Target="https://alpha.midjourney.com/jobs/b305aa77-1f10-402e-b176-99e909abfb9d?index=3"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341" Type="http://schemas.openxmlformats.org/officeDocument/2006/relationships/hyperlink" Target="https://alpha.midjourney.com/jobs/7f5227db-8efa-4198-aad8-a7303c4834f9?index=0" TargetMode="External"/><Relationship Id="rId462" Type="http://schemas.openxmlformats.org/officeDocument/2006/relationships/hyperlink" Target="https://alpha.midjourney.com/jobs/1611e437-755b-410f-b205-ccef721ff7ae?index=2"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461" Type="http://schemas.openxmlformats.org/officeDocument/2006/relationships/hyperlink" Target="https://alpha.midjourney.com/jobs/1611e437-755b-410f-b205-ccef721ff7ae?index=1" TargetMode="External"/><Relationship Id="rId582" Type="http://schemas.openxmlformats.org/officeDocument/2006/relationships/hyperlink" Target="https://alpha.midjourney.com/jobs/ca45b97d-ac28-459d-8fb9-5efff2a635e4?index=1" TargetMode="External"/><Relationship Id="rId460" Type="http://schemas.openxmlformats.org/officeDocument/2006/relationships/hyperlink" Target="https://alpha.midjourney.com/jobs/9837fc27-5358-46a5-b2d5-4b2eccd5199c?index=0"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224" Type="http://schemas.openxmlformats.org/officeDocument/2006/relationships/hyperlink" Target="https://alpha.midjourney.com/jobs/8c7e4ea8-e35f-4309-86b6-e6a9f1efaecb?index=1" TargetMode="External"/><Relationship Id="rId345" Type="http://schemas.openxmlformats.org/officeDocument/2006/relationships/hyperlink" Target="https://alpha.midjourney.com/jobs/436c6169-6856-4831-9b5e-36c538fafa7c?index=3" TargetMode="External"/><Relationship Id="rId466" Type="http://schemas.openxmlformats.org/officeDocument/2006/relationships/hyperlink" Target="https://alpha.midjourney.com/jobs/651c5e10-daa8-4734-8d9e-45e6e71afe5e?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223" Type="http://schemas.openxmlformats.org/officeDocument/2006/relationships/hyperlink" Target="https://alpha.midjourney.com/jobs/2245d2f9-6faa-4d4c-9ddb-94e018ca54af?index=2" TargetMode="External"/><Relationship Id="rId344" Type="http://schemas.openxmlformats.org/officeDocument/2006/relationships/hyperlink" Target="https://alpha.midjourney.com/jobs/5b8a0ee5-409e-4609-8aba-0c49858830f9?index=0" TargetMode="External"/><Relationship Id="rId465" Type="http://schemas.openxmlformats.org/officeDocument/2006/relationships/hyperlink" Target="https://alpha.midjourney.com/jobs/0e38f1ce-471e-455b-890a-7a46d67a8c3c?index=3"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222" Type="http://schemas.openxmlformats.org/officeDocument/2006/relationships/hyperlink" Target="https://alpha.midjourney.com/jobs/2245d2f9-6faa-4d4c-9ddb-94e018ca54af?index=0" TargetMode="External"/><Relationship Id="rId343" Type="http://schemas.openxmlformats.org/officeDocument/2006/relationships/hyperlink" Target="https://alpha.midjourney.com/jobs/5b8a0ee5-409e-4609-8aba-0c49858830f9?index=3" TargetMode="External"/><Relationship Id="rId464" Type="http://schemas.openxmlformats.org/officeDocument/2006/relationships/hyperlink" Target="https://alpha.midjourney.com/jobs/cb5a0d7d-cfdf-4743-8f88-5b4c20641ec8?index=0"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221" Type="http://schemas.openxmlformats.org/officeDocument/2006/relationships/hyperlink" Target="https://alpha.midjourney.com/jobs/f076bedf-28b1-43a4-bdf8-5e57ad378122?index=3" TargetMode="External"/><Relationship Id="rId342" Type="http://schemas.openxmlformats.org/officeDocument/2006/relationships/hyperlink" Target="https://alpha.midjourney.com/jobs/affa39b4-9e17-48c4-8895-78b1f433b9f7?index=0" TargetMode="External"/><Relationship Id="rId463" Type="http://schemas.openxmlformats.org/officeDocument/2006/relationships/hyperlink" Target="https://alpha.midjourney.com/jobs/d0513e19-1ac0-4d65-b7d1-c084eaa39eb1?index=1" TargetMode="External"/><Relationship Id="rId584" Type="http://schemas.openxmlformats.org/officeDocument/2006/relationships/hyperlink" Target="https://alpha.midjourney.com/jobs/80b0da3a-75e9-4521-9a8a-d80a02376aef?index=3" TargetMode="External"/><Relationship Id="rId217" Type="http://schemas.openxmlformats.org/officeDocument/2006/relationships/hyperlink" Target="https://alpha.midjourney.com/jobs/f6913507-2389-4765-a6a4-189bde5ce495?index=2" TargetMode="External"/><Relationship Id="rId338" Type="http://schemas.openxmlformats.org/officeDocument/2006/relationships/hyperlink" Target="https://alpha.midjourney.com/jobs/7f7e7244-f70d-4340-bc00-db8ba5869d51?index=0"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337" Type="http://schemas.openxmlformats.org/officeDocument/2006/relationships/hyperlink" Target="https://alpha.midjourney.com/jobs/e641b986-4bf2-46ee-bff1-f15abfe257b6?index=0" TargetMode="External"/><Relationship Id="rId458" Type="http://schemas.openxmlformats.org/officeDocument/2006/relationships/hyperlink" Target="https://alpha.midjourney.com/jobs/e4ab81e9-3fd7-4319-9c94-67577b4742fc?index=1" TargetMode="External"/><Relationship Id="rId579" Type="http://schemas.openxmlformats.org/officeDocument/2006/relationships/hyperlink" Target="https://alpha.midjourney.com/jobs/32c69796-a1fc-4d40-86e1-8b215a05bb23?index=0" TargetMode="External"/><Relationship Id="rId215" Type="http://schemas.openxmlformats.org/officeDocument/2006/relationships/hyperlink" Target="https://alpha.midjourney.com/jobs/3459e7cd-50f2-4130-be4c-42546280c0e7?index=3" TargetMode="External"/><Relationship Id="rId336" Type="http://schemas.openxmlformats.org/officeDocument/2006/relationships/hyperlink" Target="https://alpha.midjourney.com/jobs/081fdde2-8231-41d5-aa5c-be3ff2f37b5d?index=2" TargetMode="External"/><Relationship Id="rId457" Type="http://schemas.openxmlformats.org/officeDocument/2006/relationships/hyperlink" Target="https://alpha.midjourney.com/jobs/721910bd-16ac-4a72-aa68-a72421d90c86?index=1" TargetMode="External"/><Relationship Id="rId578" Type="http://schemas.openxmlformats.org/officeDocument/2006/relationships/hyperlink" Target="https://alpha.midjourney.com/jobs/b1a05e1b-d3e7-4c3b-8a21-e208cfcab472?index=0" TargetMode="External"/><Relationship Id="rId699" Type="http://schemas.openxmlformats.org/officeDocument/2006/relationships/hyperlink" Target="https://alpha.midjourney.com/jobs/e39d57f2-0251-4a7d-83b3-fbf31cdf863d?index=1" TargetMode="External"/><Relationship Id="rId214" Type="http://schemas.openxmlformats.org/officeDocument/2006/relationships/hyperlink" Target="https://alpha.midjourney.com/jobs/91bb5265-1010-4c14-8a17-c124ec7328be?index=3" TargetMode="External"/><Relationship Id="rId335" Type="http://schemas.openxmlformats.org/officeDocument/2006/relationships/hyperlink" Target="https://alpha.midjourney.com/jobs/78be4041-6983-4fec-ac2f-158748bc0f07?index=1" TargetMode="External"/><Relationship Id="rId456" Type="http://schemas.openxmlformats.org/officeDocument/2006/relationships/hyperlink" Target="https://alpha.midjourney.com/jobs/59597b80-8b3f-4d4b-806c-dcf5365bda0f?index=2" TargetMode="External"/><Relationship Id="rId577" Type="http://schemas.openxmlformats.org/officeDocument/2006/relationships/hyperlink" Target="https://alpha.midjourney.com/jobs/d04ef1e9-013f-4c58-8d1d-7d6410f55644?index=3" TargetMode="External"/><Relationship Id="rId698" Type="http://schemas.openxmlformats.org/officeDocument/2006/relationships/hyperlink" Target="https://alpha.midjourney.com/jobs/d18a97fb-acf3-40be-b0ea-1d03a5d4f718?index=0"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451" Type="http://schemas.openxmlformats.org/officeDocument/2006/relationships/hyperlink" Target="https://alpha.midjourney.com/jobs/66f83bd6-353d-4924-b469-c22fdaf65162?index=2" TargetMode="External"/><Relationship Id="rId572" Type="http://schemas.openxmlformats.org/officeDocument/2006/relationships/hyperlink" Target="https://alpha.midjourney.com/jobs/1b7457f5-ab2d-4751-b1f3-3957be5a28c2?index=2" TargetMode="External"/><Relationship Id="rId693" Type="http://schemas.openxmlformats.org/officeDocument/2006/relationships/hyperlink" Target="https://alpha.midjourney.com/jobs/9f44ec3c-8312-484b-bc3f-b055f211334b?index=1" TargetMode="External"/><Relationship Id="rId450" Type="http://schemas.openxmlformats.org/officeDocument/2006/relationships/hyperlink" Target="https://alpha.midjourney.com/jobs/64fe4f62-cd24-4b28-8008-3a9184077878?index=1" TargetMode="External"/><Relationship Id="rId571" Type="http://schemas.openxmlformats.org/officeDocument/2006/relationships/hyperlink" Target="https://alpha.midjourney.com/jobs/2a3b4bb4-107d-4a0e-82e5-32c1dc607528?index=0" TargetMode="External"/><Relationship Id="rId692" Type="http://schemas.openxmlformats.org/officeDocument/2006/relationships/hyperlink" Target="https://alpha.midjourney.com/jobs/62caf3af-4107-40ab-861f-b8b9f3da8602?index=2" TargetMode="External"/><Relationship Id="rId570" Type="http://schemas.openxmlformats.org/officeDocument/2006/relationships/hyperlink" Target="https://alpha.midjourney.com/jobs/cd0955a7-8a85-43d7-97b8-c639bd21502c?index=3" TargetMode="External"/><Relationship Id="rId691" Type="http://schemas.openxmlformats.org/officeDocument/2006/relationships/hyperlink" Target="https://alpha.midjourney.com/jobs/93428f42-6dac-49ed-8e69-43a69015a590?index=0" TargetMode="External"/><Relationship Id="rId690" Type="http://schemas.openxmlformats.org/officeDocument/2006/relationships/hyperlink" Target="https://alpha.midjourney.com/jobs/73e183ab-cd8f-4e66-b328-a4226a72e32b?index=1" TargetMode="External"/><Relationship Id="rId213" Type="http://schemas.openxmlformats.org/officeDocument/2006/relationships/hyperlink" Target="https://alpha.midjourney.com/jobs/15eb18a9-adcc-4ad5-bb1a-b9ca187fa7e5?index=1" TargetMode="External"/><Relationship Id="rId334" Type="http://schemas.openxmlformats.org/officeDocument/2006/relationships/hyperlink" Target="https://alpha.midjourney.com/jobs/7dd032d6-0ed5-4d3f-926c-322526d5acea?index=3" TargetMode="External"/><Relationship Id="rId455" Type="http://schemas.openxmlformats.org/officeDocument/2006/relationships/hyperlink" Target="https://alpha.midjourney.com/jobs/2148c090-768e-48c9-837a-fed7af76f1c3?index=1" TargetMode="External"/><Relationship Id="rId576" Type="http://schemas.openxmlformats.org/officeDocument/2006/relationships/hyperlink" Target="https://alpha.midjourney.com/jobs/104896b4-1644-44c0-97cb-a115a5a27f3b?index=0" TargetMode="External"/><Relationship Id="rId697" Type="http://schemas.openxmlformats.org/officeDocument/2006/relationships/hyperlink" Target="https://alpha.midjourney.com/jobs/9c28fb54-8e94-4d81-8f7f-af5a9d185ca2?index=2" TargetMode="External"/><Relationship Id="rId212" Type="http://schemas.openxmlformats.org/officeDocument/2006/relationships/hyperlink" Target="https://alpha.midjourney.com/jobs/c502c751-ced3-4cb3-aa77-ce7cf3c560d4?index=0" TargetMode="External"/><Relationship Id="rId333" Type="http://schemas.openxmlformats.org/officeDocument/2006/relationships/hyperlink" Target="https://alpha.midjourney.com/jobs/7daae98b-96af-490a-abb0-c40d53d449c6?index=1" TargetMode="External"/><Relationship Id="rId454" Type="http://schemas.openxmlformats.org/officeDocument/2006/relationships/hyperlink" Target="https://alpha.midjourney.com/jobs/57f88d60-31a2-4dbc-a2ac-7dd5f12faad2?index=1" TargetMode="External"/><Relationship Id="rId575" Type="http://schemas.openxmlformats.org/officeDocument/2006/relationships/hyperlink" Target="https://alpha.midjourney.com/jobs/834cdaa2-b2f5-4156-998e-506a5ca68984?index=2" TargetMode="External"/><Relationship Id="rId696" Type="http://schemas.openxmlformats.org/officeDocument/2006/relationships/hyperlink" Target="https://alpha.midjourney.com/jobs/050c77d2-5182-4382-b5bc-db641bf5cec5?index=2" TargetMode="External"/><Relationship Id="rId211" Type="http://schemas.openxmlformats.org/officeDocument/2006/relationships/hyperlink" Target="https://alpha.midjourney.com/jobs/ec1fb5cf-b226-482a-9fd2-005d6f927846?index=1" TargetMode="External"/><Relationship Id="rId332" Type="http://schemas.openxmlformats.org/officeDocument/2006/relationships/hyperlink" Target="https://alpha.midjourney.com/jobs/ff085a28-2be3-400f-b0aa-dfbaad7ad260?index=3" TargetMode="External"/><Relationship Id="rId453" Type="http://schemas.openxmlformats.org/officeDocument/2006/relationships/hyperlink" Target="https://alpha.midjourney.com/jobs/de56e6d6-8aad-4bd2-87f9-f0c5f1ec9d8d?index=0" TargetMode="External"/><Relationship Id="rId574" Type="http://schemas.openxmlformats.org/officeDocument/2006/relationships/hyperlink" Target="https://alpha.midjourney.com/jobs/d75ae876-16de-4a4f-80fb-098c3204e2e3?index=2" TargetMode="External"/><Relationship Id="rId695" Type="http://schemas.openxmlformats.org/officeDocument/2006/relationships/hyperlink" Target="https://alpha.midjourney.com/jobs/cda9e665-f4f8-47ac-8a96-6bb29eb7cff1?index=2" TargetMode="External"/><Relationship Id="rId210" Type="http://schemas.openxmlformats.org/officeDocument/2006/relationships/hyperlink" Target="https://alpha.midjourney.com/jobs/11cea0b5-15f6-46ea-9c98-85147c5d0c1d?index=2" TargetMode="External"/><Relationship Id="rId331" Type="http://schemas.openxmlformats.org/officeDocument/2006/relationships/hyperlink" Target="https://alpha.midjourney.com/jobs/21aae87c-bcf0-4967-94c8-66c12bd2dd5f?index=2" TargetMode="External"/><Relationship Id="rId452" Type="http://schemas.openxmlformats.org/officeDocument/2006/relationships/hyperlink" Target="https://alpha.midjourney.com/jobs/21d93227-da2e-4a58-8af8-8d84f202d465?index=1" TargetMode="External"/><Relationship Id="rId573" Type="http://schemas.openxmlformats.org/officeDocument/2006/relationships/hyperlink" Target="https://alpha.midjourney.com/jobs/d5d7a3d8-bc57-4d5e-9030-e092ef28934d?index=1" TargetMode="External"/><Relationship Id="rId694" Type="http://schemas.openxmlformats.org/officeDocument/2006/relationships/hyperlink" Target="https://alpha.midjourney.com/jobs/cda9e665-f4f8-47ac-8a96-6bb29eb7cff1?index=0" TargetMode="External"/><Relationship Id="rId370" Type="http://schemas.openxmlformats.org/officeDocument/2006/relationships/hyperlink" Target="https://alpha.midjourney.com/jobs/b3f1d5b4-d271-4bb7-9615-dec247ec2937?index=0"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249" Type="http://schemas.openxmlformats.org/officeDocument/2006/relationships/hyperlink" Target="https://alpha.midjourney.com/jobs/6e8217f3-8ac2-45b0-8dc4-ef5352b479ea?index=2" TargetMode="External"/><Relationship Id="rId127" Type="http://schemas.openxmlformats.org/officeDocument/2006/relationships/hyperlink" Target="https://alpha.midjourney.com/jobs/5af4932e-1176-4e5d-a15a-6e1142f73928?index=2" TargetMode="External"/><Relationship Id="rId248" Type="http://schemas.openxmlformats.org/officeDocument/2006/relationships/hyperlink" Target="https://alpha.midjourney.com/jobs/54eedfaf-453e-4a49-bd5b-d4012761a293?index=1"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247" Type="http://schemas.openxmlformats.org/officeDocument/2006/relationships/hyperlink" Target="https://alpha.midjourney.com/jobs/9b90030e-860f-496a-a734-a45969d1b0dd?index=1" TargetMode="External"/><Relationship Id="rId368" Type="http://schemas.openxmlformats.org/officeDocument/2006/relationships/hyperlink" Target="https://alpha.midjourney.com/jobs/22f743bd-9c45-49eb-bcae-584391aba2aa?index=1" TargetMode="External"/><Relationship Id="rId489" Type="http://schemas.openxmlformats.org/officeDocument/2006/relationships/hyperlink" Target="https://alpha.midjourney.com/jobs/b950d7fe-0373-44bc-876b-60878bbaa0ab?index=1" TargetMode="External"/><Relationship Id="rId121" Type="http://schemas.openxmlformats.org/officeDocument/2006/relationships/hyperlink" Target="https://alpha.midjourney.com/jobs/20fb2d42-8fe0-4690-82e2-b7936769540e?index=1" TargetMode="External"/><Relationship Id="rId242" Type="http://schemas.openxmlformats.org/officeDocument/2006/relationships/hyperlink" Target="https://alpha.midjourney.com/jobs/ba533218-851c-4bf4-a8d6-1d40dd59d983?index=0" TargetMode="External"/><Relationship Id="rId363" Type="http://schemas.openxmlformats.org/officeDocument/2006/relationships/hyperlink" Target="https://alpha.midjourney.com/jobs/032d003e-cfc5-416a-b659-1bdded298c0e?index=1" TargetMode="External"/><Relationship Id="rId484" Type="http://schemas.openxmlformats.org/officeDocument/2006/relationships/hyperlink" Target="https://alpha.midjourney.com/jobs/8681b697-3ab5-4ab3-8d4d-13ada408b719?index=2" TargetMode="External"/><Relationship Id="rId120" Type="http://schemas.openxmlformats.org/officeDocument/2006/relationships/hyperlink" Target="https://alpha.midjourney.com/jobs/2780038d-6258-4c7a-a5e0-700cdfe423f9?index=0" TargetMode="External"/><Relationship Id="rId241" Type="http://schemas.openxmlformats.org/officeDocument/2006/relationships/hyperlink" Target="https://alpha.midjourney.com/jobs/e1671c8d-c48c-402d-addf-9a0fccad1761?index=0" TargetMode="External"/><Relationship Id="rId362" Type="http://schemas.openxmlformats.org/officeDocument/2006/relationships/hyperlink" Target="https://alpha.midjourney.com/jobs/1c379fb0-c7fe-4bce-a2e2-c1046dca0a59?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361" Type="http://schemas.openxmlformats.org/officeDocument/2006/relationships/hyperlink" Target="https://alpha.midjourney.com/jobs/1c379fb0-c7fe-4bce-a2e2-c1046dca0a59?index=1" TargetMode="External"/><Relationship Id="rId482" Type="http://schemas.openxmlformats.org/officeDocument/2006/relationships/hyperlink" Target="https://alpha.midjourney.com/jobs/3f24055e-e0a2-47c1-8470-64c33d0f6866?index=2" TargetMode="External"/><Relationship Id="rId360" Type="http://schemas.openxmlformats.org/officeDocument/2006/relationships/hyperlink" Target="https://alpha.midjourney.com/jobs/1c379fb0-c7fe-4bce-a2e2-c1046dca0a59?index=3" TargetMode="External"/><Relationship Id="rId481" Type="http://schemas.openxmlformats.org/officeDocument/2006/relationships/hyperlink" Target="https://alpha.midjourney.com/jobs/64dbf7d3-51d9-49d7-826e-908e3f7f1760?index=0" TargetMode="External"/><Relationship Id="rId125" Type="http://schemas.openxmlformats.org/officeDocument/2006/relationships/hyperlink" Target="https://alpha.midjourney.com/jobs/da9010de-44c1-42bf-8bbc-f7eb026c1882?index=2" TargetMode="External"/><Relationship Id="rId246" Type="http://schemas.openxmlformats.org/officeDocument/2006/relationships/hyperlink" Target="https://alpha.midjourney.com/jobs/50351124-cb8d-40c5-ba32-ab7ed7975d03?index=3" TargetMode="External"/><Relationship Id="rId367" Type="http://schemas.openxmlformats.org/officeDocument/2006/relationships/hyperlink" Target="https://alpha.midjourney.com/jobs/dabe2c88-7609-4d23-9be4-b6d03f5043ec?index=2" TargetMode="External"/><Relationship Id="rId488" Type="http://schemas.openxmlformats.org/officeDocument/2006/relationships/hyperlink" Target="https://alpha.midjourney.com/jobs/460856be-5a5a-4e01-880f-a9cc4ae12568?index=3" TargetMode="External"/><Relationship Id="rId124" Type="http://schemas.openxmlformats.org/officeDocument/2006/relationships/hyperlink" Target="https://alpha.midjourney.com/jobs/42ab612c-d4a4-4640-b0eb-a0098355068a?index=1" TargetMode="External"/><Relationship Id="rId245" Type="http://schemas.openxmlformats.org/officeDocument/2006/relationships/hyperlink" Target="https://alpha.midjourney.com/jobs/914ae491-f842-47a7-972e-d9a4a84c90f6?index=0" TargetMode="External"/><Relationship Id="rId366" Type="http://schemas.openxmlformats.org/officeDocument/2006/relationships/hyperlink" Target="https://alpha.midjourney.com/jobs/5764c6a2-ac2a-45d1-bd44-3056e5b71fde?index=3" TargetMode="External"/><Relationship Id="rId487" Type="http://schemas.openxmlformats.org/officeDocument/2006/relationships/hyperlink" Target="https://alpha.midjourney.com/jobs/49574fbd-fd5a-42b4-ba67-f1956f3a5a0d?index=1" TargetMode="External"/><Relationship Id="rId123" Type="http://schemas.openxmlformats.org/officeDocument/2006/relationships/hyperlink" Target="https://alpha.midjourney.com/jobs/42ab612c-d4a4-4640-b0eb-a0098355068a?index=2" TargetMode="External"/><Relationship Id="rId244" Type="http://schemas.openxmlformats.org/officeDocument/2006/relationships/hyperlink" Target="https://alpha.midjourney.com/jobs/5eca18e5-b521-4e2a-9848-bc98673ae4d2?index=0" TargetMode="External"/><Relationship Id="rId365" Type="http://schemas.openxmlformats.org/officeDocument/2006/relationships/hyperlink" Target="https://alpha.midjourney.com/jobs/83e9cfe5-7b3e-4733-9009-d3e420db215a?index=1" TargetMode="External"/><Relationship Id="rId486" Type="http://schemas.openxmlformats.org/officeDocument/2006/relationships/hyperlink" Target="https://alpha.midjourney.com/jobs/4ebf7027-ca2f-44a2-9f30-1afa66999935?index=3" TargetMode="External"/><Relationship Id="rId122" Type="http://schemas.openxmlformats.org/officeDocument/2006/relationships/hyperlink" Target="https://alpha.midjourney.com/jobs/bb160c1d-6202-4543-88a9-152dadcce248?index=2" TargetMode="External"/><Relationship Id="rId243" Type="http://schemas.openxmlformats.org/officeDocument/2006/relationships/hyperlink" Target="https://alpha.midjourney.com/jobs/01e8e033-593c-490d-a32f-a166ab8baa48?index=2" TargetMode="External"/><Relationship Id="rId364" Type="http://schemas.openxmlformats.org/officeDocument/2006/relationships/hyperlink" Target="https://alpha.midjourney.com/jobs/de56f839-6491-46cf-880d-6d928a2517da?index=0" TargetMode="External"/><Relationship Id="rId485" Type="http://schemas.openxmlformats.org/officeDocument/2006/relationships/hyperlink" Target="https://alpha.midjourney.com/jobs/ef758448-e6c6-4375-a43a-ca7ef038fb25?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480" Type="http://schemas.openxmlformats.org/officeDocument/2006/relationships/hyperlink" Target="https://alpha.midjourney.com/jobs/64dbf7d3-51d9-49d7-826e-908e3f7f1760?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239" Type="http://schemas.openxmlformats.org/officeDocument/2006/relationships/hyperlink" Target="https://alpha.midjourney.com/jobs/5e110d2e-a7e4-436b-bb11-4fb86e1580e9?index=2" TargetMode="External"/><Relationship Id="rId117" Type="http://schemas.openxmlformats.org/officeDocument/2006/relationships/hyperlink" Target="https://alpha.midjourney.com/jobs/4cc82fb7-ff66-4625-86b9-bd6b6019e512?index=2" TargetMode="External"/><Relationship Id="rId238" Type="http://schemas.openxmlformats.org/officeDocument/2006/relationships/hyperlink" Target="https://alpha.midjourney.com/jobs/5e110d2e-a7e4-436b-bb11-4fb86e1580e9?index=3"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237" Type="http://schemas.openxmlformats.org/officeDocument/2006/relationships/hyperlink" Target="https://alpha.midjourney.com/jobs/0e687280-8a8e-4bab-ba7e-71eecfd6f625?index=2" TargetMode="External"/><Relationship Id="rId358" Type="http://schemas.openxmlformats.org/officeDocument/2006/relationships/hyperlink" Target="https://alpha.midjourney.com/jobs/d1d4e43a-6294-4cca-b9e9-a8a9b7c14773?index=2" TargetMode="External"/><Relationship Id="rId479" Type="http://schemas.openxmlformats.org/officeDocument/2006/relationships/hyperlink" Target="https://alpha.midjourney.com/jobs/8e48c3ce-1b90-4253-abcc-2da0b25ad425?index=1" TargetMode="External"/><Relationship Id="rId115" Type="http://schemas.openxmlformats.org/officeDocument/2006/relationships/hyperlink" Target="https://alpha.midjourney.com/jobs/cd0a04f4-a1cb-40f4-910e-eb46d3902255?index=0" TargetMode="External"/><Relationship Id="rId236" Type="http://schemas.openxmlformats.org/officeDocument/2006/relationships/hyperlink" Target="https://alpha.midjourney.com/jobs/a02f660a-1dce-436f-acb5-465e63f5bbc5?index=1" TargetMode="External"/><Relationship Id="rId357" Type="http://schemas.openxmlformats.org/officeDocument/2006/relationships/hyperlink" Target="https://alpha.midjourney.com/jobs/e7c5e4fe-638b-4178-857e-6623f117ac1e?index=3" TargetMode="External"/><Relationship Id="rId478" Type="http://schemas.openxmlformats.org/officeDocument/2006/relationships/hyperlink" Target="https://alpha.midjourney.com/jobs/aea064ae-88ea-47ba-a280-c9e470d12b69?index=2"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231" Type="http://schemas.openxmlformats.org/officeDocument/2006/relationships/hyperlink" Target="https://alpha.midjourney.com/jobs/31869c2e-79e0-44a2-bcb2-ef2489f226ad?index=3" TargetMode="External"/><Relationship Id="rId352" Type="http://schemas.openxmlformats.org/officeDocument/2006/relationships/hyperlink" Target="https://alpha.midjourney.com/jobs/ded1343a-822d-4000-b96d-307220437a47?index=3" TargetMode="External"/><Relationship Id="rId473" Type="http://schemas.openxmlformats.org/officeDocument/2006/relationships/hyperlink" Target="https://alpha.midjourney.com/jobs/f8601415-70ff-4ce2-aed0-f550f9d08f3d?index=2" TargetMode="External"/><Relationship Id="rId594" Type="http://schemas.openxmlformats.org/officeDocument/2006/relationships/hyperlink" Target="https://alpha.midjourney.com/jobs/9a06b103-b5a9-4d2f-a06c-f2a3692244cc?index=0" TargetMode="External"/><Relationship Id="rId230" Type="http://schemas.openxmlformats.org/officeDocument/2006/relationships/hyperlink" Target="https://alpha.midjourney.com/jobs/237ccf0b-0f9d-4e23-b6d4-df327207e61c?index=1" TargetMode="External"/><Relationship Id="rId351" Type="http://schemas.openxmlformats.org/officeDocument/2006/relationships/hyperlink" Target="https://alpha.midjourney.com/jobs/d85c9fc4-fcbf-4427-9461-c7d69924fd22?index=3" TargetMode="External"/><Relationship Id="rId472" Type="http://schemas.openxmlformats.org/officeDocument/2006/relationships/hyperlink" Target="https://alpha.midjourney.com/jobs/f8601415-70ff-4ce2-aed0-f550f9d08f3d?index=1"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471" Type="http://schemas.openxmlformats.org/officeDocument/2006/relationships/hyperlink" Target="https://alpha.midjourney.com/jobs/f8601415-70ff-4ce2-aed0-f550f9d08f3d?index=0" TargetMode="External"/><Relationship Id="rId592" Type="http://schemas.openxmlformats.org/officeDocument/2006/relationships/hyperlink" Target="https://alpha.midjourney.com/jobs/615b65df-6059-4623-9a52-ba6e23fd19a8?index=1" TargetMode="External"/><Relationship Id="rId470" Type="http://schemas.openxmlformats.org/officeDocument/2006/relationships/hyperlink" Target="https://alpha.midjourney.com/jobs/acb30613-f9af-4a64-81e9-e6b568cba824?index=2"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235" Type="http://schemas.openxmlformats.org/officeDocument/2006/relationships/hyperlink" Target="https://alpha.midjourney.com/jobs/f8926069-73ab-4045-b918-9cb77758a03b?index=3" TargetMode="External"/><Relationship Id="rId356" Type="http://schemas.openxmlformats.org/officeDocument/2006/relationships/hyperlink" Target="https://alpha.midjourney.com/jobs/23146584-f12d-4df7-9044-bc3fddd5aed1?index=2" TargetMode="External"/><Relationship Id="rId477" Type="http://schemas.openxmlformats.org/officeDocument/2006/relationships/hyperlink" Target="https://alpha.midjourney.com/jobs/86b3223b-25b2-49c4-9ba0-56eef1eedbbf?index=1"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234" Type="http://schemas.openxmlformats.org/officeDocument/2006/relationships/hyperlink" Target="https://alpha.midjourney.com/jobs/02a937b0-dc30-4b61-a80a-775950a47d1e?index=0" TargetMode="External"/><Relationship Id="rId355" Type="http://schemas.openxmlformats.org/officeDocument/2006/relationships/hyperlink" Target="https://alpha.midjourney.com/jobs/3ece9766-fbca-4a9f-b43c-ceacdfd34356?index=0" TargetMode="External"/><Relationship Id="rId476" Type="http://schemas.openxmlformats.org/officeDocument/2006/relationships/hyperlink" Target="https://alpha.midjourney.com/jobs/3b50b5d8-08a1-4b97-8366-8e40ccb84ae0?index=3"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233" Type="http://schemas.openxmlformats.org/officeDocument/2006/relationships/hyperlink" Target="https://alpha.midjourney.com/jobs/68e2c61d-f9ac-435e-8eb9-44ef82724758?index=1" TargetMode="External"/><Relationship Id="rId354" Type="http://schemas.openxmlformats.org/officeDocument/2006/relationships/hyperlink" Target="https://alpha.midjourney.com/jobs/7b986382-842d-4894-bfa5-8f3a13c28048?index=1" TargetMode="External"/><Relationship Id="rId475" Type="http://schemas.openxmlformats.org/officeDocument/2006/relationships/hyperlink" Target="https://alpha.midjourney.com/jobs/f8601415-70ff-4ce2-aed0-f550f9d08f3d?index=0"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232" Type="http://schemas.openxmlformats.org/officeDocument/2006/relationships/hyperlink" Target="https://alpha.midjourney.com/jobs/86e09484-75c2-4d9e-b33e-31faa3d4e251?index=2" TargetMode="External"/><Relationship Id="rId353" Type="http://schemas.openxmlformats.org/officeDocument/2006/relationships/hyperlink" Target="https://alpha.midjourney.com/jobs/7b986382-842d-4894-bfa5-8f3a13c28048?index=2" TargetMode="External"/><Relationship Id="rId474" Type="http://schemas.openxmlformats.org/officeDocument/2006/relationships/hyperlink" Target="https://alpha.midjourney.com/jobs/2a292725-24e5-4da2-ae58-2f0eadedb275?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426" Type="http://schemas.openxmlformats.org/officeDocument/2006/relationships/hyperlink" Target="https://alpha.midjourney.com/jobs/da05031f-b161-4dbf-82ed-34f56ec60f8b?index=3" TargetMode="External"/><Relationship Id="rId547" Type="http://schemas.openxmlformats.org/officeDocument/2006/relationships/hyperlink" Target="https://alpha.midjourney.com/jobs/7de8364c-0f5a-4d7b-b841-1f453c148129?index=0" TargetMode="External"/><Relationship Id="rId668" Type="http://schemas.openxmlformats.org/officeDocument/2006/relationships/hyperlink" Target="https://alpha.midjourney.com/jobs/9bf3783e-f8f6-4bbf-b78e-1ab8f2751edd?index=3" TargetMode="External"/><Relationship Id="rId304" Type="http://schemas.openxmlformats.org/officeDocument/2006/relationships/hyperlink" Target="https://alpha.midjourney.com/jobs/ac379b8f-0976-49e8-9984-afd4fa85d72d?index=0" TargetMode="External"/><Relationship Id="rId425" Type="http://schemas.openxmlformats.org/officeDocument/2006/relationships/hyperlink" Target="https://alpha.midjourney.com/jobs/14907b72-ac7b-441a-89c1-206aa74ae3cc?index=3" TargetMode="External"/><Relationship Id="rId546" Type="http://schemas.openxmlformats.org/officeDocument/2006/relationships/hyperlink" Target="https://alpha.midjourney.com/jobs/b2dbb6cd-e386-4a06-bf27-555adcb9d763?index=2" TargetMode="External"/><Relationship Id="rId667" Type="http://schemas.openxmlformats.org/officeDocument/2006/relationships/hyperlink" Target="https://alpha.midjourney.com/jobs/b8ede178-5b2a-48c9-8590-edff0fab188f?index=1" TargetMode="External"/><Relationship Id="rId303" Type="http://schemas.openxmlformats.org/officeDocument/2006/relationships/hyperlink" Target="https://alpha.midjourney.com/jobs/ac379b8f-0976-49e8-9984-afd4fa85d72d?index=2" TargetMode="External"/><Relationship Id="rId424" Type="http://schemas.openxmlformats.org/officeDocument/2006/relationships/hyperlink" Target="https://alpha.midjourney.com/jobs/cbc1003a-54e1-4023-a949-d6248d86958a?index=1" TargetMode="External"/><Relationship Id="rId545" Type="http://schemas.openxmlformats.org/officeDocument/2006/relationships/hyperlink" Target="https://alpha.midjourney.com/jobs/ce889b3b-91f9-4ff2-add2-e60285c57b17?index=1" TargetMode="External"/><Relationship Id="rId666" Type="http://schemas.openxmlformats.org/officeDocument/2006/relationships/hyperlink" Target="https://alpha.midjourney.com/jobs/06e001ac-4ecf-4823-94e1-8dd68d2b05b7?index=1" TargetMode="External"/><Relationship Id="rId302" Type="http://schemas.openxmlformats.org/officeDocument/2006/relationships/hyperlink" Target="https://alpha.midjourney.com/jobs/88722dbd-81e5-4a88-b7b1-4d119407e4eb?index=2" TargetMode="External"/><Relationship Id="rId423" Type="http://schemas.openxmlformats.org/officeDocument/2006/relationships/hyperlink" Target="https://alpha.midjourney.com/jobs/b85e9529-2c1c-43be-8887-f8653d2daa3e?index=1" TargetMode="External"/><Relationship Id="rId544" Type="http://schemas.openxmlformats.org/officeDocument/2006/relationships/hyperlink" Target="https://alpha.midjourney.com/jobs/1702a29f-fe1f-40f0-aeb3-2892a3f1c0bc?index=2" TargetMode="External"/><Relationship Id="rId665" Type="http://schemas.openxmlformats.org/officeDocument/2006/relationships/hyperlink" Target="https://alpha.midjourney.com/jobs/06e001ac-4ecf-4823-94e1-8dd68d2b05b7?index=3"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429" Type="http://schemas.openxmlformats.org/officeDocument/2006/relationships/hyperlink" Target="https://alpha.midjourney.com/jobs/36f45aba-7dd3-4234-a291-4a6bd6317f10?index=0" TargetMode="External"/><Relationship Id="rId307" Type="http://schemas.openxmlformats.org/officeDocument/2006/relationships/hyperlink" Target="https://alpha.midjourney.com/jobs/23c28003-cb9d-4252-b47e-eb31b79c4746?index=3" TargetMode="External"/><Relationship Id="rId428" Type="http://schemas.openxmlformats.org/officeDocument/2006/relationships/hyperlink" Target="https://alpha.midjourney.com/jobs/36f45aba-7dd3-4234-a291-4a6bd6317f10?index=2"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427" Type="http://schemas.openxmlformats.org/officeDocument/2006/relationships/hyperlink" Target="https://alpha.midjourney.com/jobs/da05031f-b161-4dbf-82ed-34f56ec60f8b?index=0" TargetMode="External"/><Relationship Id="rId548" Type="http://schemas.openxmlformats.org/officeDocument/2006/relationships/hyperlink" Target="https://alpha.midjourney.com/jobs/8cc237fc-a571-4903-b553-94f9efeddb14?index=1" TargetMode="External"/><Relationship Id="rId669" Type="http://schemas.openxmlformats.org/officeDocument/2006/relationships/hyperlink" Target="https://alpha.midjourney.com/jobs/d32d623f-8304-4652-a723-5e08c4834598?index=1" TargetMode="External"/><Relationship Id="rId660" Type="http://schemas.openxmlformats.org/officeDocument/2006/relationships/hyperlink" Target="https://alpha.midjourney.com/jobs/e224a083-95f6-49e2-8c7f-dadfbba98f31?index=2" TargetMode="External"/><Relationship Id="rId301" Type="http://schemas.openxmlformats.org/officeDocument/2006/relationships/hyperlink" Target="https://alpha.midjourney.com/jobs/648f33e0-f155-4776-b3ef-cb6a2da47ad2?index=0" TargetMode="External"/><Relationship Id="rId422" Type="http://schemas.openxmlformats.org/officeDocument/2006/relationships/hyperlink" Target="https://alpha.midjourney.com/jobs/c49fa673-bcd1-49dc-a65d-b262aa8d349c?index=3" TargetMode="External"/><Relationship Id="rId543" Type="http://schemas.openxmlformats.org/officeDocument/2006/relationships/hyperlink" Target="https://alpha.midjourney.com/jobs/a770b241-fcb3-4872-830b-d7c0ffd5ae73?index=3" TargetMode="External"/><Relationship Id="rId664" Type="http://schemas.openxmlformats.org/officeDocument/2006/relationships/hyperlink" Target="https://alpha.midjourney.com/jobs/94f65a34-356e-4cee-ac91-40001b561c9e?index=2" TargetMode="External"/><Relationship Id="rId300" Type="http://schemas.openxmlformats.org/officeDocument/2006/relationships/hyperlink" Target="https://alpha.midjourney.com/jobs/48fb748c-ced1-4a11-b902-08569b23ea3e?index=3" TargetMode="External"/><Relationship Id="rId421" Type="http://schemas.openxmlformats.org/officeDocument/2006/relationships/hyperlink" Target="https://alpha.midjourney.com/jobs/49af1a65-37b2-43e7-abfb-fec1ef5ae6d3?index=2" TargetMode="External"/><Relationship Id="rId542" Type="http://schemas.openxmlformats.org/officeDocument/2006/relationships/hyperlink" Target="https://alpha.midjourney.com/jobs/058ca6a3-cba6-4255-a098-e15d86ecc1d3?index=3"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541" Type="http://schemas.openxmlformats.org/officeDocument/2006/relationships/hyperlink" Target="https://alpha.midjourney.com/jobs/18828197-cdfc-419a-ae08-acae2277df70?index=0" TargetMode="External"/><Relationship Id="rId662" Type="http://schemas.openxmlformats.org/officeDocument/2006/relationships/hyperlink" Target="https://alpha.midjourney.com/jobs/38f3775f-1bfe-4229-8836-86361ca30379?index=1" TargetMode="External"/><Relationship Id="rId540" Type="http://schemas.openxmlformats.org/officeDocument/2006/relationships/hyperlink" Target="https://alpha.midjourney.com/jobs/18828197-cdfc-419a-ae08-acae2277df70?index=1" TargetMode="External"/><Relationship Id="rId661" Type="http://schemas.openxmlformats.org/officeDocument/2006/relationships/hyperlink" Target="https://alpha.midjourney.com/jobs/38f3775f-1bfe-4229-8836-86361ca30379?index=0" TargetMode="External"/><Relationship Id="rId415" Type="http://schemas.openxmlformats.org/officeDocument/2006/relationships/hyperlink" Target="https://alpha.midjourney.com/jobs/e1308eb5-a0fa-420c-983e-4f03c2e8e1b1?index=3" TargetMode="External"/><Relationship Id="rId536" Type="http://schemas.openxmlformats.org/officeDocument/2006/relationships/hyperlink" Target="https://alpha.midjourney.com/jobs/aa227e04-65dd-48c2-abfd-6e6fa6008da2?index=3" TargetMode="External"/><Relationship Id="rId657" Type="http://schemas.openxmlformats.org/officeDocument/2006/relationships/hyperlink" Target="https://alpha.midjourney.com/jobs/762ada30-e1d4-42fd-9cb5-0890aa7ebf5e?index=1" TargetMode="External"/><Relationship Id="rId414" Type="http://schemas.openxmlformats.org/officeDocument/2006/relationships/hyperlink" Target="https://alpha.midjourney.com/jobs/ce3cd5be-146d-4747-a725-96d02fce6988?index=3" TargetMode="External"/><Relationship Id="rId535" Type="http://schemas.openxmlformats.org/officeDocument/2006/relationships/hyperlink" Target="https://alpha.midjourney.com/jobs/aa227e04-65dd-48c2-abfd-6e6fa6008da2?index=0" TargetMode="External"/><Relationship Id="rId656" Type="http://schemas.openxmlformats.org/officeDocument/2006/relationships/hyperlink" Target="https://alpha.midjourney.com/jobs/a45d38bf-1bbc-418f-83d2-652c7d2f34d7?index=1" TargetMode="External"/><Relationship Id="rId413" Type="http://schemas.openxmlformats.org/officeDocument/2006/relationships/hyperlink" Target="https://alpha.midjourney.com/jobs/ad69563e-8c74-41b0-8e13-8b39afa3b3cf?index=3" TargetMode="External"/><Relationship Id="rId534" Type="http://schemas.openxmlformats.org/officeDocument/2006/relationships/hyperlink" Target="https://alpha.midjourney.com/jobs/8eec2fb9-6cc5-4526-b1b2-63f80ac65f95?index=1" TargetMode="External"/><Relationship Id="rId655" Type="http://schemas.openxmlformats.org/officeDocument/2006/relationships/hyperlink" Target="https://alpha.midjourney.com/jobs/3bf4a471-5c25-4362-83a7-ff9d2b62f7a6?index=2" TargetMode="External"/><Relationship Id="rId412" Type="http://schemas.openxmlformats.org/officeDocument/2006/relationships/hyperlink" Target="https://alpha.midjourney.com/jobs/888400b6-fc24-4382-9b4f-cb536d1c6259?index=2" TargetMode="External"/><Relationship Id="rId533" Type="http://schemas.openxmlformats.org/officeDocument/2006/relationships/hyperlink" Target="https://alpha.midjourney.com/jobs/7953e818-8128-4a30-b696-521dc3af66e0?index=2" TargetMode="External"/><Relationship Id="rId654" Type="http://schemas.openxmlformats.org/officeDocument/2006/relationships/hyperlink" Target="https://alpha.midjourney.com/jobs/16c76d9e-93cf-40a6-b25c-afdd8780d9cd?index=1"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539" Type="http://schemas.openxmlformats.org/officeDocument/2006/relationships/hyperlink" Target="https://alpha.midjourney.com/jobs/af6bbace-c1a5-4a89-859d-e260f362a5a4?index=2" TargetMode="External"/><Relationship Id="rId417" Type="http://schemas.openxmlformats.org/officeDocument/2006/relationships/hyperlink" Target="https://alpha.midjourney.com/jobs/915e002d-0994-4e3b-9b5b-10849e3c35ad?index=2" TargetMode="External"/><Relationship Id="rId538" Type="http://schemas.openxmlformats.org/officeDocument/2006/relationships/hyperlink" Target="https://alpha.midjourney.com/jobs/b4c3f4b0-05dc-4917-a882-3e522fb1d744?index=1"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537" Type="http://schemas.openxmlformats.org/officeDocument/2006/relationships/hyperlink" Target="https://alpha.midjourney.com/jobs/b4c3f4b0-05dc-4917-a882-3e522fb1d744?index=3" TargetMode="External"/><Relationship Id="rId658" Type="http://schemas.openxmlformats.org/officeDocument/2006/relationships/hyperlink" Target="https://alpha.midjourney.com/jobs/b64fcfaa-f524-4106-97e4-999815c35ba8?index=1" TargetMode="External"/><Relationship Id="rId411" Type="http://schemas.openxmlformats.org/officeDocument/2006/relationships/hyperlink" Target="https://alpha.midjourney.com/jobs/3500932c-0e0c-496e-8393-7f54603731c9?index=3" TargetMode="External"/><Relationship Id="rId532" Type="http://schemas.openxmlformats.org/officeDocument/2006/relationships/hyperlink" Target="https://alpha.midjourney.com/jobs/8300a565-8179-4b9c-9445-18cd11e30feb?index=2" TargetMode="External"/><Relationship Id="rId653" Type="http://schemas.openxmlformats.org/officeDocument/2006/relationships/hyperlink" Target="https://alpha.midjourney.com/jobs/d632fcf9-6880-4101-b670-edad8226ce60?index=1" TargetMode="External"/><Relationship Id="rId410" Type="http://schemas.openxmlformats.org/officeDocument/2006/relationships/hyperlink" Target="https://alpha.midjourney.com/jobs/48703433-d069-4669-a233-4fb736b88afa?index=0" TargetMode="External"/><Relationship Id="rId531" Type="http://schemas.openxmlformats.org/officeDocument/2006/relationships/hyperlink" Target="https://alpha.midjourney.com/jobs/6a68bc3e-bd7f-4880-954d-ff357e0580c0?index=2" TargetMode="External"/><Relationship Id="rId652" Type="http://schemas.openxmlformats.org/officeDocument/2006/relationships/hyperlink" Target="https://alpha.midjourney.com/jobs/112e52b5-82ca-4b76-9909-c0aa04aeeb7a?index=1" TargetMode="External"/><Relationship Id="rId530" Type="http://schemas.openxmlformats.org/officeDocument/2006/relationships/hyperlink" Target="https://alpha.midjourney.com/jobs/1896af7e-08b8-4744-8b7a-ffb98cf9d3de?index=1" TargetMode="External"/><Relationship Id="rId651" Type="http://schemas.openxmlformats.org/officeDocument/2006/relationships/hyperlink" Target="https://alpha.midjourney.com/jobs/6e0215b8-b92d-42ca-b447-89ce45b7a682?index=3" TargetMode="External"/><Relationship Id="rId650" Type="http://schemas.openxmlformats.org/officeDocument/2006/relationships/hyperlink" Target="https://alpha.midjourney.com/jobs/4e8939d3-700e-432e-87ea-5a6d537e421f?index=2" TargetMode="External"/><Relationship Id="rId206" Type="http://schemas.openxmlformats.org/officeDocument/2006/relationships/hyperlink" Target="https://alpha.midjourney.com/jobs/677914ad-f8cb-4855-b453-f47da8640844?index=0" TargetMode="External"/><Relationship Id="rId327" Type="http://schemas.openxmlformats.org/officeDocument/2006/relationships/hyperlink" Target="https://alpha.midjourney.com/jobs/fcedc117-8f07-44fd-9b27-38403dc905eb?index=1" TargetMode="External"/><Relationship Id="rId448" Type="http://schemas.openxmlformats.org/officeDocument/2006/relationships/hyperlink" Target="https://alpha.midjourney.com/jobs/c6262938-a0bb-4c14-a59f-2cd741aebb5d?index=2" TargetMode="External"/><Relationship Id="rId569" Type="http://schemas.openxmlformats.org/officeDocument/2006/relationships/hyperlink" Target="https://alpha.midjourney.com/jobs/8edd484f-1cb1-4f1f-933e-b6506442c848?index=1" TargetMode="External"/><Relationship Id="rId205" Type="http://schemas.openxmlformats.org/officeDocument/2006/relationships/hyperlink" Target="https://alpha.midjourney.com/jobs/f0a7e593-e8a3-49a4-9357-69927b40e0a8?index=0" TargetMode="External"/><Relationship Id="rId326" Type="http://schemas.openxmlformats.org/officeDocument/2006/relationships/hyperlink" Target="https://alpha.midjourney.com/jobs/fcedc117-8f07-44fd-9b27-38403dc905eb?index=2" TargetMode="External"/><Relationship Id="rId447" Type="http://schemas.openxmlformats.org/officeDocument/2006/relationships/hyperlink" Target="https://alpha.midjourney.com/jobs/44b8a171-093e-48a9-b7dd-0eb68cf31160?index=0" TargetMode="External"/><Relationship Id="rId568" Type="http://schemas.openxmlformats.org/officeDocument/2006/relationships/hyperlink" Target="https://alpha.midjourney.com/jobs/08e98d57-c82d-41bf-974e-2594723e8387?index=3" TargetMode="External"/><Relationship Id="rId689" Type="http://schemas.openxmlformats.org/officeDocument/2006/relationships/hyperlink" Target="https://alpha.midjourney.com/jobs/1e429c2b-5a05-49ab-9489-c12018649b91?index=3" TargetMode="External"/><Relationship Id="rId204" Type="http://schemas.openxmlformats.org/officeDocument/2006/relationships/hyperlink" Target="https://alpha.midjourney.com/jobs/f0a7e593-e8a3-49a4-9357-69927b40e0a8?index=1" TargetMode="External"/><Relationship Id="rId325" Type="http://schemas.openxmlformats.org/officeDocument/2006/relationships/hyperlink" Target="https://alpha.midjourney.com/jobs/ebc002b1-7bb9-479e-a1ce-ea1c8ddf987b?index=1" TargetMode="External"/><Relationship Id="rId446" Type="http://schemas.openxmlformats.org/officeDocument/2006/relationships/hyperlink" Target="https://alpha.midjourney.com/jobs/993d4901-e479-4c23-8e37-374cc886632f?index=0" TargetMode="External"/><Relationship Id="rId567" Type="http://schemas.openxmlformats.org/officeDocument/2006/relationships/hyperlink" Target="https://alpha.midjourney.com/jobs/9d1c0ad9-d7ac-48b5-8887-39cdbcde27cd?index=2" TargetMode="External"/><Relationship Id="rId688" Type="http://schemas.openxmlformats.org/officeDocument/2006/relationships/hyperlink" Target="https://alpha.midjourney.com/jobs/1f413697-4aa9-4268-8632-34cae7b439c3?index=3" TargetMode="External"/><Relationship Id="rId203" Type="http://schemas.openxmlformats.org/officeDocument/2006/relationships/hyperlink" Target="https://alpha.midjourney.com/jobs/8785718a-3cef-4d6b-adf4-3f611a3b965e?index=2" TargetMode="External"/><Relationship Id="rId324" Type="http://schemas.openxmlformats.org/officeDocument/2006/relationships/hyperlink" Target="https://alpha.midjourney.com/jobs/0c3b1178-de16-46bc-a164-f1739f41cd16?index=0" TargetMode="External"/><Relationship Id="rId445" Type="http://schemas.openxmlformats.org/officeDocument/2006/relationships/hyperlink" Target="https://alpha.midjourney.com/jobs/dce6223e-4d4d-4a94-b8ed-94d249a1b876?index=2" TargetMode="External"/><Relationship Id="rId566" Type="http://schemas.openxmlformats.org/officeDocument/2006/relationships/hyperlink" Target="https://alpha.midjourney.com/jobs/a40c6919-d2e2-4cdd-a1de-4ce6a532def9?index=3" TargetMode="External"/><Relationship Id="rId687" Type="http://schemas.openxmlformats.org/officeDocument/2006/relationships/hyperlink" Target="https://alpha.midjourney.com/jobs/b66028ef-5e3a-4038-a5ee-304d9808015f?index=2"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329" Type="http://schemas.openxmlformats.org/officeDocument/2006/relationships/hyperlink" Target="https://alpha.midjourney.com/jobs/54179720-6bdf-4c71-8029-954ac967324e?index=2" TargetMode="External"/><Relationship Id="rId207" Type="http://schemas.openxmlformats.org/officeDocument/2006/relationships/hyperlink" Target="https://alpha.midjourney.com/jobs/0c2fcc58-1cd5-4e2c-9953-06ae99527acc?index=3" TargetMode="External"/><Relationship Id="rId328" Type="http://schemas.openxmlformats.org/officeDocument/2006/relationships/hyperlink" Target="https://alpha.midjourney.com/jobs/61c81789-079d-4284-bc11-8f18bf858e7a?index=0"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561" Type="http://schemas.openxmlformats.org/officeDocument/2006/relationships/hyperlink" Target="https://alpha.midjourney.com/jobs/2ba47d27-dbef-49be-8e14-890b895409a3?index=2" TargetMode="External"/><Relationship Id="rId682" Type="http://schemas.openxmlformats.org/officeDocument/2006/relationships/hyperlink" Target="https://alpha.midjourney.com/jobs/6c892b4d-9f53-4686-88b5-2ef14a829397?index=0" TargetMode="External"/><Relationship Id="rId560" Type="http://schemas.openxmlformats.org/officeDocument/2006/relationships/hyperlink" Target="https://alpha.midjourney.com/jobs/cbeba22e-057c-463e-8a6c-d84fec4e4147?index=0" TargetMode="External"/><Relationship Id="rId681" Type="http://schemas.openxmlformats.org/officeDocument/2006/relationships/hyperlink" Target="https://alpha.midjourney.com/jobs/6c892b4d-9f53-4686-88b5-2ef14a829397?index=1" TargetMode="External"/><Relationship Id="rId680" Type="http://schemas.openxmlformats.org/officeDocument/2006/relationships/hyperlink" Target="https://alpha.midjourney.com/jobs/5303463c-59b3-4fb2-94c4-4a297ae0ad1a?index=1" TargetMode="External"/><Relationship Id="rId202" Type="http://schemas.openxmlformats.org/officeDocument/2006/relationships/hyperlink" Target="https://alpha.midjourney.com/jobs/ef31c8de-f61e-4972-86e9-aa9f1831afd5?index=0" TargetMode="External"/><Relationship Id="rId323" Type="http://schemas.openxmlformats.org/officeDocument/2006/relationships/hyperlink" Target="https://alpha.midjourney.com/jobs/4529965a-161b-46fc-84ef-11b6aa6505c0?index=1" TargetMode="External"/><Relationship Id="rId444" Type="http://schemas.openxmlformats.org/officeDocument/2006/relationships/hyperlink" Target="https://alpha.midjourney.com/jobs/ce917096-e668-418b-8741-693ddbec1b5e?index=3" TargetMode="External"/><Relationship Id="rId565" Type="http://schemas.openxmlformats.org/officeDocument/2006/relationships/hyperlink" Target="https://alpha.midjourney.com/jobs/e9ced58e-d729-4c3b-b959-01736c8f312f?index=1" TargetMode="External"/><Relationship Id="rId686" Type="http://schemas.openxmlformats.org/officeDocument/2006/relationships/hyperlink" Target="https://alpha.midjourney.com/jobs/ead00509-22e1-4300-a2f5-37e68b0be839?index=0" TargetMode="External"/><Relationship Id="rId201" Type="http://schemas.openxmlformats.org/officeDocument/2006/relationships/hyperlink" Target="https://alpha.midjourney.com/jobs/855d9ad2-60fa-4317-90d5-dde695aa3863?index=2" TargetMode="External"/><Relationship Id="rId322" Type="http://schemas.openxmlformats.org/officeDocument/2006/relationships/hyperlink" Target="https://alpha.midjourney.com/jobs/90b1ef17-1840-43a4-a96b-9d42245755e5?index=2" TargetMode="External"/><Relationship Id="rId443" Type="http://schemas.openxmlformats.org/officeDocument/2006/relationships/hyperlink" Target="https://alpha.midjourney.com/jobs/16b422f4-9fd2-4bb1-9674-585e0409a383?index=3" TargetMode="External"/><Relationship Id="rId564" Type="http://schemas.openxmlformats.org/officeDocument/2006/relationships/hyperlink" Target="https://alpha.midjourney.com/jobs/22a8f992-981f-46f6-9814-6acd4fd78883?index=2" TargetMode="External"/><Relationship Id="rId685" Type="http://schemas.openxmlformats.org/officeDocument/2006/relationships/hyperlink" Target="https://alpha.midjourney.com/jobs/46a0753e-b7f5-4268-a101-deb73939d6be?index=2" TargetMode="External"/><Relationship Id="rId200" Type="http://schemas.openxmlformats.org/officeDocument/2006/relationships/hyperlink" Target="https://alpha.midjourney.com/jobs/f43fb0f9-219d-46ea-84e7-cebd02ca67fd?index=3" TargetMode="External"/><Relationship Id="rId321" Type="http://schemas.openxmlformats.org/officeDocument/2006/relationships/hyperlink" Target="https://alpha.midjourney.com/jobs/edfa0ecc-62fe-4e23-8bad-51f3f37c3e52?index=0" TargetMode="External"/><Relationship Id="rId442" Type="http://schemas.openxmlformats.org/officeDocument/2006/relationships/hyperlink" Target="https://alpha.midjourney.com/jobs/4623ba22-8900-4ec0-baf7-811a3eacf3be?index=1" TargetMode="External"/><Relationship Id="rId563" Type="http://schemas.openxmlformats.org/officeDocument/2006/relationships/hyperlink" Target="https://alpha.midjourney.com/jobs/5bd0ca22-a83a-414a-9139-c2092a485671?index=1" TargetMode="External"/><Relationship Id="rId684" Type="http://schemas.openxmlformats.org/officeDocument/2006/relationships/hyperlink" Target="https://alpha.midjourney.com/jobs/ead00509-22e1-4300-a2f5-37e68b0be839?index=1" TargetMode="External"/><Relationship Id="rId320" Type="http://schemas.openxmlformats.org/officeDocument/2006/relationships/hyperlink" Target="https://alpha.midjourney.com/jobs/64365801-a467-48b5-80fe-b2e14b46c622?index=3" TargetMode="External"/><Relationship Id="rId441" Type="http://schemas.openxmlformats.org/officeDocument/2006/relationships/hyperlink" Target="https://alpha.midjourney.com/jobs/16ae4b70-d224-42db-b6b6-ecf2124ed295?index=0" TargetMode="External"/><Relationship Id="rId562" Type="http://schemas.openxmlformats.org/officeDocument/2006/relationships/hyperlink" Target="https://alpha.midjourney.com/jobs/c6991389-b3bd-41f0-94f8-3a128fa5ced1?index=3" TargetMode="External"/><Relationship Id="rId683" Type="http://schemas.openxmlformats.org/officeDocument/2006/relationships/hyperlink" Target="https://alpha.midjourney.com/jobs/8ddea716-e1f9-491b-aca2-f52b67ebc68d?index=0" TargetMode="External"/><Relationship Id="rId316" Type="http://schemas.openxmlformats.org/officeDocument/2006/relationships/hyperlink" Target="https://alpha.midjourney.com/jobs/855584b6-ff81-449c-bfc8-776b89e2e1b6?index=0" TargetMode="External"/><Relationship Id="rId437" Type="http://schemas.openxmlformats.org/officeDocument/2006/relationships/hyperlink" Target="https://alpha.midjourney.com/jobs/1147f4d1-0ebc-4af6-a726-d02c68d60b73?index=2" TargetMode="External"/><Relationship Id="rId558" Type="http://schemas.openxmlformats.org/officeDocument/2006/relationships/hyperlink" Target="https://alpha.midjourney.com/jobs/939e6242-52c0-48ac-b399-3e52fec2a04a?index=0" TargetMode="External"/><Relationship Id="rId679" Type="http://schemas.openxmlformats.org/officeDocument/2006/relationships/hyperlink" Target="https://alpha.midjourney.com/jobs/486584b2-e68e-44a9-a038-0edfd1135259?index=3" TargetMode="External"/><Relationship Id="rId315" Type="http://schemas.openxmlformats.org/officeDocument/2006/relationships/hyperlink" Target="https://alpha.midjourney.com/jobs/8267de13-464b-4475-8b89-635cac0d70bd?index=0" TargetMode="External"/><Relationship Id="rId436" Type="http://schemas.openxmlformats.org/officeDocument/2006/relationships/hyperlink" Target="https://alpha.midjourney.com/jobs/1147f4d1-0ebc-4af6-a726-d02c68d60b73?index=0" TargetMode="External"/><Relationship Id="rId557" Type="http://schemas.openxmlformats.org/officeDocument/2006/relationships/hyperlink" Target="https://alpha.midjourney.com/jobs/9782e556-bad6-4ad2-9833-8d831131a5eb?index=1" TargetMode="External"/><Relationship Id="rId678" Type="http://schemas.openxmlformats.org/officeDocument/2006/relationships/hyperlink" Target="https://alpha.midjourney.com/jobs/dd8db80a-be81-42cd-8117-d370f2fdce6b?index=1" TargetMode="External"/><Relationship Id="rId314" Type="http://schemas.openxmlformats.org/officeDocument/2006/relationships/hyperlink" Target="https://alpha.midjourney.com/jobs/855584b6-ff81-449c-bfc8-776b89e2e1b6?index=3" TargetMode="External"/><Relationship Id="rId435" Type="http://schemas.openxmlformats.org/officeDocument/2006/relationships/hyperlink" Target="https://alpha.midjourney.com/jobs/b817370e-a391-4a6b-9688-f381c88b69b0?index=2" TargetMode="External"/><Relationship Id="rId556" Type="http://schemas.openxmlformats.org/officeDocument/2006/relationships/hyperlink" Target="https://alpha.midjourney.com/jobs/5c6c381c-6392-4f21-a9e1-c5126a4d283d?index=2" TargetMode="External"/><Relationship Id="rId677" Type="http://schemas.openxmlformats.org/officeDocument/2006/relationships/hyperlink" Target="https://alpha.midjourney.com/jobs/3bce2cc2-7905-4055-a5c5-f61caeece66e?index=1" TargetMode="External"/><Relationship Id="rId313" Type="http://schemas.openxmlformats.org/officeDocument/2006/relationships/hyperlink" Target="https://alpha.midjourney.com/jobs/855584b6-ff81-449c-bfc8-776b89e2e1b6?index=2" TargetMode="External"/><Relationship Id="rId434" Type="http://schemas.openxmlformats.org/officeDocument/2006/relationships/hyperlink" Target="https://alpha.midjourney.com/jobs/237069bf-4281-4ab7-875e-331a4121cc5c?index=2" TargetMode="External"/><Relationship Id="rId555" Type="http://schemas.openxmlformats.org/officeDocument/2006/relationships/hyperlink" Target="https://alpha.midjourney.com/jobs/3a69abc9-4dbb-4de3-8916-1f75f4991dac?index=3" TargetMode="External"/><Relationship Id="rId676" Type="http://schemas.openxmlformats.org/officeDocument/2006/relationships/hyperlink" Target="https://alpha.midjourney.com/jobs/902f686b-2aa6-427e-aa01-bd0121e13b27?index=1"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439" Type="http://schemas.openxmlformats.org/officeDocument/2006/relationships/hyperlink" Target="https://alpha.midjourney.com/jobs/01a4f043-f235-41b9-8d46-7b35d6f18030?index=2" TargetMode="External"/><Relationship Id="rId317" Type="http://schemas.openxmlformats.org/officeDocument/2006/relationships/hyperlink" Target="https://alpha.midjourney.com/jobs/ce13cd47-a205-4d28-96b0-bdf906fae89f?index=0" TargetMode="External"/><Relationship Id="rId438" Type="http://schemas.openxmlformats.org/officeDocument/2006/relationships/hyperlink" Target="https://alpha.midjourney.com/jobs/aad8229e-1d42-48dd-8179-36ff489b78e3?index=2"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671" Type="http://schemas.openxmlformats.org/officeDocument/2006/relationships/hyperlink" Target="https://alpha.midjourney.com/jobs/b6b028b1-6920-4dde-9694-73d589c7969e?index=1" TargetMode="External"/><Relationship Id="rId670" Type="http://schemas.openxmlformats.org/officeDocument/2006/relationships/hyperlink" Target="https://alpha.midjourney.com/jobs/d32d623f-8304-4652-a723-5e08c4834598?index=0" TargetMode="External"/><Relationship Id="rId312" Type="http://schemas.openxmlformats.org/officeDocument/2006/relationships/hyperlink" Target="https://alpha.midjourney.com/jobs/d8a56be5-0fe5-434b-a77a-b6146873ea1a?index=0" TargetMode="External"/><Relationship Id="rId433" Type="http://schemas.openxmlformats.org/officeDocument/2006/relationships/hyperlink" Target="https://alpha.midjourney.com/jobs/ade40824-39ca-4001-a6f9-b17abaa7f8c9?index=2" TargetMode="External"/><Relationship Id="rId554" Type="http://schemas.openxmlformats.org/officeDocument/2006/relationships/hyperlink" Target="https://alpha.midjourney.com/jobs/aff786fd-7fc1-4a2d-9343-59060d86249f?index=0" TargetMode="External"/><Relationship Id="rId675" Type="http://schemas.openxmlformats.org/officeDocument/2006/relationships/hyperlink" Target="https://alpha.midjourney.com/jobs/56ad7b68-b4aa-44c6-ba28-2093ea5e6556?index=3" TargetMode="External"/><Relationship Id="rId311" Type="http://schemas.openxmlformats.org/officeDocument/2006/relationships/hyperlink" Target="https://alpha.midjourney.com/jobs/d8a56be5-0fe5-434b-a77a-b6146873ea1a?index=3" TargetMode="External"/><Relationship Id="rId432" Type="http://schemas.openxmlformats.org/officeDocument/2006/relationships/hyperlink" Target="https://alpha.midjourney.com/jobs/89be5e2a-6702-40e7-bb2c-87dce748f051?index=0" TargetMode="External"/><Relationship Id="rId553" Type="http://schemas.openxmlformats.org/officeDocument/2006/relationships/hyperlink" Target="https://alpha.midjourney.com/jobs/beade48b-dfc3-4b0d-a7b3-e813a507b363?index=0" TargetMode="External"/><Relationship Id="rId674" Type="http://schemas.openxmlformats.org/officeDocument/2006/relationships/hyperlink" Target="https://alpha.midjourney.com/jobs/c6073419-0b0b-47be-b834-e6de5a6e38db?index=2" TargetMode="External"/><Relationship Id="rId310" Type="http://schemas.openxmlformats.org/officeDocument/2006/relationships/hyperlink" Target="https://alpha.midjourney.com/jobs/ea69db27-0094-46a2-957d-df9c6587cd8f?index=1" TargetMode="External"/><Relationship Id="rId431" Type="http://schemas.openxmlformats.org/officeDocument/2006/relationships/hyperlink" Target="https://alpha.midjourney.com/jobs/5346acfb-9c48-4258-a97e-45266d64b6d2?index=3" TargetMode="External"/><Relationship Id="rId552" Type="http://schemas.openxmlformats.org/officeDocument/2006/relationships/hyperlink" Target="https://alpha.midjourney.com/jobs/e6884d89-a8ec-43ec-85a8-dcc30ca69669?index=3" TargetMode="External"/><Relationship Id="rId673" Type="http://schemas.openxmlformats.org/officeDocument/2006/relationships/hyperlink" Target="https://alpha.midjourney.com/jobs/c6073419-0b0b-47be-b834-e6de5a6e38db?index=1" TargetMode="External"/><Relationship Id="rId430" Type="http://schemas.openxmlformats.org/officeDocument/2006/relationships/hyperlink" Target="https://alpha.midjourney.com/jobs/cb5ae9cc-bb0c-4b23-93f2-9aba3eead611?index=0" TargetMode="External"/><Relationship Id="rId551" Type="http://schemas.openxmlformats.org/officeDocument/2006/relationships/hyperlink" Target="https://alpha.midjourney.com/jobs/d8f42a0c-63c6-40cf-9275-6ffc2157f99f?index=1" TargetMode="External"/><Relationship Id="rId672" Type="http://schemas.openxmlformats.org/officeDocument/2006/relationships/hyperlink" Target="https://alpha.midjourney.com/jobs/5531e7cf-23f3-4725-986f-2de126d022b2?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1.71"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17" t="s">
        <v>267</v>
      </c>
      <c r="G45" s="15">
        <v>5.0</v>
      </c>
      <c r="H45" s="15" t="s">
        <v>268</v>
      </c>
      <c r="I45" s="15" t="s">
        <v>26</v>
      </c>
      <c r="J45" s="16" t="s">
        <v>269</v>
      </c>
      <c r="K45" s="13" t="s">
        <v>270</v>
      </c>
      <c r="L45" s="13" t="s">
        <v>271</v>
      </c>
      <c r="M45" s="13" t="s">
        <v>272</v>
      </c>
    </row>
    <row r="46" hidden="1">
      <c r="A46" s="31" t="s">
        <v>273</v>
      </c>
      <c r="B46" s="14" t="s">
        <v>21</v>
      </c>
      <c r="C46" s="15">
        <v>2.0</v>
      </c>
      <c r="D46" s="15" t="s">
        <v>274</v>
      </c>
      <c r="E46" s="16" t="s">
        <v>275</v>
      </c>
      <c r="F46" s="17" t="s">
        <v>276</v>
      </c>
      <c r="G46" s="15">
        <v>2.0</v>
      </c>
      <c r="H46" s="15" t="s">
        <v>106</v>
      </c>
      <c r="I46" s="15" t="s">
        <v>26</v>
      </c>
    </row>
    <row r="47" hidden="1">
      <c r="A47" s="16" t="s">
        <v>277</v>
      </c>
      <c r="B47" s="8" t="s">
        <v>21</v>
      </c>
      <c r="C47" s="9">
        <v>2.0</v>
      </c>
      <c r="D47" s="15" t="s">
        <v>37</v>
      </c>
      <c r="E47" s="16" t="s">
        <v>278</v>
      </c>
      <c r="F47" s="17" t="s">
        <v>279</v>
      </c>
      <c r="G47" s="15">
        <v>1.0</v>
      </c>
      <c r="H47" s="15" t="s">
        <v>99</v>
      </c>
      <c r="I47" s="15" t="s">
        <v>26</v>
      </c>
    </row>
    <row r="48">
      <c r="A48" s="31" t="s">
        <v>280</v>
      </c>
      <c r="B48" s="33" t="s">
        <v>21</v>
      </c>
      <c r="C48" s="15">
        <v>1.0</v>
      </c>
      <c r="D48" s="15" t="s">
        <v>281</v>
      </c>
      <c r="E48" s="16" t="s">
        <v>282</v>
      </c>
      <c r="F48" s="17" t="s">
        <v>283</v>
      </c>
      <c r="G48" s="15">
        <v>4.0</v>
      </c>
      <c r="H48" s="15" t="s">
        <v>31</v>
      </c>
      <c r="I48" s="15" t="s">
        <v>32</v>
      </c>
      <c r="J48" s="16" t="s">
        <v>284</v>
      </c>
      <c r="K48" s="13" t="s">
        <v>285</v>
      </c>
      <c r="L48" s="13" t="s">
        <v>286</v>
      </c>
      <c r="M48" s="13" t="s">
        <v>287</v>
      </c>
    </row>
    <row r="49" hidden="1">
      <c r="A49" s="7" t="s">
        <v>288</v>
      </c>
      <c r="B49" s="7" t="s">
        <v>289</v>
      </c>
      <c r="C49" s="9">
        <v>2.0</v>
      </c>
      <c r="D49" s="9" t="s">
        <v>238</v>
      </c>
      <c r="E49" s="7" t="s">
        <v>290</v>
      </c>
      <c r="F49" s="10" t="s">
        <v>291</v>
      </c>
      <c r="G49" s="9">
        <v>7.0</v>
      </c>
      <c r="H49" s="9" t="s">
        <v>292</v>
      </c>
      <c r="I49" s="15" t="s">
        <v>32</v>
      </c>
    </row>
    <row r="50" hidden="1">
      <c r="A50" s="24" t="s">
        <v>293</v>
      </c>
      <c r="B50" s="7" t="s">
        <v>289</v>
      </c>
      <c r="C50" s="9">
        <v>2.0</v>
      </c>
      <c r="D50" s="9" t="s">
        <v>96</v>
      </c>
      <c r="E50" s="7" t="s">
        <v>294</v>
      </c>
      <c r="F50" s="10" t="s">
        <v>295</v>
      </c>
      <c r="G50" s="9">
        <v>4.0</v>
      </c>
      <c r="H50" s="9" t="s">
        <v>245</v>
      </c>
      <c r="I50" s="9" t="s">
        <v>70</v>
      </c>
    </row>
    <row r="51" hidden="1">
      <c r="A51" s="16" t="s">
        <v>296</v>
      </c>
      <c r="B51" s="16" t="s">
        <v>289</v>
      </c>
      <c r="C51" s="15">
        <v>0.0</v>
      </c>
      <c r="D51" s="15" t="s">
        <v>297</v>
      </c>
      <c r="E51" s="16" t="s">
        <v>298</v>
      </c>
      <c r="F51" s="17" t="s">
        <v>299</v>
      </c>
      <c r="G51" s="15">
        <v>4.0</v>
      </c>
      <c r="H51" s="15" t="s">
        <v>300</v>
      </c>
      <c r="I51" s="15" t="s">
        <v>70</v>
      </c>
    </row>
    <row r="52">
      <c r="A52" s="7" t="s">
        <v>301</v>
      </c>
      <c r="B52" s="7" t="s">
        <v>21</v>
      </c>
      <c r="C52" s="9">
        <v>1.0</v>
      </c>
      <c r="D52" s="9" t="s">
        <v>302</v>
      </c>
      <c r="F52" s="10" t="s">
        <v>303</v>
      </c>
      <c r="G52" s="9">
        <v>9.0</v>
      </c>
      <c r="H52" s="9" t="s">
        <v>127</v>
      </c>
      <c r="I52" s="9" t="s">
        <v>70</v>
      </c>
      <c r="J52" s="11" t="s">
        <v>304</v>
      </c>
      <c r="K52" s="13" t="s">
        <v>305</v>
      </c>
    </row>
    <row r="53">
      <c r="A53" s="31" t="s">
        <v>306</v>
      </c>
      <c r="B53" s="16" t="s">
        <v>21</v>
      </c>
      <c r="C53" s="15">
        <v>1.0</v>
      </c>
      <c r="D53" s="15" t="s">
        <v>307</v>
      </c>
      <c r="E53" s="16" t="s">
        <v>308</v>
      </c>
      <c r="F53" s="34"/>
      <c r="G53" s="15">
        <v>1.0</v>
      </c>
      <c r="H53" s="15" t="s">
        <v>106</v>
      </c>
      <c r="I53" s="15" t="s">
        <v>32</v>
      </c>
      <c r="J53" s="16" t="s">
        <v>309</v>
      </c>
      <c r="K53" s="13" t="s">
        <v>310</v>
      </c>
      <c r="L53" s="13" t="s">
        <v>311</v>
      </c>
      <c r="M53" s="13" t="s">
        <v>312</v>
      </c>
    </row>
    <row r="54" hidden="1">
      <c r="A54" s="16" t="s">
        <v>313</v>
      </c>
      <c r="B54" s="16" t="s">
        <v>289</v>
      </c>
      <c r="C54" s="15">
        <v>2.0</v>
      </c>
      <c r="D54" s="15" t="s">
        <v>155</v>
      </c>
      <c r="E54" s="16" t="s">
        <v>314</v>
      </c>
      <c r="F54" s="17" t="s">
        <v>315</v>
      </c>
      <c r="G54" s="15">
        <v>6.0</v>
      </c>
      <c r="H54" s="15" t="s">
        <v>300</v>
      </c>
      <c r="I54" s="15" t="s">
        <v>70</v>
      </c>
    </row>
    <row r="55" hidden="1">
      <c r="A55" s="16" t="s">
        <v>316</v>
      </c>
      <c r="B55" s="16" t="s">
        <v>317</v>
      </c>
      <c r="C55" s="15">
        <v>2.0</v>
      </c>
      <c r="D55" s="15" t="s">
        <v>149</v>
      </c>
      <c r="E55" s="16" t="s">
        <v>318</v>
      </c>
      <c r="F55" s="17" t="s">
        <v>319</v>
      </c>
      <c r="G55" s="15">
        <v>3.0</v>
      </c>
      <c r="H55" s="15" t="s">
        <v>320</v>
      </c>
      <c r="I55" s="15" t="s">
        <v>70</v>
      </c>
    </row>
    <row r="56" hidden="1">
      <c r="A56" s="7" t="s">
        <v>321</v>
      </c>
      <c r="B56" s="7" t="s">
        <v>317</v>
      </c>
      <c r="C56" s="9">
        <v>2.0</v>
      </c>
      <c r="D56" s="9" t="s">
        <v>322</v>
      </c>
      <c r="E56" s="7" t="s">
        <v>323</v>
      </c>
      <c r="F56" s="10" t="s">
        <v>324</v>
      </c>
      <c r="G56" s="9">
        <v>4.0</v>
      </c>
      <c r="H56" s="9" t="s">
        <v>325</v>
      </c>
      <c r="I56" s="9" t="s">
        <v>32</v>
      </c>
    </row>
    <row r="57">
      <c r="A57" s="31" t="s">
        <v>326</v>
      </c>
      <c r="B57" s="16" t="s">
        <v>21</v>
      </c>
      <c r="C57" s="15">
        <v>1.0</v>
      </c>
      <c r="D57" s="15" t="s">
        <v>327</v>
      </c>
      <c r="F57" s="17" t="s">
        <v>328</v>
      </c>
      <c r="G57" s="15">
        <v>1.0</v>
      </c>
      <c r="H57" s="9" t="s">
        <v>25</v>
      </c>
      <c r="I57" s="15" t="s">
        <v>26</v>
      </c>
      <c r="J57" s="35" t="s">
        <v>329</v>
      </c>
      <c r="K57" s="13" t="s">
        <v>330</v>
      </c>
      <c r="L57" s="13" t="s">
        <v>331</v>
      </c>
      <c r="M57" s="13" t="s">
        <v>332</v>
      </c>
      <c r="N57" s="13" t="s">
        <v>333</v>
      </c>
    </row>
    <row r="58">
      <c r="A58" s="16" t="s">
        <v>334</v>
      </c>
      <c r="B58" s="16" t="s">
        <v>21</v>
      </c>
      <c r="C58" s="15">
        <v>1.0</v>
      </c>
      <c r="D58" s="15" t="s">
        <v>335</v>
      </c>
      <c r="E58" s="16" t="s">
        <v>336</v>
      </c>
      <c r="G58" s="15">
        <v>2.0</v>
      </c>
      <c r="H58" s="15" t="s">
        <v>337</v>
      </c>
      <c r="I58" s="15" t="s">
        <v>32</v>
      </c>
      <c r="J58" s="16" t="s">
        <v>338</v>
      </c>
      <c r="K58" s="13" t="s">
        <v>339</v>
      </c>
      <c r="L58" s="13" t="s">
        <v>340</v>
      </c>
    </row>
    <row r="59">
      <c r="A59" s="16" t="s">
        <v>341</v>
      </c>
      <c r="B59" s="36" t="s">
        <v>21</v>
      </c>
      <c r="C59" s="15">
        <v>1.0</v>
      </c>
      <c r="D59" s="15" t="s">
        <v>342</v>
      </c>
      <c r="E59" s="16" t="s">
        <v>343</v>
      </c>
      <c r="F59" s="34"/>
      <c r="G59" s="15">
        <v>3.0</v>
      </c>
      <c r="H59" s="15" t="s">
        <v>53</v>
      </c>
      <c r="I59" s="15" t="s">
        <v>32</v>
      </c>
      <c r="J59" s="16" t="s">
        <v>344</v>
      </c>
      <c r="K59" s="13" t="s">
        <v>345</v>
      </c>
      <c r="L59" s="13" t="s">
        <v>346</v>
      </c>
    </row>
    <row r="60" hidden="1">
      <c r="A60" s="22" t="s">
        <v>347</v>
      </c>
      <c r="B60" s="7" t="s">
        <v>317</v>
      </c>
      <c r="C60" s="9">
        <v>2.0</v>
      </c>
      <c r="D60" s="9" t="s">
        <v>155</v>
      </c>
      <c r="E60" s="7" t="s">
        <v>348</v>
      </c>
      <c r="F60" s="10" t="s">
        <v>349</v>
      </c>
      <c r="G60" s="9">
        <v>3.0</v>
      </c>
      <c r="H60" s="9" t="s">
        <v>350</v>
      </c>
      <c r="I60" s="9" t="s">
        <v>70</v>
      </c>
    </row>
    <row r="61" hidden="1">
      <c r="A61" s="31" t="s">
        <v>351</v>
      </c>
      <c r="B61" s="31" t="s">
        <v>317</v>
      </c>
      <c r="C61" s="37">
        <v>2.0</v>
      </c>
      <c r="D61" s="37" t="s">
        <v>28</v>
      </c>
      <c r="E61" s="31" t="s">
        <v>352</v>
      </c>
      <c r="F61" s="38" t="s">
        <v>353</v>
      </c>
      <c r="G61" s="37">
        <v>3.0</v>
      </c>
      <c r="H61" s="37" t="s">
        <v>350</v>
      </c>
      <c r="I61" s="39" t="s">
        <v>70</v>
      </c>
    </row>
    <row r="62" hidden="1">
      <c r="A62" s="7" t="s">
        <v>354</v>
      </c>
      <c r="B62" s="7" t="s">
        <v>355</v>
      </c>
      <c r="C62" s="9">
        <v>2.0</v>
      </c>
      <c r="D62" s="9" t="s">
        <v>195</v>
      </c>
      <c r="E62" s="7" t="s">
        <v>356</v>
      </c>
      <c r="F62" s="10" t="s">
        <v>357</v>
      </c>
      <c r="G62" s="9">
        <v>3.0</v>
      </c>
      <c r="H62" s="9" t="s">
        <v>358</v>
      </c>
      <c r="I62" s="9" t="s">
        <v>70</v>
      </c>
    </row>
    <row r="63" hidden="1">
      <c r="A63" s="16" t="s">
        <v>359</v>
      </c>
      <c r="B63" s="16" t="s">
        <v>355</v>
      </c>
      <c r="C63" s="15">
        <v>2.0</v>
      </c>
      <c r="D63" s="15" t="s">
        <v>360</v>
      </c>
      <c r="E63" s="16" t="s">
        <v>361</v>
      </c>
      <c r="F63" s="17" t="s">
        <v>362</v>
      </c>
      <c r="G63" s="15">
        <v>6.0</v>
      </c>
      <c r="H63" s="15" t="s">
        <v>363</v>
      </c>
      <c r="I63" s="15" t="s">
        <v>32</v>
      </c>
    </row>
    <row r="64">
      <c r="A64" s="16" t="s">
        <v>364</v>
      </c>
      <c r="B64" s="16" t="s">
        <v>21</v>
      </c>
      <c r="C64" s="15">
        <v>1.0</v>
      </c>
      <c r="D64" s="15" t="s">
        <v>96</v>
      </c>
      <c r="E64" s="16" t="s">
        <v>365</v>
      </c>
      <c r="F64" s="34"/>
      <c r="G64" s="15">
        <v>2.0</v>
      </c>
      <c r="H64" s="16" t="s">
        <v>366</v>
      </c>
      <c r="I64" s="9" t="s">
        <v>26</v>
      </c>
      <c r="J64" s="16" t="s">
        <v>367</v>
      </c>
      <c r="K64" s="13" t="s">
        <v>368</v>
      </c>
      <c r="L64" s="13" t="s">
        <v>369</v>
      </c>
      <c r="M64" s="13" t="s">
        <v>370</v>
      </c>
    </row>
    <row r="65" hidden="1">
      <c r="A65" s="22" t="s">
        <v>371</v>
      </c>
      <c r="B65" s="7" t="s">
        <v>355</v>
      </c>
      <c r="C65" s="9">
        <v>2.0</v>
      </c>
      <c r="D65" s="9" t="s">
        <v>372</v>
      </c>
      <c r="E65" s="7" t="s">
        <v>373</v>
      </c>
      <c r="F65" s="10" t="s">
        <v>374</v>
      </c>
      <c r="G65" s="9">
        <v>4.0</v>
      </c>
      <c r="H65" s="9" t="s">
        <v>375</v>
      </c>
      <c r="I65" s="9" t="s">
        <v>70</v>
      </c>
    </row>
    <row r="66">
      <c r="A66" s="7" t="s">
        <v>376</v>
      </c>
      <c r="B66" s="7" t="s">
        <v>289</v>
      </c>
      <c r="C66" s="9">
        <v>1.0</v>
      </c>
      <c r="D66" s="9" t="s">
        <v>238</v>
      </c>
      <c r="E66" s="7" t="s">
        <v>377</v>
      </c>
      <c r="F66" s="10" t="s">
        <v>378</v>
      </c>
      <c r="G66" s="9">
        <v>2.0</v>
      </c>
      <c r="H66" s="9" t="s">
        <v>379</v>
      </c>
      <c r="I66" s="9" t="s">
        <v>70</v>
      </c>
      <c r="J66" s="11" t="s">
        <v>380</v>
      </c>
      <c r="K66" s="13" t="s">
        <v>381</v>
      </c>
    </row>
    <row r="67" hidden="1">
      <c r="A67" s="16" t="s">
        <v>382</v>
      </c>
      <c r="B67" s="40" t="s">
        <v>355</v>
      </c>
      <c r="C67" s="15">
        <v>2.0</v>
      </c>
      <c r="D67" s="15" t="s">
        <v>383</v>
      </c>
      <c r="E67" s="16" t="s">
        <v>384</v>
      </c>
      <c r="F67" s="17" t="s">
        <v>24</v>
      </c>
      <c r="G67" s="15">
        <v>5.0</v>
      </c>
      <c r="H67" s="15" t="s">
        <v>385</v>
      </c>
      <c r="I67" s="15" t="s">
        <v>32</v>
      </c>
    </row>
    <row r="68" hidden="1">
      <c r="A68" s="16" t="s">
        <v>386</v>
      </c>
      <c r="B68" s="16" t="s">
        <v>355</v>
      </c>
      <c r="C68" s="15">
        <v>2.0</v>
      </c>
      <c r="D68" s="15" t="s">
        <v>387</v>
      </c>
      <c r="E68" s="16" t="s">
        <v>388</v>
      </c>
      <c r="F68" s="17" t="s">
        <v>389</v>
      </c>
      <c r="G68" s="15">
        <v>3.0</v>
      </c>
      <c r="H68" s="15" t="s">
        <v>358</v>
      </c>
      <c r="I68" s="15" t="s">
        <v>70</v>
      </c>
    </row>
    <row r="69" hidden="1">
      <c r="A69" s="7" t="s">
        <v>390</v>
      </c>
      <c r="B69" s="7" t="s">
        <v>391</v>
      </c>
      <c r="C69" s="9">
        <v>2.0</v>
      </c>
      <c r="D69" s="9" t="s">
        <v>149</v>
      </c>
      <c r="E69" s="7" t="s">
        <v>392</v>
      </c>
      <c r="F69" s="10" t="s">
        <v>393</v>
      </c>
      <c r="G69" s="9">
        <v>4.0</v>
      </c>
      <c r="H69" s="9" t="s">
        <v>394</v>
      </c>
      <c r="I69" s="9" t="s">
        <v>70</v>
      </c>
    </row>
    <row r="70">
      <c r="A70" s="7" t="s">
        <v>395</v>
      </c>
      <c r="B70" s="7" t="s">
        <v>289</v>
      </c>
      <c r="C70" s="9">
        <v>1.0</v>
      </c>
      <c r="D70" s="9" t="s">
        <v>396</v>
      </c>
      <c r="E70" s="7"/>
      <c r="F70" s="10" t="s">
        <v>397</v>
      </c>
      <c r="G70" s="9">
        <v>2.0</v>
      </c>
      <c r="H70" s="9" t="s">
        <v>379</v>
      </c>
      <c r="I70" s="9" t="s">
        <v>26</v>
      </c>
      <c r="J70" s="11" t="s">
        <v>398</v>
      </c>
      <c r="K70" s="13" t="s">
        <v>399</v>
      </c>
    </row>
    <row r="71">
      <c r="A71" s="7" t="s">
        <v>400</v>
      </c>
      <c r="B71" s="7" t="s">
        <v>289</v>
      </c>
      <c r="C71" s="9">
        <v>1.0</v>
      </c>
      <c r="D71" s="9" t="s">
        <v>401</v>
      </c>
      <c r="E71" s="7" t="s">
        <v>402</v>
      </c>
      <c r="F71" s="10" t="s">
        <v>403</v>
      </c>
      <c r="G71" s="9">
        <v>5.0</v>
      </c>
      <c r="H71" s="9" t="s">
        <v>404</v>
      </c>
      <c r="I71" s="9" t="s">
        <v>32</v>
      </c>
      <c r="J71" s="11" t="s">
        <v>405</v>
      </c>
      <c r="K71" s="41" t="s">
        <v>406</v>
      </c>
    </row>
    <row r="72" hidden="1">
      <c r="A72" s="16" t="s">
        <v>407</v>
      </c>
      <c r="B72" s="16" t="s">
        <v>391</v>
      </c>
      <c r="C72" s="15">
        <v>2.0</v>
      </c>
      <c r="D72" s="15" t="s">
        <v>408</v>
      </c>
      <c r="E72" s="16" t="s">
        <v>409</v>
      </c>
      <c r="F72" s="17" t="s">
        <v>410</v>
      </c>
      <c r="G72" s="15">
        <v>6.0</v>
      </c>
      <c r="H72" s="15" t="s">
        <v>411</v>
      </c>
      <c r="I72" s="15" t="s">
        <v>70</v>
      </c>
    </row>
    <row r="73">
      <c r="A73" s="7" t="s">
        <v>412</v>
      </c>
      <c r="B73" s="7" t="s">
        <v>317</v>
      </c>
      <c r="C73" s="9">
        <v>1.0</v>
      </c>
      <c r="D73" s="9" t="s">
        <v>335</v>
      </c>
      <c r="E73" s="7" t="s">
        <v>413</v>
      </c>
      <c r="F73" s="10" t="s">
        <v>414</v>
      </c>
      <c r="G73" s="9">
        <v>3.0</v>
      </c>
      <c r="H73" s="9" t="s">
        <v>350</v>
      </c>
      <c r="I73" s="9" t="s">
        <v>70</v>
      </c>
      <c r="J73" s="11" t="s">
        <v>415</v>
      </c>
      <c r="K73" s="13" t="s">
        <v>416</v>
      </c>
    </row>
    <row r="74" hidden="1">
      <c r="A74" s="16" t="s">
        <v>417</v>
      </c>
      <c r="B74" s="42" t="s">
        <v>418</v>
      </c>
      <c r="C74" s="15">
        <v>2.0</v>
      </c>
      <c r="D74" s="15" t="s">
        <v>37</v>
      </c>
      <c r="E74" s="16" t="s">
        <v>419</v>
      </c>
      <c r="F74" s="17" t="s">
        <v>420</v>
      </c>
      <c r="G74" s="15">
        <v>2.0</v>
      </c>
      <c r="H74" s="9" t="s">
        <v>421</v>
      </c>
      <c r="I74" s="9" t="s">
        <v>26</v>
      </c>
    </row>
    <row r="75">
      <c r="A75" s="7" t="s">
        <v>422</v>
      </c>
      <c r="B75" s="7" t="s">
        <v>317</v>
      </c>
      <c r="C75" s="9">
        <v>1.0</v>
      </c>
      <c r="D75" s="9" t="s">
        <v>423</v>
      </c>
      <c r="E75" s="7"/>
      <c r="F75" s="10" t="s">
        <v>424</v>
      </c>
      <c r="G75" s="9">
        <v>2.0</v>
      </c>
      <c r="H75" s="9" t="s">
        <v>425</v>
      </c>
      <c r="I75" s="9" t="s">
        <v>26</v>
      </c>
      <c r="J75" s="11" t="s">
        <v>426</v>
      </c>
      <c r="K75" s="13" t="s">
        <v>427</v>
      </c>
    </row>
    <row r="76" hidden="1">
      <c r="A76" s="7" t="s">
        <v>428</v>
      </c>
      <c r="B76" s="43" t="s">
        <v>418</v>
      </c>
      <c r="C76" s="9">
        <v>2.0</v>
      </c>
      <c r="D76" s="9" t="s">
        <v>335</v>
      </c>
      <c r="E76" s="7" t="s">
        <v>429</v>
      </c>
      <c r="F76" s="10" t="s">
        <v>430</v>
      </c>
      <c r="G76" s="9">
        <v>4.0</v>
      </c>
      <c r="H76" s="9" t="s">
        <v>431</v>
      </c>
      <c r="I76" s="9" t="s">
        <v>70</v>
      </c>
    </row>
    <row r="77" hidden="1">
      <c r="A77" s="16" t="s">
        <v>432</v>
      </c>
      <c r="B77" s="44" t="s">
        <v>418</v>
      </c>
      <c r="C77" s="15">
        <v>2.0</v>
      </c>
      <c r="D77" s="15" t="s">
        <v>433</v>
      </c>
      <c r="E77" s="16" t="s">
        <v>434</v>
      </c>
      <c r="F77" s="17" t="s">
        <v>435</v>
      </c>
      <c r="G77" s="15">
        <v>3.0</v>
      </c>
      <c r="H77" s="15" t="s">
        <v>421</v>
      </c>
      <c r="I77" s="15" t="s">
        <v>26</v>
      </c>
    </row>
    <row r="78" hidden="1">
      <c r="A78" s="22" t="s">
        <v>436</v>
      </c>
      <c r="B78" s="43" t="s">
        <v>418</v>
      </c>
      <c r="C78" s="9">
        <v>2.0</v>
      </c>
      <c r="D78" s="9" t="s">
        <v>238</v>
      </c>
      <c r="E78" s="7" t="s">
        <v>437</v>
      </c>
      <c r="F78" s="10" t="s">
        <v>438</v>
      </c>
      <c r="G78" s="9">
        <v>2.0</v>
      </c>
      <c r="H78" s="9" t="s">
        <v>439</v>
      </c>
      <c r="I78" s="9" t="s">
        <v>32</v>
      </c>
    </row>
    <row r="79">
      <c r="A79" s="16" t="s">
        <v>440</v>
      </c>
      <c r="B79" s="16" t="s">
        <v>317</v>
      </c>
      <c r="C79" s="15">
        <v>1.0</v>
      </c>
      <c r="D79" s="15" t="s">
        <v>250</v>
      </c>
      <c r="E79" s="16" t="s">
        <v>441</v>
      </c>
      <c r="F79" s="17" t="s">
        <v>442</v>
      </c>
      <c r="G79" s="15">
        <v>4.0</v>
      </c>
      <c r="H79" s="15" t="s">
        <v>443</v>
      </c>
      <c r="I79" s="15" t="s">
        <v>32</v>
      </c>
      <c r="J79" s="11" t="s">
        <v>444</v>
      </c>
      <c r="K79" s="13" t="s">
        <v>445</v>
      </c>
    </row>
    <row r="80" hidden="1">
      <c r="A80" s="16" t="s">
        <v>446</v>
      </c>
      <c r="B80" s="45" t="s">
        <v>418</v>
      </c>
      <c r="C80" s="15">
        <v>2.0</v>
      </c>
      <c r="D80" s="15" t="s">
        <v>447</v>
      </c>
      <c r="E80" s="16" t="s">
        <v>448</v>
      </c>
      <c r="F80" s="17" t="s">
        <v>449</v>
      </c>
      <c r="G80" s="15">
        <v>3.0</v>
      </c>
      <c r="H80" s="15" t="s">
        <v>421</v>
      </c>
      <c r="I80" s="15" t="s">
        <v>26</v>
      </c>
    </row>
    <row r="81">
      <c r="A81" s="7" t="s">
        <v>450</v>
      </c>
      <c r="B81" s="7" t="s">
        <v>355</v>
      </c>
      <c r="C81" s="9">
        <v>1.0</v>
      </c>
      <c r="D81" s="9" t="s">
        <v>451</v>
      </c>
      <c r="E81" s="16" t="s">
        <v>452</v>
      </c>
      <c r="F81" s="17" t="s">
        <v>453</v>
      </c>
      <c r="G81" s="9">
        <v>3.0</v>
      </c>
      <c r="H81" s="9" t="s">
        <v>454</v>
      </c>
      <c r="I81" s="9" t="s">
        <v>70</v>
      </c>
      <c r="J81" s="11" t="s">
        <v>455</v>
      </c>
      <c r="K81" s="13" t="s">
        <v>456</v>
      </c>
    </row>
    <row r="82">
      <c r="A82" s="7" t="s">
        <v>457</v>
      </c>
      <c r="B82" s="7" t="s">
        <v>355</v>
      </c>
      <c r="C82" s="9">
        <v>1.0</v>
      </c>
      <c r="D82" s="9" t="s">
        <v>458</v>
      </c>
      <c r="E82" s="7"/>
      <c r="F82" s="10" t="s">
        <v>459</v>
      </c>
      <c r="G82" s="9">
        <v>2.0</v>
      </c>
      <c r="H82" s="9" t="s">
        <v>460</v>
      </c>
      <c r="I82" s="9" t="s">
        <v>26</v>
      </c>
      <c r="J82" s="11" t="s">
        <v>461</v>
      </c>
      <c r="K82" s="13" t="s">
        <v>462</v>
      </c>
      <c r="L82" s="13" t="s">
        <v>463</v>
      </c>
      <c r="M82" s="13" t="s">
        <v>464</v>
      </c>
    </row>
    <row r="83">
      <c r="A83" s="7" t="s">
        <v>465</v>
      </c>
      <c r="B83" s="7" t="s">
        <v>355</v>
      </c>
      <c r="C83" s="15">
        <v>1.0</v>
      </c>
      <c r="D83" s="9" t="s">
        <v>466</v>
      </c>
      <c r="E83" s="7" t="s">
        <v>467</v>
      </c>
      <c r="F83" s="10" t="s">
        <v>468</v>
      </c>
      <c r="G83" s="9">
        <v>0.0</v>
      </c>
      <c r="H83" s="9" t="s">
        <v>469</v>
      </c>
      <c r="I83" s="9" t="s">
        <v>32</v>
      </c>
      <c r="J83" s="11" t="s">
        <v>470</v>
      </c>
      <c r="K83" s="13" t="s">
        <v>471</v>
      </c>
    </row>
    <row r="84">
      <c r="A84" s="7" t="s">
        <v>472</v>
      </c>
      <c r="B84" s="7" t="s">
        <v>391</v>
      </c>
      <c r="C84" s="9">
        <v>1.0</v>
      </c>
      <c r="D84" s="9" t="s">
        <v>238</v>
      </c>
      <c r="E84" s="7" t="s">
        <v>473</v>
      </c>
      <c r="F84" s="10" t="s">
        <v>474</v>
      </c>
      <c r="G84" s="9">
        <v>3.0</v>
      </c>
      <c r="H84" s="9" t="s">
        <v>475</v>
      </c>
      <c r="I84" s="9" t="s">
        <v>70</v>
      </c>
      <c r="J84" s="11" t="s">
        <v>476</v>
      </c>
      <c r="K84" s="13" t="s">
        <v>477</v>
      </c>
      <c r="L84" s="13" t="s">
        <v>478</v>
      </c>
      <c r="M84" s="13" t="s">
        <v>479</v>
      </c>
      <c r="N84" s="13" t="s">
        <v>480</v>
      </c>
      <c r="O84" s="13" t="s">
        <v>481</v>
      </c>
      <c r="P84" s="13" t="s">
        <v>482</v>
      </c>
      <c r="Q84" s="13" t="s">
        <v>483</v>
      </c>
    </row>
    <row r="85">
      <c r="A85" s="7" t="s">
        <v>484</v>
      </c>
      <c r="B85" s="7" t="s">
        <v>391</v>
      </c>
      <c r="C85" s="9">
        <v>1.0</v>
      </c>
      <c r="D85" s="9" t="s">
        <v>396</v>
      </c>
      <c r="E85" s="7"/>
      <c r="F85" s="10" t="s">
        <v>485</v>
      </c>
      <c r="G85" s="9">
        <v>2.0</v>
      </c>
      <c r="H85" s="9" t="s">
        <v>486</v>
      </c>
      <c r="I85" s="9" t="s">
        <v>26</v>
      </c>
      <c r="J85" s="11" t="s">
        <v>487</v>
      </c>
      <c r="K85" s="13" t="s">
        <v>488</v>
      </c>
      <c r="L85" s="13" t="s">
        <v>489</v>
      </c>
      <c r="M85" s="13" t="s">
        <v>490</v>
      </c>
      <c r="N85" s="13" t="s">
        <v>491</v>
      </c>
      <c r="O85" s="13" t="s">
        <v>492</v>
      </c>
      <c r="P85" s="13" t="s">
        <v>493</v>
      </c>
      <c r="Q85" s="13" t="s">
        <v>494</v>
      </c>
      <c r="R85" s="13" t="s">
        <v>495</v>
      </c>
      <c r="S85" s="13" t="s">
        <v>496</v>
      </c>
      <c r="T85" s="13" t="s">
        <v>497</v>
      </c>
    </row>
    <row r="86">
      <c r="A86" s="7" t="s">
        <v>498</v>
      </c>
      <c r="B86" s="7" t="s">
        <v>391</v>
      </c>
      <c r="C86" s="9">
        <v>1.0</v>
      </c>
      <c r="D86" s="9" t="s">
        <v>28</v>
      </c>
      <c r="E86" s="7" t="s">
        <v>499</v>
      </c>
      <c r="F86" s="10" t="s">
        <v>500</v>
      </c>
      <c r="G86" s="9">
        <v>4.0</v>
      </c>
      <c r="H86" s="9" t="s">
        <v>501</v>
      </c>
      <c r="I86" s="9" t="s">
        <v>32</v>
      </c>
      <c r="J86" s="11" t="s">
        <v>502</v>
      </c>
      <c r="K86" s="13" t="s">
        <v>503</v>
      </c>
      <c r="L86" s="13" t="s">
        <v>504</v>
      </c>
      <c r="M86" s="13" t="s">
        <v>505</v>
      </c>
      <c r="N86" s="13" t="s">
        <v>506</v>
      </c>
      <c r="O86" s="13" t="s">
        <v>507</v>
      </c>
      <c r="P86" s="13" t="s">
        <v>508</v>
      </c>
      <c r="Q86" s="13" t="s">
        <v>509</v>
      </c>
      <c r="R86" s="13" t="s">
        <v>510</v>
      </c>
      <c r="S86" s="13" t="s">
        <v>511</v>
      </c>
      <c r="T86" s="13" t="s">
        <v>512</v>
      </c>
    </row>
    <row r="87" hidden="1">
      <c r="A87" s="16" t="s">
        <v>513</v>
      </c>
      <c r="B87" s="46" t="s">
        <v>418</v>
      </c>
      <c r="C87" s="15">
        <v>2.0</v>
      </c>
      <c r="D87" s="15" t="s">
        <v>514</v>
      </c>
      <c r="E87" s="16" t="s">
        <v>515</v>
      </c>
      <c r="F87" s="47" t="s">
        <v>516</v>
      </c>
      <c r="G87" s="9">
        <v>3.0</v>
      </c>
      <c r="H87" s="9" t="s">
        <v>517</v>
      </c>
      <c r="I87" s="9" t="s">
        <v>32</v>
      </c>
    </row>
    <row r="88" hidden="1">
      <c r="A88" s="7" t="s">
        <v>518</v>
      </c>
      <c r="B88" s="48" t="s">
        <v>418</v>
      </c>
      <c r="C88" s="9">
        <v>2.0</v>
      </c>
      <c r="D88" s="9" t="s">
        <v>519</v>
      </c>
      <c r="E88" s="16" t="s">
        <v>520</v>
      </c>
      <c r="F88" s="49" t="s">
        <v>521</v>
      </c>
      <c r="G88" s="9">
        <v>3.0</v>
      </c>
      <c r="H88" s="9" t="s">
        <v>522</v>
      </c>
      <c r="I88" s="9" t="s">
        <v>32</v>
      </c>
    </row>
    <row r="89">
      <c r="A89" s="16" t="s">
        <v>523</v>
      </c>
      <c r="B89" s="7" t="s">
        <v>418</v>
      </c>
      <c r="C89" s="9">
        <v>1.0</v>
      </c>
      <c r="D89" s="21" t="s">
        <v>433</v>
      </c>
      <c r="E89" s="16" t="s">
        <v>524</v>
      </c>
      <c r="F89" s="17" t="s">
        <v>525</v>
      </c>
      <c r="G89" s="21">
        <v>5.0</v>
      </c>
      <c r="H89" s="9" t="s">
        <v>526</v>
      </c>
      <c r="I89" s="21" t="s">
        <v>26</v>
      </c>
      <c r="J89" s="11" t="s">
        <v>527</v>
      </c>
      <c r="K89" s="13" t="s">
        <v>528</v>
      </c>
      <c r="L89" s="13" t="s">
        <v>529</v>
      </c>
      <c r="M89" s="13" t="s">
        <v>530</v>
      </c>
      <c r="N89" s="13" t="s">
        <v>531</v>
      </c>
      <c r="O89" s="13" t="s">
        <v>532</v>
      </c>
      <c r="P89" s="13" t="s">
        <v>533</v>
      </c>
      <c r="Q89" s="13" t="s">
        <v>534</v>
      </c>
      <c r="R89" s="13" t="s">
        <v>535</v>
      </c>
      <c r="S89" s="13" t="s">
        <v>536</v>
      </c>
      <c r="T89" s="13" t="s">
        <v>537</v>
      </c>
    </row>
    <row r="90">
      <c r="A90" s="22" t="s">
        <v>538</v>
      </c>
      <c r="B90" s="7" t="s">
        <v>418</v>
      </c>
      <c r="C90" s="9">
        <v>1.0</v>
      </c>
      <c r="D90" s="9" t="s">
        <v>539</v>
      </c>
      <c r="E90" s="7" t="s">
        <v>540</v>
      </c>
      <c r="F90" s="10" t="s">
        <v>541</v>
      </c>
      <c r="G90" s="9">
        <v>1.0</v>
      </c>
      <c r="H90" s="9" t="s">
        <v>439</v>
      </c>
      <c r="I90" s="9" t="s">
        <v>26</v>
      </c>
      <c r="J90" s="11" t="s">
        <v>542</v>
      </c>
      <c r="K90" s="13" t="s">
        <v>543</v>
      </c>
      <c r="L90" s="13" t="s">
        <v>544</v>
      </c>
      <c r="M90" s="13" t="s">
        <v>545</v>
      </c>
      <c r="N90" s="13" t="s">
        <v>546</v>
      </c>
      <c r="O90" s="13" t="s">
        <v>547</v>
      </c>
      <c r="P90" s="13" t="s">
        <v>548</v>
      </c>
      <c r="Q90" s="13" t="s">
        <v>549</v>
      </c>
      <c r="R90" s="12" t="s">
        <v>550</v>
      </c>
      <c r="S90" s="13" t="s">
        <v>551</v>
      </c>
      <c r="T90" s="13" t="s">
        <v>552</v>
      </c>
    </row>
    <row r="91">
      <c r="A91" s="16" t="s">
        <v>553</v>
      </c>
      <c r="B91" s="7" t="s">
        <v>418</v>
      </c>
      <c r="C91" s="9">
        <v>1.0</v>
      </c>
      <c r="D91" s="9" t="s">
        <v>37</v>
      </c>
      <c r="E91" s="7" t="s">
        <v>554</v>
      </c>
      <c r="F91" s="10" t="s">
        <v>555</v>
      </c>
      <c r="G91" s="9">
        <v>1.0</v>
      </c>
      <c r="H91" s="50" t="s">
        <v>439</v>
      </c>
      <c r="I91" s="9" t="s">
        <v>26</v>
      </c>
      <c r="J91" s="11" t="s">
        <v>556</v>
      </c>
      <c r="K91" s="13" t="s">
        <v>557</v>
      </c>
      <c r="L91" s="13" t="s">
        <v>558</v>
      </c>
      <c r="M91" s="13" t="s">
        <v>559</v>
      </c>
      <c r="N91" s="13" t="s">
        <v>560</v>
      </c>
      <c r="O91" s="13" t="s">
        <v>561</v>
      </c>
      <c r="P91" s="13" t="s">
        <v>562</v>
      </c>
      <c r="Q91" s="13" t="s">
        <v>563</v>
      </c>
      <c r="R91" s="13" t="s">
        <v>564</v>
      </c>
      <c r="S91" s="13" t="s">
        <v>565</v>
      </c>
      <c r="T91" s="13" t="s">
        <v>566</v>
      </c>
    </row>
    <row r="92">
      <c r="A92" s="22" t="s">
        <v>567</v>
      </c>
      <c r="B92" s="7" t="s">
        <v>418</v>
      </c>
      <c r="C92" s="9">
        <v>1.0</v>
      </c>
      <c r="D92" s="9" t="s">
        <v>568</v>
      </c>
      <c r="E92" s="7" t="s">
        <v>569</v>
      </c>
      <c r="F92" s="10" t="s">
        <v>570</v>
      </c>
      <c r="G92" s="9">
        <v>5.0</v>
      </c>
      <c r="H92" s="9" t="s">
        <v>571</v>
      </c>
      <c r="I92" s="9" t="s">
        <v>26</v>
      </c>
      <c r="J92" s="11" t="s">
        <v>572</v>
      </c>
      <c r="K92" s="13" t="s">
        <v>573</v>
      </c>
      <c r="L92" s="13" t="s">
        <v>574</v>
      </c>
      <c r="M92" s="13" t="s">
        <v>575</v>
      </c>
      <c r="N92" s="13" t="s">
        <v>576</v>
      </c>
      <c r="O92" s="13" t="s">
        <v>577</v>
      </c>
      <c r="P92" s="13" t="s">
        <v>578</v>
      </c>
      <c r="Q92" s="13" t="s">
        <v>579</v>
      </c>
      <c r="R92" s="13" t="s">
        <v>580</v>
      </c>
      <c r="S92" s="13" t="s">
        <v>581</v>
      </c>
      <c r="T92" s="13" t="s">
        <v>582</v>
      </c>
    </row>
    <row r="93" hidden="1">
      <c r="A93" s="16" t="s">
        <v>583</v>
      </c>
      <c r="B93" s="45" t="s">
        <v>418</v>
      </c>
      <c r="C93" s="15">
        <v>0.0</v>
      </c>
      <c r="D93" s="15" t="s">
        <v>220</v>
      </c>
      <c r="E93" s="16" t="s">
        <v>584</v>
      </c>
      <c r="F93" s="17" t="s">
        <v>585</v>
      </c>
      <c r="G93" s="15">
        <v>2.0</v>
      </c>
      <c r="H93" s="15" t="s">
        <v>586</v>
      </c>
      <c r="I93" s="15" t="s">
        <v>70</v>
      </c>
    </row>
    <row r="94" hidden="1">
      <c r="A94" s="16" t="s">
        <v>587</v>
      </c>
      <c r="B94" s="45" t="s">
        <v>418</v>
      </c>
      <c r="C94" s="15">
        <v>2.0</v>
      </c>
      <c r="D94" s="15" t="s">
        <v>588</v>
      </c>
      <c r="E94" s="16" t="s">
        <v>589</v>
      </c>
      <c r="F94" s="17" t="s">
        <v>590</v>
      </c>
      <c r="G94" s="15">
        <v>1.0</v>
      </c>
      <c r="H94" s="15" t="s">
        <v>421</v>
      </c>
      <c r="I94" s="15" t="s">
        <v>26</v>
      </c>
    </row>
    <row r="95" hidden="1">
      <c r="A95" s="24" t="s">
        <v>591</v>
      </c>
      <c r="B95" s="48" t="s">
        <v>418</v>
      </c>
      <c r="C95" s="9">
        <v>2.0</v>
      </c>
      <c r="D95" s="21" t="s">
        <v>408</v>
      </c>
      <c r="E95" s="16" t="s">
        <v>592</v>
      </c>
      <c r="F95" s="10" t="s">
        <v>593</v>
      </c>
      <c r="G95" s="9">
        <v>2.0</v>
      </c>
      <c r="H95" s="9" t="s">
        <v>586</v>
      </c>
      <c r="I95" s="21" t="s">
        <v>26</v>
      </c>
    </row>
    <row r="96">
      <c r="A96" s="7" t="s">
        <v>594</v>
      </c>
      <c r="B96" s="7" t="s">
        <v>418</v>
      </c>
      <c r="C96" s="9">
        <v>1.0</v>
      </c>
      <c r="D96" s="9" t="s">
        <v>408</v>
      </c>
      <c r="E96" s="7" t="s">
        <v>595</v>
      </c>
      <c r="F96" s="10" t="s">
        <v>596</v>
      </c>
      <c r="G96" s="9">
        <v>1.0</v>
      </c>
      <c r="H96" s="9" t="s">
        <v>586</v>
      </c>
      <c r="I96" s="9" t="s">
        <v>26</v>
      </c>
      <c r="J96" s="11" t="s">
        <v>597</v>
      </c>
      <c r="K96" s="13" t="s">
        <v>598</v>
      </c>
      <c r="L96" s="13" t="s">
        <v>599</v>
      </c>
      <c r="M96" s="13" t="s">
        <v>600</v>
      </c>
      <c r="N96" s="13" t="s">
        <v>601</v>
      </c>
      <c r="O96" s="13" t="s">
        <v>602</v>
      </c>
      <c r="P96" s="13" t="s">
        <v>603</v>
      </c>
      <c r="Q96" s="13" t="s">
        <v>604</v>
      </c>
      <c r="R96" s="13" t="s">
        <v>605</v>
      </c>
      <c r="S96" s="13" t="s">
        <v>606</v>
      </c>
      <c r="T96" s="13" t="s">
        <v>607</v>
      </c>
    </row>
    <row r="97">
      <c r="A97" s="24" t="s">
        <v>608</v>
      </c>
      <c r="B97" s="7" t="s">
        <v>418</v>
      </c>
      <c r="C97" s="9">
        <v>1.0</v>
      </c>
      <c r="D97" s="21" t="s">
        <v>433</v>
      </c>
      <c r="E97" s="7" t="s">
        <v>609</v>
      </c>
      <c r="F97" s="10" t="s">
        <v>610</v>
      </c>
      <c r="G97" s="9">
        <v>2.0</v>
      </c>
      <c r="H97" s="9" t="s">
        <v>439</v>
      </c>
      <c r="I97" s="21" t="s">
        <v>26</v>
      </c>
      <c r="J97" s="11" t="s">
        <v>611</v>
      </c>
      <c r="K97" s="13" t="s">
        <v>612</v>
      </c>
      <c r="L97" s="13" t="s">
        <v>613</v>
      </c>
      <c r="M97" s="13" t="s">
        <v>614</v>
      </c>
      <c r="N97" s="13" t="s">
        <v>615</v>
      </c>
    </row>
    <row r="98">
      <c r="A98" s="7" t="s">
        <v>616</v>
      </c>
      <c r="B98" s="7" t="s">
        <v>418</v>
      </c>
      <c r="C98" s="9">
        <v>1.0</v>
      </c>
      <c r="D98" s="9" t="s">
        <v>408</v>
      </c>
      <c r="E98" s="7" t="s">
        <v>617</v>
      </c>
      <c r="F98" s="10" t="s">
        <v>618</v>
      </c>
      <c r="G98" s="9">
        <v>3.0</v>
      </c>
      <c r="H98" s="9" t="s">
        <v>522</v>
      </c>
      <c r="I98" s="15" t="s">
        <v>26</v>
      </c>
      <c r="J98" s="11" t="s">
        <v>619</v>
      </c>
      <c r="K98" s="13" t="s">
        <v>620</v>
      </c>
      <c r="L98" s="13" t="s">
        <v>621</v>
      </c>
      <c r="M98" s="13" t="s">
        <v>622</v>
      </c>
      <c r="N98" s="13" t="s">
        <v>623</v>
      </c>
      <c r="O98" s="13" t="s">
        <v>624</v>
      </c>
      <c r="P98" s="13" t="s">
        <v>625</v>
      </c>
      <c r="Q98" s="13" t="s">
        <v>626</v>
      </c>
      <c r="R98" s="13" t="s">
        <v>627</v>
      </c>
      <c r="S98" s="13" t="s">
        <v>628</v>
      </c>
      <c r="T98" s="13" t="s">
        <v>629</v>
      </c>
    </row>
    <row r="99" hidden="1">
      <c r="A99" s="7" t="s">
        <v>630</v>
      </c>
      <c r="B99" s="43" t="s">
        <v>418</v>
      </c>
      <c r="C99" s="9">
        <v>2.0</v>
      </c>
      <c r="D99" s="9" t="s">
        <v>631</v>
      </c>
      <c r="E99" s="7" t="s">
        <v>632</v>
      </c>
      <c r="F99" s="10" t="s">
        <v>633</v>
      </c>
      <c r="G99" s="9">
        <v>5.0</v>
      </c>
      <c r="H99" s="9" t="s">
        <v>634</v>
      </c>
      <c r="I99" s="15" t="s">
        <v>70</v>
      </c>
    </row>
    <row r="100">
      <c r="A100" s="16" t="s">
        <v>635</v>
      </c>
      <c r="B100" s="7" t="s">
        <v>418</v>
      </c>
      <c r="C100" s="9">
        <v>1.0</v>
      </c>
      <c r="D100" s="9" t="s">
        <v>588</v>
      </c>
      <c r="E100" s="7" t="s">
        <v>636</v>
      </c>
      <c r="F100" s="17" t="s">
        <v>637</v>
      </c>
      <c r="G100" s="9">
        <v>4.0</v>
      </c>
      <c r="H100" s="9" t="s">
        <v>638</v>
      </c>
      <c r="I100" s="9" t="s">
        <v>26</v>
      </c>
      <c r="J100" s="11" t="s">
        <v>639</v>
      </c>
      <c r="K100" s="13" t="s">
        <v>640</v>
      </c>
      <c r="L100" s="13" t="s">
        <v>641</v>
      </c>
      <c r="M100" s="13" t="s">
        <v>642</v>
      </c>
      <c r="N100" s="13" t="s">
        <v>643</v>
      </c>
      <c r="O100" s="13" t="s">
        <v>644</v>
      </c>
      <c r="P100" s="13" t="s">
        <v>645</v>
      </c>
      <c r="Q100" s="13" t="s">
        <v>646</v>
      </c>
      <c r="R100" s="13" t="s">
        <v>647</v>
      </c>
      <c r="S100" s="13" t="s">
        <v>648</v>
      </c>
      <c r="T100" s="13" t="s">
        <v>649</v>
      </c>
    </row>
    <row r="101" hidden="1">
      <c r="A101" s="16" t="s">
        <v>650</v>
      </c>
      <c r="B101" s="45" t="s">
        <v>418</v>
      </c>
      <c r="C101" s="15">
        <v>2.0</v>
      </c>
      <c r="D101" s="15" t="s">
        <v>651</v>
      </c>
      <c r="E101" s="16" t="s">
        <v>652</v>
      </c>
      <c r="F101" s="17" t="s">
        <v>389</v>
      </c>
      <c r="G101" s="15">
        <v>3.0</v>
      </c>
      <c r="H101" s="15" t="s">
        <v>421</v>
      </c>
      <c r="I101" s="9" t="s">
        <v>70</v>
      </c>
    </row>
    <row r="102" hidden="1">
      <c r="A102" s="22" t="s">
        <v>653</v>
      </c>
      <c r="B102" s="43" t="s">
        <v>418</v>
      </c>
      <c r="C102" s="9">
        <v>2.0</v>
      </c>
      <c r="D102" s="9" t="s">
        <v>654</v>
      </c>
      <c r="E102" s="7" t="s">
        <v>655</v>
      </c>
      <c r="F102" s="10" t="s">
        <v>656</v>
      </c>
      <c r="G102" s="9">
        <v>2.0</v>
      </c>
      <c r="H102" s="9" t="s">
        <v>421</v>
      </c>
      <c r="I102" s="9" t="s">
        <v>70</v>
      </c>
    </row>
    <row r="103" hidden="1">
      <c r="A103" s="51" t="s">
        <v>657</v>
      </c>
      <c r="B103" s="52" t="s">
        <v>418</v>
      </c>
      <c r="C103" s="53">
        <v>0.0</v>
      </c>
      <c r="D103" s="53" t="s">
        <v>297</v>
      </c>
      <c r="E103" s="54" t="s">
        <v>658</v>
      </c>
      <c r="F103" s="55" t="s">
        <v>659</v>
      </c>
      <c r="G103" s="56">
        <v>2.0</v>
      </c>
      <c r="H103" s="53" t="s">
        <v>586</v>
      </c>
      <c r="I103" s="56" t="s">
        <v>26</v>
      </c>
    </row>
    <row r="104" hidden="1">
      <c r="A104" s="7" t="s">
        <v>660</v>
      </c>
      <c r="B104" s="48" t="s">
        <v>418</v>
      </c>
      <c r="C104" s="9">
        <v>2.0</v>
      </c>
      <c r="D104" s="9" t="s">
        <v>661</v>
      </c>
      <c r="E104" s="7" t="s">
        <v>662</v>
      </c>
      <c r="F104" s="10" t="s">
        <v>663</v>
      </c>
      <c r="G104" s="9">
        <v>1.0</v>
      </c>
      <c r="H104" s="9" t="s">
        <v>439</v>
      </c>
      <c r="I104" s="9" t="s">
        <v>26</v>
      </c>
    </row>
    <row r="105" hidden="1">
      <c r="A105" s="16" t="s">
        <v>664</v>
      </c>
      <c r="B105" s="45" t="s">
        <v>418</v>
      </c>
      <c r="C105" s="15">
        <v>2.0</v>
      </c>
      <c r="D105" s="15" t="s">
        <v>335</v>
      </c>
      <c r="E105" s="16" t="s">
        <v>665</v>
      </c>
      <c r="F105" s="17" t="s">
        <v>389</v>
      </c>
      <c r="G105" s="15">
        <v>4.0</v>
      </c>
      <c r="H105" s="15" t="s">
        <v>638</v>
      </c>
      <c r="I105" s="15" t="s">
        <v>26</v>
      </c>
    </row>
    <row r="106" hidden="1">
      <c r="A106" s="16" t="s">
        <v>666</v>
      </c>
      <c r="B106" s="16" t="s">
        <v>418</v>
      </c>
      <c r="C106" s="15">
        <v>2.0</v>
      </c>
      <c r="D106" s="15" t="s">
        <v>519</v>
      </c>
      <c r="E106" s="16" t="s">
        <v>667</v>
      </c>
      <c r="F106" s="17" t="s">
        <v>668</v>
      </c>
      <c r="G106" s="15">
        <v>3.0</v>
      </c>
      <c r="H106" s="15" t="s">
        <v>517</v>
      </c>
      <c r="I106" s="15" t="s">
        <v>32</v>
      </c>
    </row>
    <row r="107">
      <c r="A107" s="16" t="s">
        <v>669</v>
      </c>
      <c r="B107" s="16" t="s">
        <v>418</v>
      </c>
      <c r="C107" s="15">
        <v>1.0</v>
      </c>
      <c r="D107" s="15" t="s">
        <v>408</v>
      </c>
      <c r="E107" s="16" t="s">
        <v>670</v>
      </c>
      <c r="F107" s="34"/>
      <c r="G107" s="15">
        <v>3.0</v>
      </c>
      <c r="H107" s="15" t="s">
        <v>638</v>
      </c>
      <c r="I107" s="15" t="s">
        <v>26</v>
      </c>
      <c r="J107" s="11" t="s">
        <v>671</v>
      </c>
      <c r="K107" s="13" t="s">
        <v>672</v>
      </c>
      <c r="L107" s="13" t="s">
        <v>673</v>
      </c>
      <c r="M107" s="13" t="s">
        <v>674</v>
      </c>
      <c r="N107" s="13" t="s">
        <v>675</v>
      </c>
      <c r="O107" s="13" t="s">
        <v>676</v>
      </c>
      <c r="P107" s="13" t="s">
        <v>677</v>
      </c>
      <c r="Q107" s="13" t="s">
        <v>678</v>
      </c>
      <c r="R107" s="13" t="s">
        <v>679</v>
      </c>
      <c r="S107" s="13" t="s">
        <v>680</v>
      </c>
      <c r="T107" s="13" t="s">
        <v>681</v>
      </c>
    </row>
    <row r="108">
      <c r="A108" s="16" t="s">
        <v>682</v>
      </c>
      <c r="B108" s="16" t="s">
        <v>418</v>
      </c>
      <c r="C108" s="15">
        <v>1.0</v>
      </c>
      <c r="D108" s="15" t="s">
        <v>302</v>
      </c>
      <c r="E108" s="57" t="s">
        <v>683</v>
      </c>
      <c r="F108" s="17" t="s">
        <v>389</v>
      </c>
      <c r="G108" s="15">
        <v>3.0</v>
      </c>
      <c r="H108" s="15" t="s">
        <v>421</v>
      </c>
      <c r="I108" s="15" t="s">
        <v>26</v>
      </c>
      <c r="J108" s="11" t="s">
        <v>684</v>
      </c>
      <c r="K108" s="13" t="s">
        <v>685</v>
      </c>
      <c r="L108" s="13" t="s">
        <v>686</v>
      </c>
      <c r="M108" s="13" t="s">
        <v>687</v>
      </c>
      <c r="N108" s="13" t="s">
        <v>688</v>
      </c>
      <c r="O108" s="13" t="s">
        <v>689</v>
      </c>
      <c r="P108" s="13" t="s">
        <v>690</v>
      </c>
      <c r="Q108" s="13" t="s">
        <v>691</v>
      </c>
      <c r="R108" s="13" t="s">
        <v>692</v>
      </c>
      <c r="S108" s="13" t="s">
        <v>693</v>
      </c>
      <c r="T108" s="13" t="s">
        <v>694</v>
      </c>
    </row>
    <row r="109" hidden="1">
      <c r="A109" s="16" t="s">
        <v>695</v>
      </c>
      <c r="B109" s="45" t="s">
        <v>418</v>
      </c>
      <c r="C109" s="15">
        <v>2.0</v>
      </c>
      <c r="D109" s="15" t="s">
        <v>696</v>
      </c>
      <c r="E109" s="16" t="s">
        <v>275</v>
      </c>
      <c r="F109" s="17" t="s">
        <v>697</v>
      </c>
      <c r="G109" s="15">
        <v>2.0</v>
      </c>
      <c r="H109" s="15" t="s">
        <v>586</v>
      </c>
      <c r="I109" s="15" t="s">
        <v>26</v>
      </c>
    </row>
    <row r="110">
      <c r="A110" s="24" t="s">
        <v>698</v>
      </c>
      <c r="B110" s="7" t="s">
        <v>418</v>
      </c>
      <c r="C110" s="9">
        <v>1.0</v>
      </c>
      <c r="D110" s="9" t="s">
        <v>335</v>
      </c>
      <c r="E110" s="7" t="s">
        <v>699</v>
      </c>
      <c r="F110" s="10" t="s">
        <v>700</v>
      </c>
      <c r="G110" s="9">
        <v>2.0</v>
      </c>
      <c r="H110" s="9" t="s">
        <v>638</v>
      </c>
      <c r="I110" s="21" t="s">
        <v>26</v>
      </c>
      <c r="J110" s="11" t="s">
        <v>701</v>
      </c>
      <c r="K110" s="13" t="s">
        <v>702</v>
      </c>
      <c r="L110" s="13" t="s">
        <v>703</v>
      </c>
      <c r="M110" s="13" t="s">
        <v>704</v>
      </c>
      <c r="N110" s="13" t="s">
        <v>705</v>
      </c>
      <c r="O110" s="13" t="s">
        <v>706</v>
      </c>
      <c r="P110" s="13" t="s">
        <v>707</v>
      </c>
      <c r="Q110" s="13" t="s">
        <v>708</v>
      </c>
      <c r="R110" s="13" t="s">
        <v>709</v>
      </c>
      <c r="S110" s="13" t="s">
        <v>710</v>
      </c>
      <c r="T110" s="13" t="s">
        <v>711</v>
      </c>
    </row>
    <row r="111">
      <c r="A111" s="51" t="s">
        <v>712</v>
      </c>
      <c r="B111" s="16" t="s">
        <v>418</v>
      </c>
      <c r="C111" s="15">
        <v>1.0</v>
      </c>
      <c r="D111" s="15" t="s">
        <v>661</v>
      </c>
      <c r="E111" s="16" t="s">
        <v>713</v>
      </c>
      <c r="F111" s="58"/>
      <c r="G111" s="15">
        <v>2.0</v>
      </c>
      <c r="H111" s="15" t="s">
        <v>517</v>
      </c>
      <c r="I111" s="15" t="s">
        <v>32</v>
      </c>
      <c r="J111" s="11" t="s">
        <v>714</v>
      </c>
      <c r="K111" s="13" t="s">
        <v>715</v>
      </c>
      <c r="L111" s="13" t="s">
        <v>716</v>
      </c>
      <c r="M111" s="13" t="s">
        <v>717</v>
      </c>
      <c r="N111" s="13" t="s">
        <v>718</v>
      </c>
      <c r="O111" s="13" t="s">
        <v>719</v>
      </c>
      <c r="P111" s="13" t="s">
        <v>720</v>
      </c>
      <c r="Q111" s="13" t="s">
        <v>721</v>
      </c>
      <c r="R111" s="13" t="s">
        <v>722</v>
      </c>
      <c r="S111" s="13" t="s">
        <v>723</v>
      </c>
      <c r="T111" s="13" t="s">
        <v>724</v>
      </c>
    </row>
    <row r="112" hidden="1">
      <c r="A112" s="7" t="s">
        <v>725</v>
      </c>
      <c r="B112" s="48" t="s">
        <v>418</v>
      </c>
      <c r="C112" s="9">
        <v>2.0</v>
      </c>
      <c r="D112" s="9" t="s">
        <v>335</v>
      </c>
      <c r="E112" s="7" t="s">
        <v>726</v>
      </c>
      <c r="F112" s="10" t="s">
        <v>24</v>
      </c>
      <c r="G112" s="9">
        <v>1.0</v>
      </c>
      <c r="H112" s="9" t="s">
        <v>439</v>
      </c>
      <c r="I112" s="9" t="s">
        <v>26</v>
      </c>
    </row>
    <row r="113" hidden="1">
      <c r="A113" s="7" t="s">
        <v>727</v>
      </c>
      <c r="B113" s="59" t="s">
        <v>418</v>
      </c>
      <c r="C113" s="9">
        <v>0.0</v>
      </c>
      <c r="D113" s="9" t="s">
        <v>433</v>
      </c>
      <c r="E113" s="7" t="s">
        <v>728</v>
      </c>
      <c r="F113" s="10" t="s">
        <v>729</v>
      </c>
      <c r="G113" s="9">
        <v>3.0</v>
      </c>
      <c r="H113" s="9" t="s">
        <v>421</v>
      </c>
      <c r="I113" s="9" t="s">
        <v>26</v>
      </c>
    </row>
    <row r="114" hidden="1">
      <c r="A114" s="7" t="s">
        <v>730</v>
      </c>
      <c r="B114" s="25" t="s">
        <v>418</v>
      </c>
      <c r="C114" s="9">
        <v>2.0</v>
      </c>
      <c r="D114" s="9" t="s">
        <v>433</v>
      </c>
      <c r="E114" s="7" t="s">
        <v>731</v>
      </c>
      <c r="F114" s="10" t="s">
        <v>732</v>
      </c>
      <c r="G114" s="9">
        <v>2.0</v>
      </c>
      <c r="H114" s="9" t="s">
        <v>586</v>
      </c>
      <c r="I114" s="9" t="s">
        <v>26</v>
      </c>
      <c r="J114" s="11" t="s">
        <v>733</v>
      </c>
      <c r="K114" s="13" t="s">
        <v>734</v>
      </c>
      <c r="L114" s="13" t="s">
        <v>735</v>
      </c>
      <c r="M114" s="13" t="s">
        <v>736</v>
      </c>
      <c r="N114" s="13" t="s">
        <v>737</v>
      </c>
      <c r="O114" s="13" t="s">
        <v>738</v>
      </c>
      <c r="P114" s="13" t="s">
        <v>739</v>
      </c>
      <c r="Q114" s="13" t="s">
        <v>740</v>
      </c>
      <c r="R114" s="13" t="s">
        <v>741</v>
      </c>
      <c r="S114" s="13" t="s">
        <v>742</v>
      </c>
      <c r="T114" s="13" t="s">
        <v>743</v>
      </c>
    </row>
    <row r="115">
      <c r="A115" s="16" t="s">
        <v>744</v>
      </c>
      <c r="B115" s="25" t="s">
        <v>418</v>
      </c>
      <c r="C115" s="9">
        <v>1.0</v>
      </c>
      <c r="D115" s="9" t="s">
        <v>335</v>
      </c>
      <c r="E115" s="7" t="s">
        <v>745</v>
      </c>
      <c r="F115" s="10" t="s">
        <v>746</v>
      </c>
      <c r="G115" s="9">
        <v>2.0</v>
      </c>
      <c r="H115" s="9" t="s">
        <v>421</v>
      </c>
      <c r="I115" s="9" t="s">
        <v>70</v>
      </c>
      <c r="J115" s="11" t="s">
        <v>747</v>
      </c>
      <c r="K115" s="13" t="s">
        <v>748</v>
      </c>
      <c r="L115" s="13" t="s">
        <v>749</v>
      </c>
      <c r="M115" s="13" t="s">
        <v>750</v>
      </c>
      <c r="N115" s="13" t="s">
        <v>751</v>
      </c>
      <c r="O115" s="13" t="s">
        <v>752</v>
      </c>
      <c r="P115" s="13" t="s">
        <v>753</v>
      </c>
      <c r="Q115" s="13" t="s">
        <v>754</v>
      </c>
      <c r="R115" s="13" t="s">
        <v>755</v>
      </c>
      <c r="S115" s="13" t="s">
        <v>756</v>
      </c>
      <c r="T115" s="13" t="s">
        <v>757</v>
      </c>
    </row>
    <row r="116">
      <c r="A116" s="7" t="s">
        <v>758</v>
      </c>
      <c r="B116" s="25" t="s">
        <v>418</v>
      </c>
      <c r="C116" s="9">
        <v>1.0</v>
      </c>
      <c r="D116" s="9" t="s">
        <v>539</v>
      </c>
      <c r="E116" s="7" t="s">
        <v>759</v>
      </c>
      <c r="F116" s="10" t="s">
        <v>760</v>
      </c>
      <c r="G116" s="9">
        <v>3.0</v>
      </c>
      <c r="H116" s="9" t="s">
        <v>638</v>
      </c>
      <c r="I116" s="9" t="s">
        <v>70</v>
      </c>
      <c r="J116" s="11" t="s">
        <v>761</v>
      </c>
      <c r="K116" s="13" t="s">
        <v>762</v>
      </c>
      <c r="L116" s="13" t="s">
        <v>763</v>
      </c>
      <c r="M116" s="13" t="s">
        <v>764</v>
      </c>
      <c r="N116" s="13" t="s">
        <v>765</v>
      </c>
      <c r="O116" s="13" t="s">
        <v>766</v>
      </c>
      <c r="P116" s="13" t="s">
        <v>767</v>
      </c>
      <c r="Q116" s="13" t="s">
        <v>768</v>
      </c>
      <c r="R116" s="13" t="s">
        <v>769</v>
      </c>
      <c r="S116" s="13" t="s">
        <v>770</v>
      </c>
      <c r="T116" s="13" t="s">
        <v>771</v>
      </c>
    </row>
    <row r="117" hidden="1">
      <c r="A117" s="16" t="s">
        <v>772</v>
      </c>
      <c r="B117" s="44" t="s">
        <v>418</v>
      </c>
      <c r="C117" s="15">
        <v>2.0</v>
      </c>
      <c r="D117" s="15" t="s">
        <v>519</v>
      </c>
      <c r="E117" s="16" t="s">
        <v>773</v>
      </c>
      <c r="F117" s="17" t="s">
        <v>389</v>
      </c>
      <c r="G117" s="15">
        <v>4.0</v>
      </c>
      <c r="H117" s="15" t="s">
        <v>526</v>
      </c>
      <c r="I117" s="15" t="s">
        <v>32</v>
      </c>
    </row>
    <row r="118">
      <c r="A118" s="31" t="s">
        <v>774</v>
      </c>
      <c r="B118" s="40" t="s">
        <v>418</v>
      </c>
      <c r="C118" s="15">
        <v>1.0</v>
      </c>
      <c r="D118" s="15" t="s">
        <v>360</v>
      </c>
      <c r="E118" s="16" t="s">
        <v>775</v>
      </c>
      <c r="F118" s="17" t="s">
        <v>776</v>
      </c>
      <c r="G118" s="15">
        <v>4.0</v>
      </c>
      <c r="H118" s="15" t="s">
        <v>571</v>
      </c>
      <c r="I118" s="15" t="s">
        <v>70</v>
      </c>
      <c r="J118" s="11" t="s">
        <v>777</v>
      </c>
      <c r="K118" s="13" t="s">
        <v>778</v>
      </c>
      <c r="L118" s="13" t="s">
        <v>779</v>
      </c>
      <c r="M118" s="13" t="s">
        <v>780</v>
      </c>
      <c r="N118" s="13" t="s">
        <v>781</v>
      </c>
      <c r="O118" s="13" t="s">
        <v>782</v>
      </c>
      <c r="P118" s="13" t="s">
        <v>783</v>
      </c>
      <c r="Q118" s="13" t="s">
        <v>784</v>
      </c>
      <c r="R118" s="13" t="s">
        <v>785</v>
      </c>
      <c r="S118" s="13" t="s">
        <v>786</v>
      </c>
      <c r="T118" s="13" t="s">
        <v>787</v>
      </c>
    </row>
    <row r="119" hidden="1">
      <c r="A119" s="7" t="s">
        <v>788</v>
      </c>
      <c r="B119" s="60" t="s">
        <v>418</v>
      </c>
      <c r="C119" s="9">
        <v>2.0</v>
      </c>
      <c r="D119" s="9" t="s">
        <v>408</v>
      </c>
      <c r="E119" s="18" t="s">
        <v>789</v>
      </c>
      <c r="F119" s="47" t="s">
        <v>790</v>
      </c>
      <c r="G119" s="9">
        <v>5.0</v>
      </c>
      <c r="H119" s="9" t="s">
        <v>571</v>
      </c>
      <c r="I119" s="9" t="s">
        <v>32</v>
      </c>
    </row>
    <row r="120" hidden="1">
      <c r="A120" s="7" t="s">
        <v>791</v>
      </c>
      <c r="B120" s="61" t="s">
        <v>418</v>
      </c>
      <c r="C120" s="9">
        <v>2.0</v>
      </c>
      <c r="D120" s="9" t="s">
        <v>792</v>
      </c>
      <c r="E120" s="7" t="s">
        <v>793</v>
      </c>
      <c r="F120" s="10" t="s">
        <v>794</v>
      </c>
      <c r="G120" s="9">
        <v>4.0</v>
      </c>
      <c r="H120" s="9" t="s">
        <v>638</v>
      </c>
      <c r="I120" s="9" t="s">
        <v>70</v>
      </c>
    </row>
    <row r="121" hidden="1">
      <c r="A121" s="31" t="s">
        <v>795</v>
      </c>
      <c r="B121" s="40" t="s">
        <v>418</v>
      </c>
      <c r="C121" s="15">
        <v>2.0</v>
      </c>
      <c r="D121" s="15" t="s">
        <v>387</v>
      </c>
      <c r="E121" s="16" t="s">
        <v>796</v>
      </c>
      <c r="F121" s="17" t="s">
        <v>797</v>
      </c>
      <c r="G121" s="15">
        <v>3.0</v>
      </c>
      <c r="H121" s="15" t="s">
        <v>638</v>
      </c>
      <c r="I121" s="15" t="s">
        <v>70</v>
      </c>
    </row>
    <row r="122">
      <c r="A122" s="7" t="s">
        <v>798</v>
      </c>
      <c r="B122" s="25" t="s">
        <v>418</v>
      </c>
      <c r="C122" s="9">
        <v>1.0</v>
      </c>
      <c r="D122" s="9" t="s">
        <v>433</v>
      </c>
      <c r="E122" s="62" t="s">
        <v>799</v>
      </c>
      <c r="F122" s="63" t="s">
        <v>800</v>
      </c>
      <c r="G122" s="9">
        <v>5.0</v>
      </c>
      <c r="H122" s="9" t="s">
        <v>526</v>
      </c>
      <c r="I122" s="9" t="s">
        <v>70</v>
      </c>
      <c r="J122" s="11" t="s">
        <v>801</v>
      </c>
      <c r="K122" s="13" t="s">
        <v>802</v>
      </c>
      <c r="L122" s="13" t="s">
        <v>803</v>
      </c>
      <c r="M122" s="13" t="s">
        <v>804</v>
      </c>
      <c r="N122" s="13" t="s">
        <v>805</v>
      </c>
      <c r="O122" s="13" t="s">
        <v>806</v>
      </c>
      <c r="P122" s="13" t="s">
        <v>807</v>
      </c>
      <c r="Q122" s="13" t="s">
        <v>808</v>
      </c>
      <c r="R122" s="13" t="s">
        <v>809</v>
      </c>
      <c r="S122" s="13" t="s">
        <v>810</v>
      </c>
      <c r="T122" s="13" t="s">
        <v>811</v>
      </c>
    </row>
    <row r="123" hidden="1">
      <c r="A123" s="16" t="s">
        <v>812</v>
      </c>
      <c r="B123" s="44" t="s">
        <v>418</v>
      </c>
      <c r="C123" s="15">
        <v>2.0</v>
      </c>
      <c r="D123" s="15" t="s">
        <v>813</v>
      </c>
      <c r="E123" s="16" t="s">
        <v>814</v>
      </c>
      <c r="F123" s="34"/>
      <c r="G123" s="15">
        <v>3.0</v>
      </c>
      <c r="H123" s="15" t="s">
        <v>522</v>
      </c>
      <c r="I123" s="15" t="s">
        <v>32</v>
      </c>
    </row>
    <row r="124" hidden="1">
      <c r="A124" s="16" t="s">
        <v>815</v>
      </c>
      <c r="B124" s="42" t="s">
        <v>418</v>
      </c>
      <c r="C124" s="15">
        <v>2.0</v>
      </c>
      <c r="D124" s="15" t="s">
        <v>238</v>
      </c>
      <c r="E124" s="16" t="s">
        <v>816</v>
      </c>
      <c r="F124" s="17" t="s">
        <v>817</v>
      </c>
      <c r="G124" s="15">
        <v>3.0</v>
      </c>
      <c r="H124" s="9" t="s">
        <v>421</v>
      </c>
      <c r="I124" s="9" t="s">
        <v>26</v>
      </c>
    </row>
    <row r="125">
      <c r="A125" s="16" t="s">
        <v>818</v>
      </c>
      <c r="B125" s="40" t="s">
        <v>418</v>
      </c>
      <c r="C125" s="15">
        <v>1.0</v>
      </c>
      <c r="D125" s="15" t="s">
        <v>408</v>
      </c>
      <c r="E125" s="16" t="s">
        <v>819</v>
      </c>
      <c r="F125" s="17" t="s">
        <v>389</v>
      </c>
      <c r="G125" s="15">
        <v>3.0</v>
      </c>
      <c r="H125" s="15" t="s">
        <v>638</v>
      </c>
      <c r="I125" s="15" t="s">
        <v>70</v>
      </c>
      <c r="J125" s="11" t="s">
        <v>820</v>
      </c>
      <c r="K125" s="13" t="s">
        <v>821</v>
      </c>
      <c r="L125" s="13" t="s">
        <v>822</v>
      </c>
      <c r="M125" s="13" t="s">
        <v>823</v>
      </c>
      <c r="N125" s="13" t="s">
        <v>824</v>
      </c>
      <c r="O125" s="13" t="s">
        <v>825</v>
      </c>
      <c r="P125" s="13" t="s">
        <v>826</v>
      </c>
      <c r="Q125" s="13" t="s">
        <v>827</v>
      </c>
      <c r="R125" s="13" t="s">
        <v>828</v>
      </c>
      <c r="S125" s="13" t="s">
        <v>829</v>
      </c>
      <c r="T125" s="13" t="s">
        <v>830</v>
      </c>
    </row>
    <row r="126" hidden="1">
      <c r="A126" s="16" t="s">
        <v>831</v>
      </c>
      <c r="B126" s="44" t="s">
        <v>418</v>
      </c>
      <c r="C126" s="15">
        <v>2.0</v>
      </c>
      <c r="D126" s="15" t="s">
        <v>588</v>
      </c>
      <c r="E126" s="16" t="s">
        <v>832</v>
      </c>
      <c r="F126" s="17" t="s">
        <v>389</v>
      </c>
      <c r="G126" s="15">
        <v>4.0</v>
      </c>
      <c r="H126" s="15" t="s">
        <v>431</v>
      </c>
      <c r="I126" s="15" t="s">
        <v>70</v>
      </c>
    </row>
    <row r="127" hidden="1">
      <c r="A127" s="16" t="s">
        <v>833</v>
      </c>
      <c r="B127" s="44" t="s">
        <v>418</v>
      </c>
      <c r="C127" s="15">
        <v>2.0</v>
      </c>
      <c r="D127" s="15" t="s">
        <v>408</v>
      </c>
      <c r="E127" s="16" t="s">
        <v>834</v>
      </c>
      <c r="F127" s="34"/>
      <c r="G127" s="15">
        <v>5.0</v>
      </c>
      <c r="H127" s="15" t="s">
        <v>586</v>
      </c>
      <c r="I127" s="15" t="s">
        <v>26</v>
      </c>
    </row>
    <row r="128">
      <c r="A128" s="7" t="s">
        <v>835</v>
      </c>
      <c r="B128" s="25" t="s">
        <v>418</v>
      </c>
      <c r="C128" s="9">
        <v>1.0</v>
      </c>
      <c r="D128" s="15" t="s">
        <v>836</v>
      </c>
      <c r="E128" s="16" t="s">
        <v>837</v>
      </c>
      <c r="F128" s="17" t="s">
        <v>838</v>
      </c>
      <c r="G128" s="15">
        <v>6.0</v>
      </c>
      <c r="H128" s="15" t="s">
        <v>522</v>
      </c>
      <c r="I128" s="9" t="s">
        <v>70</v>
      </c>
      <c r="J128" s="11" t="s">
        <v>839</v>
      </c>
      <c r="K128" s="13" t="s">
        <v>840</v>
      </c>
      <c r="L128" s="13" t="s">
        <v>841</v>
      </c>
      <c r="M128" s="13" t="s">
        <v>842</v>
      </c>
      <c r="N128" s="13" t="s">
        <v>843</v>
      </c>
      <c r="O128" s="13" t="s">
        <v>844</v>
      </c>
      <c r="P128" s="13" t="s">
        <v>845</v>
      </c>
    </row>
    <row r="129">
      <c r="A129" s="28" t="s">
        <v>846</v>
      </c>
      <c r="B129" s="64" t="s">
        <v>418</v>
      </c>
      <c r="C129" s="53">
        <v>1.0</v>
      </c>
      <c r="D129" s="65" t="s">
        <v>149</v>
      </c>
      <c r="E129" s="29" t="s">
        <v>847</v>
      </c>
      <c r="F129" s="66" t="s">
        <v>838</v>
      </c>
      <c r="G129" s="65">
        <v>4.0</v>
      </c>
      <c r="H129" s="65" t="s">
        <v>526</v>
      </c>
      <c r="I129" s="67" t="s">
        <v>70</v>
      </c>
      <c r="J129" s="11" t="s">
        <v>848</v>
      </c>
      <c r="K129" s="13" t="s">
        <v>849</v>
      </c>
      <c r="L129" s="13" t="s">
        <v>850</v>
      </c>
      <c r="M129" s="13" t="s">
        <v>851</v>
      </c>
      <c r="N129" s="13" t="s">
        <v>852</v>
      </c>
      <c r="O129" s="13" t="s">
        <v>853</v>
      </c>
      <c r="P129" s="13" t="s">
        <v>854</v>
      </c>
      <c r="Q129" s="13" t="s">
        <v>855</v>
      </c>
      <c r="R129" s="13" t="s">
        <v>856</v>
      </c>
      <c r="S129" s="13" t="s">
        <v>857</v>
      </c>
      <c r="T129" s="13" t="s">
        <v>858</v>
      </c>
    </row>
    <row r="130">
      <c r="A130" s="24" t="s">
        <v>859</v>
      </c>
      <c r="B130" s="25" t="s">
        <v>418</v>
      </c>
      <c r="C130" s="9">
        <v>1.0</v>
      </c>
      <c r="D130" s="9" t="s">
        <v>451</v>
      </c>
      <c r="E130" s="16" t="s">
        <v>860</v>
      </c>
      <c r="F130" s="17" t="s">
        <v>861</v>
      </c>
      <c r="G130" s="21">
        <v>2.0</v>
      </c>
      <c r="H130" s="9" t="s">
        <v>586</v>
      </c>
      <c r="I130" s="21" t="s">
        <v>70</v>
      </c>
      <c r="J130" s="11" t="s">
        <v>862</v>
      </c>
      <c r="K130" s="13" t="s">
        <v>863</v>
      </c>
      <c r="L130" s="13" t="s">
        <v>864</v>
      </c>
      <c r="M130" s="13" t="s">
        <v>865</v>
      </c>
      <c r="N130" s="13" t="s">
        <v>866</v>
      </c>
      <c r="O130" s="13" t="s">
        <v>867</v>
      </c>
      <c r="P130" s="13" t="s">
        <v>868</v>
      </c>
    </row>
    <row r="131">
      <c r="A131" s="68" t="s">
        <v>869</v>
      </c>
      <c r="B131" s="25" t="s">
        <v>418</v>
      </c>
      <c r="C131" s="9">
        <v>1.0</v>
      </c>
      <c r="D131" s="9" t="s">
        <v>111</v>
      </c>
      <c r="E131" s="7" t="s">
        <v>870</v>
      </c>
      <c r="F131" s="10" t="s">
        <v>871</v>
      </c>
      <c r="G131" s="21">
        <v>6.0</v>
      </c>
      <c r="H131" s="9" t="s">
        <v>872</v>
      </c>
      <c r="I131" s="9" t="s">
        <v>70</v>
      </c>
      <c r="J131" s="11" t="s">
        <v>873</v>
      </c>
      <c r="K131" s="13" t="s">
        <v>874</v>
      </c>
      <c r="L131" s="13" t="s">
        <v>875</v>
      </c>
      <c r="M131" s="13" t="s">
        <v>876</v>
      </c>
      <c r="N131" s="13" t="s">
        <v>877</v>
      </c>
      <c r="O131" s="13" t="s">
        <v>878</v>
      </c>
      <c r="P131" s="13" t="s">
        <v>879</v>
      </c>
      <c r="Q131" s="13" t="s">
        <v>880</v>
      </c>
    </row>
    <row r="132">
      <c r="A132" s="69" t="s">
        <v>881</v>
      </c>
      <c r="B132" s="70" t="s">
        <v>418</v>
      </c>
      <c r="C132" s="71">
        <v>1.0</v>
      </c>
      <c r="D132" s="71" t="s">
        <v>588</v>
      </c>
      <c r="E132" s="69" t="s">
        <v>882</v>
      </c>
      <c r="F132" s="69"/>
      <c r="G132" s="71">
        <v>3.0</v>
      </c>
      <c r="H132" s="71" t="s">
        <v>638</v>
      </c>
      <c r="I132" s="71" t="s">
        <v>70</v>
      </c>
      <c r="J132" s="11" t="s">
        <v>883</v>
      </c>
      <c r="K132" s="72" t="s">
        <v>884</v>
      </c>
      <c r="L132" s="72" t="s">
        <v>885</v>
      </c>
      <c r="M132" s="72" t="s">
        <v>886</v>
      </c>
      <c r="N132" s="72" t="s">
        <v>887</v>
      </c>
      <c r="O132" s="72" t="s">
        <v>888</v>
      </c>
      <c r="P132" s="72" t="s">
        <v>889</v>
      </c>
      <c r="Q132" s="72" t="s">
        <v>890</v>
      </c>
      <c r="R132" s="72" t="s">
        <v>891</v>
      </c>
      <c r="S132" s="72" t="s">
        <v>892</v>
      </c>
      <c r="T132" s="72" t="s">
        <v>893</v>
      </c>
    </row>
    <row r="133" hidden="1">
      <c r="A133" s="22" t="s">
        <v>894</v>
      </c>
      <c r="B133" s="25" t="s">
        <v>895</v>
      </c>
      <c r="C133" s="9">
        <v>2.0</v>
      </c>
      <c r="D133" s="9" t="s">
        <v>335</v>
      </c>
      <c r="E133" s="7" t="s">
        <v>896</v>
      </c>
      <c r="F133" s="10" t="s">
        <v>897</v>
      </c>
      <c r="G133" s="9">
        <v>3.0</v>
      </c>
      <c r="H133" s="9" t="s">
        <v>898</v>
      </c>
      <c r="I133" s="9" t="s">
        <v>70</v>
      </c>
    </row>
    <row r="134">
      <c r="A134" s="7" t="s">
        <v>899</v>
      </c>
      <c r="B134" s="25" t="s">
        <v>418</v>
      </c>
      <c r="C134" s="9">
        <v>1.0</v>
      </c>
      <c r="D134" s="9" t="s">
        <v>447</v>
      </c>
      <c r="F134" s="63" t="s">
        <v>900</v>
      </c>
      <c r="G134" s="9">
        <v>3.0</v>
      </c>
      <c r="H134" s="9" t="s">
        <v>586</v>
      </c>
      <c r="I134" s="9" t="s">
        <v>26</v>
      </c>
      <c r="J134" s="11" t="s">
        <v>901</v>
      </c>
      <c r="K134" s="13" t="s">
        <v>902</v>
      </c>
      <c r="L134" s="13" t="s">
        <v>903</v>
      </c>
      <c r="M134" s="13" t="s">
        <v>904</v>
      </c>
      <c r="N134" s="13" t="s">
        <v>905</v>
      </c>
      <c r="O134" s="13" t="s">
        <v>906</v>
      </c>
      <c r="P134" s="13" t="s">
        <v>907</v>
      </c>
      <c r="Q134" s="13" t="s">
        <v>908</v>
      </c>
      <c r="R134" s="13" t="s">
        <v>909</v>
      </c>
      <c r="S134" s="13" t="s">
        <v>910</v>
      </c>
      <c r="T134" s="13" t="s">
        <v>911</v>
      </c>
    </row>
    <row r="135" hidden="1">
      <c r="A135" s="18" t="s">
        <v>912</v>
      </c>
      <c r="B135" s="25" t="s">
        <v>895</v>
      </c>
      <c r="C135" s="9">
        <v>2.0</v>
      </c>
      <c r="D135" s="9" t="s">
        <v>913</v>
      </c>
      <c r="E135" s="7" t="s">
        <v>914</v>
      </c>
      <c r="F135" s="10" t="s">
        <v>915</v>
      </c>
      <c r="G135" s="9">
        <v>6.0</v>
      </c>
      <c r="H135" s="9" t="s">
        <v>916</v>
      </c>
      <c r="I135" s="9" t="s">
        <v>32</v>
      </c>
    </row>
    <row r="136" hidden="1">
      <c r="A136" s="7" t="s">
        <v>917</v>
      </c>
      <c r="B136" s="25" t="s">
        <v>918</v>
      </c>
      <c r="C136" s="9">
        <v>2.0</v>
      </c>
      <c r="D136" s="9" t="s">
        <v>919</v>
      </c>
      <c r="E136" s="73" t="s">
        <v>920</v>
      </c>
      <c r="F136" s="63" t="s">
        <v>921</v>
      </c>
      <c r="G136" s="9">
        <v>5.0</v>
      </c>
      <c r="H136" s="9" t="s">
        <v>922</v>
      </c>
      <c r="I136" s="9" t="s">
        <v>70</v>
      </c>
    </row>
    <row r="137">
      <c r="A137" s="7" t="s">
        <v>923</v>
      </c>
      <c r="B137" s="25" t="s">
        <v>418</v>
      </c>
      <c r="C137" s="9">
        <v>1.0</v>
      </c>
      <c r="D137" s="9" t="s">
        <v>408</v>
      </c>
      <c r="E137" s="7" t="s">
        <v>924</v>
      </c>
      <c r="F137" s="10" t="s">
        <v>925</v>
      </c>
      <c r="G137" s="9">
        <v>5.0</v>
      </c>
      <c r="H137" s="9" t="s">
        <v>571</v>
      </c>
      <c r="I137" s="9" t="s">
        <v>32</v>
      </c>
      <c r="J137" s="11" t="s">
        <v>926</v>
      </c>
      <c r="K137" s="13" t="s">
        <v>927</v>
      </c>
      <c r="L137" s="13" t="s">
        <v>928</v>
      </c>
      <c r="M137" s="13" t="s">
        <v>929</v>
      </c>
      <c r="N137" s="13" t="s">
        <v>930</v>
      </c>
      <c r="O137" s="13" t="s">
        <v>931</v>
      </c>
      <c r="P137" s="13" t="s">
        <v>932</v>
      </c>
      <c r="Q137" s="13" t="s">
        <v>933</v>
      </c>
      <c r="R137" s="13" t="s">
        <v>934</v>
      </c>
      <c r="S137" s="13" t="s">
        <v>935</v>
      </c>
      <c r="T137" s="13" t="s">
        <v>936</v>
      </c>
    </row>
    <row r="138" hidden="1">
      <c r="A138" s="16" t="s">
        <v>937</v>
      </c>
      <c r="B138" s="40" t="s">
        <v>918</v>
      </c>
      <c r="C138" s="15">
        <v>0.0</v>
      </c>
      <c r="D138" s="15" t="s">
        <v>938</v>
      </c>
      <c r="E138" s="16" t="s">
        <v>939</v>
      </c>
      <c r="F138" s="34"/>
      <c r="G138" s="15">
        <v>8.0</v>
      </c>
      <c r="H138" s="15" t="s">
        <v>940</v>
      </c>
      <c r="I138" s="15" t="s">
        <v>70</v>
      </c>
    </row>
    <row r="139" hidden="1">
      <c r="A139" s="16" t="s">
        <v>941</v>
      </c>
      <c r="B139" s="40" t="s">
        <v>918</v>
      </c>
      <c r="C139" s="15">
        <v>2.0</v>
      </c>
      <c r="D139" s="15" t="s">
        <v>149</v>
      </c>
      <c r="E139" s="16" t="s">
        <v>942</v>
      </c>
      <c r="F139" s="17" t="s">
        <v>943</v>
      </c>
      <c r="G139" s="15">
        <v>4.0</v>
      </c>
      <c r="H139" s="15" t="s">
        <v>944</v>
      </c>
      <c r="I139" s="15" t="s">
        <v>70</v>
      </c>
    </row>
    <row r="140">
      <c r="A140" s="7" t="s">
        <v>945</v>
      </c>
      <c r="B140" s="25" t="s">
        <v>418</v>
      </c>
      <c r="C140" s="9">
        <v>1.0</v>
      </c>
      <c r="D140" s="9" t="s">
        <v>792</v>
      </c>
      <c r="E140" s="16" t="s">
        <v>946</v>
      </c>
      <c r="F140" s="10" t="s">
        <v>947</v>
      </c>
      <c r="G140" s="9">
        <v>4.0</v>
      </c>
      <c r="H140" s="9" t="s">
        <v>526</v>
      </c>
      <c r="I140" s="9" t="s">
        <v>32</v>
      </c>
      <c r="J140" s="11" t="s">
        <v>948</v>
      </c>
      <c r="K140" s="13" t="s">
        <v>949</v>
      </c>
      <c r="L140" s="13" t="s">
        <v>950</v>
      </c>
      <c r="M140" s="13" t="s">
        <v>951</v>
      </c>
      <c r="N140" s="13" t="s">
        <v>952</v>
      </c>
      <c r="O140" s="13" t="s">
        <v>953</v>
      </c>
      <c r="P140" s="13" t="s">
        <v>954</v>
      </c>
      <c r="Q140" s="13" t="s">
        <v>955</v>
      </c>
      <c r="R140" s="13" t="s">
        <v>956</v>
      </c>
      <c r="S140" s="13" t="s">
        <v>957</v>
      </c>
      <c r="T140" s="13" t="s">
        <v>958</v>
      </c>
    </row>
    <row r="141" hidden="1">
      <c r="A141" s="22" t="s">
        <v>959</v>
      </c>
      <c r="B141" s="25" t="s">
        <v>918</v>
      </c>
      <c r="C141" s="9">
        <v>2.0</v>
      </c>
      <c r="D141" s="74" t="s">
        <v>938</v>
      </c>
      <c r="E141" s="7" t="s">
        <v>960</v>
      </c>
      <c r="F141" s="10" t="s">
        <v>961</v>
      </c>
      <c r="G141" s="9">
        <v>5.0</v>
      </c>
      <c r="H141" s="9" t="s">
        <v>944</v>
      </c>
      <c r="I141" s="9" t="s">
        <v>70</v>
      </c>
    </row>
    <row r="142">
      <c r="A142" s="16" t="s">
        <v>962</v>
      </c>
      <c r="B142" s="40" t="s">
        <v>418</v>
      </c>
      <c r="C142" s="15">
        <v>1.0</v>
      </c>
      <c r="D142" s="15" t="s">
        <v>519</v>
      </c>
      <c r="F142" s="34"/>
      <c r="G142" s="15">
        <v>3.0</v>
      </c>
      <c r="H142" s="15" t="s">
        <v>421</v>
      </c>
      <c r="I142" s="15" t="s">
        <v>26</v>
      </c>
    </row>
    <row r="143" hidden="1">
      <c r="A143" s="16" t="s">
        <v>963</v>
      </c>
      <c r="B143" s="40" t="s">
        <v>964</v>
      </c>
      <c r="C143" s="15">
        <v>2.0</v>
      </c>
      <c r="D143" s="15" t="s">
        <v>539</v>
      </c>
      <c r="E143" s="16" t="s">
        <v>965</v>
      </c>
      <c r="F143" s="17" t="s">
        <v>663</v>
      </c>
      <c r="G143" s="15">
        <v>0.0</v>
      </c>
      <c r="H143" s="15" t="s">
        <v>966</v>
      </c>
      <c r="I143" s="15" t="s">
        <v>70</v>
      </c>
    </row>
    <row r="144" hidden="1">
      <c r="A144" s="16" t="s">
        <v>967</v>
      </c>
      <c r="B144" s="40" t="s">
        <v>964</v>
      </c>
      <c r="C144" s="15">
        <v>2.0</v>
      </c>
      <c r="D144" s="15" t="s">
        <v>968</v>
      </c>
      <c r="E144" s="16" t="s">
        <v>969</v>
      </c>
      <c r="F144" s="17" t="s">
        <v>970</v>
      </c>
      <c r="G144" s="15">
        <v>3.0</v>
      </c>
      <c r="H144" s="15" t="s">
        <v>971</v>
      </c>
      <c r="I144" s="15" t="s">
        <v>70</v>
      </c>
    </row>
    <row r="145" hidden="1">
      <c r="A145" s="7" t="s">
        <v>972</v>
      </c>
      <c r="B145" s="25" t="s">
        <v>964</v>
      </c>
      <c r="C145" s="9">
        <v>0.0</v>
      </c>
      <c r="D145" s="9" t="s">
        <v>651</v>
      </c>
      <c r="E145" s="7" t="s">
        <v>973</v>
      </c>
      <c r="F145" s="47" t="s">
        <v>974</v>
      </c>
      <c r="G145" s="9">
        <v>7.0</v>
      </c>
      <c r="H145" s="9" t="s">
        <v>975</v>
      </c>
      <c r="I145" s="9" t="s">
        <v>70</v>
      </c>
    </row>
    <row r="146">
      <c r="A146" s="16" t="s">
        <v>976</v>
      </c>
      <c r="B146" s="40" t="s">
        <v>418</v>
      </c>
      <c r="C146" s="15">
        <v>1.0</v>
      </c>
      <c r="D146" s="15" t="s">
        <v>977</v>
      </c>
      <c r="F146" s="34"/>
      <c r="G146" s="15">
        <v>4.0</v>
      </c>
      <c r="H146" s="15" t="s">
        <v>638</v>
      </c>
      <c r="I146" s="15" t="s">
        <v>26</v>
      </c>
    </row>
    <row r="147" hidden="1">
      <c r="A147" s="7" t="s">
        <v>978</v>
      </c>
      <c r="B147" s="25" t="s">
        <v>964</v>
      </c>
      <c r="C147" s="15">
        <v>2.0</v>
      </c>
      <c r="D147" s="9" t="s">
        <v>979</v>
      </c>
      <c r="E147" s="7" t="s">
        <v>980</v>
      </c>
      <c r="F147" s="10" t="s">
        <v>981</v>
      </c>
      <c r="G147" s="9">
        <v>4.0</v>
      </c>
      <c r="H147" s="9" t="s">
        <v>971</v>
      </c>
      <c r="I147" s="9" t="s">
        <v>70</v>
      </c>
    </row>
    <row r="148">
      <c r="A148" s="24" t="s">
        <v>982</v>
      </c>
      <c r="B148" s="25" t="s">
        <v>418</v>
      </c>
      <c r="C148" s="15">
        <v>1.0</v>
      </c>
      <c r="D148" s="9" t="s">
        <v>588</v>
      </c>
      <c r="E148" s="7" t="s">
        <v>983</v>
      </c>
      <c r="F148" s="75" t="s">
        <v>984</v>
      </c>
      <c r="G148" s="21">
        <v>7.0</v>
      </c>
      <c r="H148" s="9" t="s">
        <v>985</v>
      </c>
      <c r="I148" s="21" t="s">
        <v>32</v>
      </c>
      <c r="J148" s="11" t="s">
        <v>986</v>
      </c>
      <c r="K148" s="13" t="s">
        <v>987</v>
      </c>
      <c r="L148" s="13" t="s">
        <v>988</v>
      </c>
      <c r="M148" s="13" t="s">
        <v>989</v>
      </c>
      <c r="N148" s="13" t="s">
        <v>990</v>
      </c>
      <c r="O148" s="13" t="s">
        <v>991</v>
      </c>
      <c r="P148" s="13" t="s">
        <v>992</v>
      </c>
      <c r="Q148" s="13" t="s">
        <v>993</v>
      </c>
      <c r="R148" s="13" t="s">
        <v>994</v>
      </c>
      <c r="S148" s="13" t="s">
        <v>995</v>
      </c>
      <c r="T148" s="13" t="s">
        <v>996</v>
      </c>
    </row>
    <row r="149" hidden="1">
      <c r="A149" s="22" t="s">
        <v>997</v>
      </c>
      <c r="B149" s="25" t="s">
        <v>964</v>
      </c>
      <c r="C149" s="9">
        <v>2.0</v>
      </c>
      <c r="D149" s="9" t="s">
        <v>998</v>
      </c>
      <c r="E149" s="7" t="s">
        <v>999</v>
      </c>
      <c r="F149" s="10" t="s">
        <v>1000</v>
      </c>
      <c r="G149" s="9">
        <v>5.0</v>
      </c>
      <c r="H149" s="9" t="s">
        <v>971</v>
      </c>
      <c r="I149" s="9" t="s">
        <v>70</v>
      </c>
    </row>
    <row r="150" ht="15.75" customHeight="1">
      <c r="A150" s="20" t="s">
        <v>1001</v>
      </c>
      <c r="B150" s="25" t="s">
        <v>418</v>
      </c>
      <c r="C150" s="9">
        <v>1.0</v>
      </c>
      <c r="D150" s="21" t="s">
        <v>408</v>
      </c>
      <c r="F150" s="10" t="s">
        <v>1002</v>
      </c>
      <c r="G150" s="21">
        <v>5.0</v>
      </c>
      <c r="H150" s="9" t="s">
        <v>522</v>
      </c>
      <c r="I150" s="21" t="s">
        <v>26</v>
      </c>
      <c r="J150" s="11" t="s">
        <v>1003</v>
      </c>
      <c r="K150" s="13" t="s">
        <v>1004</v>
      </c>
      <c r="L150" s="13" t="s">
        <v>1005</v>
      </c>
      <c r="M150" s="13" t="s">
        <v>1006</v>
      </c>
      <c r="N150" s="13" t="s">
        <v>1007</v>
      </c>
      <c r="O150" s="13" t="s">
        <v>1008</v>
      </c>
      <c r="P150" s="13" t="s">
        <v>1009</v>
      </c>
      <c r="Q150" s="13" t="s">
        <v>1010</v>
      </c>
      <c r="R150" s="13" t="s">
        <v>1011</v>
      </c>
      <c r="S150" s="13" t="s">
        <v>1012</v>
      </c>
      <c r="T150" s="13" t="s">
        <v>1013</v>
      </c>
    </row>
    <row r="151">
      <c r="A151" s="16" t="s">
        <v>1014</v>
      </c>
      <c r="B151" s="40" t="s">
        <v>418</v>
      </c>
      <c r="C151" s="15">
        <v>1.0</v>
      </c>
      <c r="D151" s="15" t="s">
        <v>433</v>
      </c>
      <c r="E151" s="16"/>
      <c r="F151" s="17" t="s">
        <v>1015</v>
      </c>
      <c r="G151" s="15">
        <v>9.0</v>
      </c>
      <c r="H151" s="15" t="s">
        <v>1016</v>
      </c>
      <c r="I151" s="9" t="s">
        <v>26</v>
      </c>
      <c r="J151" s="11" t="s">
        <v>1017</v>
      </c>
      <c r="K151" s="13" t="s">
        <v>1018</v>
      </c>
      <c r="L151" s="13" t="s">
        <v>1019</v>
      </c>
      <c r="M151" s="13" t="s">
        <v>1020</v>
      </c>
      <c r="N151" s="13" t="s">
        <v>1021</v>
      </c>
      <c r="O151" s="13" t="s">
        <v>1022</v>
      </c>
      <c r="P151" s="13" t="s">
        <v>1023</v>
      </c>
      <c r="Q151" s="13" t="s">
        <v>1024</v>
      </c>
      <c r="R151" s="13" t="s">
        <v>1025</v>
      </c>
      <c r="S151" s="13" t="s">
        <v>1026</v>
      </c>
      <c r="T151" s="13" t="s">
        <v>1027</v>
      </c>
    </row>
    <row r="152">
      <c r="A152" s="16" t="s">
        <v>1028</v>
      </c>
      <c r="B152" s="40" t="s">
        <v>418</v>
      </c>
      <c r="C152" s="15">
        <v>1.0</v>
      </c>
      <c r="D152" s="15" t="s">
        <v>1029</v>
      </c>
      <c r="E152" s="16" t="s">
        <v>1030</v>
      </c>
      <c r="F152" s="17" t="s">
        <v>1031</v>
      </c>
      <c r="G152" s="15">
        <v>3.0</v>
      </c>
      <c r="H152" s="15" t="s">
        <v>526</v>
      </c>
      <c r="I152" s="15" t="s">
        <v>32</v>
      </c>
      <c r="J152" s="11" t="s">
        <v>1032</v>
      </c>
      <c r="K152" s="13" t="s">
        <v>1033</v>
      </c>
      <c r="L152" s="13" t="s">
        <v>1034</v>
      </c>
      <c r="M152" s="13" t="s">
        <v>1035</v>
      </c>
      <c r="N152" s="13" t="s">
        <v>1036</v>
      </c>
      <c r="O152" s="13" t="s">
        <v>1037</v>
      </c>
    </row>
    <row r="153" hidden="1">
      <c r="A153" s="16" t="s">
        <v>1038</v>
      </c>
      <c r="B153" s="76" t="s">
        <v>1039</v>
      </c>
      <c r="C153" s="15">
        <v>2.0</v>
      </c>
      <c r="D153" s="15" t="s">
        <v>37</v>
      </c>
      <c r="E153" s="16" t="s">
        <v>1040</v>
      </c>
      <c r="F153" s="17" t="s">
        <v>1041</v>
      </c>
      <c r="G153" s="15">
        <v>2.0</v>
      </c>
      <c r="H153" s="15" t="s">
        <v>1042</v>
      </c>
      <c r="I153" s="15" t="s">
        <v>70</v>
      </c>
    </row>
    <row r="154">
      <c r="A154" s="31" t="s">
        <v>1043</v>
      </c>
      <c r="B154" s="40" t="s">
        <v>418</v>
      </c>
      <c r="C154" s="15">
        <v>1.0</v>
      </c>
      <c r="D154" s="15" t="s">
        <v>433</v>
      </c>
      <c r="E154" s="31" t="s">
        <v>1044</v>
      </c>
      <c r="F154" s="16" t="s">
        <v>1045</v>
      </c>
      <c r="G154" s="15">
        <v>4.0</v>
      </c>
      <c r="H154" s="15" t="s">
        <v>517</v>
      </c>
      <c r="I154" s="15" t="s">
        <v>32</v>
      </c>
    </row>
    <row r="155">
      <c r="A155" s="31" t="s">
        <v>1046</v>
      </c>
      <c r="B155" s="40" t="s">
        <v>418</v>
      </c>
      <c r="C155" s="15">
        <v>1.0</v>
      </c>
      <c r="D155" s="15" t="s">
        <v>433</v>
      </c>
      <c r="E155" s="31" t="s">
        <v>1047</v>
      </c>
      <c r="F155" s="16" t="s">
        <v>1048</v>
      </c>
      <c r="G155" s="15">
        <v>6.0</v>
      </c>
      <c r="H155" s="15" t="s">
        <v>872</v>
      </c>
      <c r="I155" s="15" t="s">
        <v>32</v>
      </c>
    </row>
    <row r="156" hidden="1">
      <c r="A156" s="31" t="s">
        <v>1049</v>
      </c>
      <c r="B156" s="76" t="s">
        <v>1039</v>
      </c>
      <c r="C156" s="15">
        <v>2.0</v>
      </c>
      <c r="D156" s="15" t="s">
        <v>696</v>
      </c>
      <c r="E156" s="16" t="s">
        <v>1050</v>
      </c>
      <c r="F156" s="17" t="s">
        <v>697</v>
      </c>
      <c r="G156" s="15">
        <v>2.0</v>
      </c>
      <c r="H156" s="15" t="s">
        <v>1051</v>
      </c>
      <c r="I156" s="15" t="s">
        <v>26</v>
      </c>
    </row>
    <row r="157">
      <c r="A157" s="31" t="s">
        <v>1052</v>
      </c>
      <c r="B157" s="40" t="s">
        <v>418</v>
      </c>
      <c r="C157" s="15">
        <v>1.0</v>
      </c>
      <c r="D157" s="15" t="s">
        <v>1053</v>
      </c>
      <c r="E157" s="16" t="s">
        <v>1054</v>
      </c>
      <c r="F157" s="34"/>
      <c r="G157" s="15">
        <v>3.0</v>
      </c>
      <c r="H157" s="15" t="s">
        <v>421</v>
      </c>
      <c r="I157" s="15" t="s">
        <v>32</v>
      </c>
    </row>
    <row r="158">
      <c r="A158" s="16" t="s">
        <v>1055</v>
      </c>
      <c r="B158" s="40" t="s">
        <v>418</v>
      </c>
      <c r="C158" s="15">
        <v>1.0</v>
      </c>
      <c r="D158" s="15" t="s">
        <v>1056</v>
      </c>
      <c r="F158" s="34"/>
      <c r="G158" s="15">
        <v>1.0</v>
      </c>
      <c r="H158" s="9" t="s">
        <v>439</v>
      </c>
      <c r="I158" s="15" t="s">
        <v>26</v>
      </c>
    </row>
    <row r="159">
      <c r="A159" s="16" t="s">
        <v>1057</v>
      </c>
      <c r="B159" s="40" t="s">
        <v>418</v>
      </c>
      <c r="C159" s="15">
        <v>1.0</v>
      </c>
      <c r="D159" s="15" t="s">
        <v>433</v>
      </c>
      <c r="E159" s="77" t="s">
        <v>1058</v>
      </c>
      <c r="F159" s="16" t="s">
        <v>1059</v>
      </c>
      <c r="G159" s="15">
        <v>1.0</v>
      </c>
      <c r="H159" s="15" t="s">
        <v>1060</v>
      </c>
      <c r="I159" s="15" t="s">
        <v>26</v>
      </c>
    </row>
    <row r="160" hidden="1">
      <c r="A160" s="16" t="s">
        <v>1061</v>
      </c>
      <c r="B160" s="40" t="s">
        <v>1039</v>
      </c>
      <c r="C160" s="15">
        <v>2.0</v>
      </c>
      <c r="D160" s="15" t="s">
        <v>1062</v>
      </c>
      <c r="E160" s="16" t="s">
        <v>1063</v>
      </c>
      <c r="F160" s="17" t="s">
        <v>1064</v>
      </c>
      <c r="G160" s="15">
        <v>4.0</v>
      </c>
      <c r="H160" s="15" t="s">
        <v>443</v>
      </c>
      <c r="I160" s="15" t="s">
        <v>32</v>
      </c>
    </row>
    <row r="161">
      <c r="A161" s="7" t="s">
        <v>1065</v>
      </c>
      <c r="B161" s="7" t="s">
        <v>895</v>
      </c>
      <c r="C161" s="9">
        <v>1.0</v>
      </c>
      <c r="D161" s="9" t="s">
        <v>1066</v>
      </c>
      <c r="E161" s="7" t="s">
        <v>1067</v>
      </c>
      <c r="F161" s="10" t="s">
        <v>1068</v>
      </c>
      <c r="G161" s="9">
        <v>2.0</v>
      </c>
      <c r="H161" s="9" t="s">
        <v>898</v>
      </c>
      <c r="I161" s="9" t="s">
        <v>70</v>
      </c>
      <c r="J161" s="11" t="s">
        <v>1069</v>
      </c>
      <c r="K161" s="13" t="s">
        <v>1070</v>
      </c>
      <c r="L161" s="13" t="s">
        <v>1071</v>
      </c>
      <c r="M161" s="13" t="s">
        <v>1072</v>
      </c>
      <c r="N161" s="13" t="s">
        <v>1073</v>
      </c>
      <c r="O161" s="13" t="s">
        <v>1074</v>
      </c>
      <c r="P161" s="13" t="s">
        <v>1075</v>
      </c>
      <c r="Q161" s="13" t="s">
        <v>1076</v>
      </c>
      <c r="R161" s="13" t="s">
        <v>1077</v>
      </c>
      <c r="S161" s="13" t="s">
        <v>1078</v>
      </c>
      <c r="T161" s="13" t="s">
        <v>1079</v>
      </c>
    </row>
    <row r="162">
      <c r="A162" s="7" t="s">
        <v>1080</v>
      </c>
      <c r="B162" s="7" t="s">
        <v>895</v>
      </c>
      <c r="C162" s="9">
        <v>1.0</v>
      </c>
      <c r="D162" s="9" t="s">
        <v>335</v>
      </c>
      <c r="E162" s="7" t="s">
        <v>1081</v>
      </c>
      <c r="F162" s="75" t="s">
        <v>1082</v>
      </c>
      <c r="G162" s="9">
        <v>5.0</v>
      </c>
      <c r="H162" s="9" t="s">
        <v>1083</v>
      </c>
      <c r="I162" s="9" t="s">
        <v>32</v>
      </c>
      <c r="J162" s="11" t="s">
        <v>1084</v>
      </c>
      <c r="K162" s="13" t="s">
        <v>1085</v>
      </c>
      <c r="L162" s="13" t="s">
        <v>1086</v>
      </c>
      <c r="M162" s="13" t="s">
        <v>1087</v>
      </c>
      <c r="N162" s="13" t="s">
        <v>1088</v>
      </c>
      <c r="O162" s="13" t="s">
        <v>1089</v>
      </c>
      <c r="P162" s="13" t="s">
        <v>1090</v>
      </c>
      <c r="Q162" s="13" t="s">
        <v>1091</v>
      </c>
      <c r="R162" s="13" t="s">
        <v>1092</v>
      </c>
    </row>
    <row r="163" hidden="1">
      <c r="A163" s="16" t="s">
        <v>1093</v>
      </c>
      <c r="B163" s="78" t="s">
        <v>1039</v>
      </c>
      <c r="C163" s="15">
        <v>2.0</v>
      </c>
      <c r="D163" s="15" t="s">
        <v>37</v>
      </c>
      <c r="E163" s="16" t="s">
        <v>1094</v>
      </c>
      <c r="F163" s="17" t="s">
        <v>213</v>
      </c>
      <c r="G163" s="15">
        <v>2.0</v>
      </c>
      <c r="H163" s="15" t="s">
        <v>1095</v>
      </c>
      <c r="I163" s="9" t="s">
        <v>70</v>
      </c>
    </row>
    <row r="164" hidden="1">
      <c r="A164" s="16" t="s">
        <v>1096</v>
      </c>
      <c r="B164" s="78" t="s">
        <v>1039</v>
      </c>
      <c r="C164" s="15">
        <v>2.0</v>
      </c>
      <c r="D164" s="15" t="s">
        <v>149</v>
      </c>
      <c r="E164" s="16" t="s">
        <v>1097</v>
      </c>
      <c r="F164" s="17" t="s">
        <v>1098</v>
      </c>
      <c r="G164" s="15">
        <v>4.0</v>
      </c>
      <c r="H164" s="15" t="s">
        <v>1095</v>
      </c>
      <c r="I164" s="15" t="s">
        <v>70</v>
      </c>
    </row>
    <row r="165">
      <c r="A165" s="18" t="s">
        <v>1099</v>
      </c>
      <c r="B165" s="7" t="s">
        <v>895</v>
      </c>
      <c r="C165" s="9">
        <v>1.0</v>
      </c>
      <c r="D165" s="9" t="s">
        <v>1100</v>
      </c>
      <c r="E165" s="7"/>
      <c r="F165" s="10" t="s">
        <v>1101</v>
      </c>
      <c r="G165" s="9">
        <v>2.0</v>
      </c>
      <c r="H165" s="9" t="s">
        <v>1102</v>
      </c>
      <c r="I165" s="9" t="s">
        <v>26</v>
      </c>
      <c r="J165" s="11" t="s">
        <v>1103</v>
      </c>
      <c r="K165" s="13" t="s">
        <v>1104</v>
      </c>
      <c r="L165" s="13" t="s">
        <v>1105</v>
      </c>
      <c r="M165" s="13" t="s">
        <v>1106</v>
      </c>
      <c r="N165" s="13" t="s">
        <v>1107</v>
      </c>
      <c r="O165" s="13" t="s">
        <v>1108</v>
      </c>
      <c r="P165" s="13" t="s">
        <v>1109</v>
      </c>
      <c r="Q165" s="13" t="s">
        <v>1110</v>
      </c>
      <c r="R165" s="13" t="s">
        <v>1111</v>
      </c>
      <c r="S165" s="13" t="s">
        <v>1112</v>
      </c>
      <c r="T165" s="13" t="s">
        <v>1113</v>
      </c>
    </row>
    <row r="166">
      <c r="A166" s="79" t="s">
        <v>1114</v>
      </c>
      <c r="B166" s="7" t="s">
        <v>918</v>
      </c>
      <c r="C166" s="9">
        <v>1.0</v>
      </c>
      <c r="D166" s="9" t="s">
        <v>588</v>
      </c>
      <c r="E166" s="7" t="s">
        <v>1115</v>
      </c>
      <c r="F166" s="10" t="s">
        <v>1116</v>
      </c>
      <c r="G166" s="9">
        <v>5.0</v>
      </c>
      <c r="H166" s="9" t="s">
        <v>944</v>
      </c>
      <c r="I166" s="9" t="s">
        <v>70</v>
      </c>
      <c r="J166" s="11" t="s">
        <v>1117</v>
      </c>
      <c r="K166" s="13" t="s">
        <v>1118</v>
      </c>
      <c r="L166" s="13" t="s">
        <v>1119</v>
      </c>
      <c r="M166" s="13" t="s">
        <v>1120</v>
      </c>
      <c r="N166" s="13" t="s">
        <v>1121</v>
      </c>
      <c r="O166" s="13" t="s">
        <v>1122</v>
      </c>
      <c r="P166" s="13" t="s">
        <v>1123</v>
      </c>
      <c r="Q166" s="13" t="s">
        <v>1124</v>
      </c>
      <c r="R166" s="13" t="s">
        <v>1125</v>
      </c>
      <c r="S166" s="13" t="s">
        <v>1126</v>
      </c>
      <c r="T166" s="13" t="s">
        <v>1127</v>
      </c>
    </row>
    <row r="167" hidden="1">
      <c r="A167" s="7" t="s">
        <v>1128</v>
      </c>
      <c r="B167" s="80" t="s">
        <v>1039</v>
      </c>
      <c r="C167" s="9">
        <v>2.0</v>
      </c>
      <c r="D167" s="9" t="s">
        <v>37</v>
      </c>
      <c r="E167" s="81" t="s">
        <v>1129</v>
      </c>
      <c r="F167" s="10" t="s">
        <v>659</v>
      </c>
      <c r="G167" s="9">
        <v>3.0</v>
      </c>
      <c r="H167" s="9" t="s">
        <v>1051</v>
      </c>
      <c r="I167" s="9" t="s">
        <v>32</v>
      </c>
    </row>
    <row r="168">
      <c r="A168" s="7" t="s">
        <v>1130</v>
      </c>
      <c r="B168" s="7" t="s">
        <v>918</v>
      </c>
      <c r="C168" s="9">
        <v>1.0</v>
      </c>
      <c r="D168" s="9" t="s">
        <v>327</v>
      </c>
      <c r="E168" s="7" t="s">
        <v>1131</v>
      </c>
      <c r="F168" s="10" t="s">
        <v>1132</v>
      </c>
      <c r="G168" s="9">
        <v>6.0</v>
      </c>
      <c r="H168" s="9" t="s">
        <v>1133</v>
      </c>
      <c r="I168" s="9" t="s">
        <v>32</v>
      </c>
      <c r="J168" s="11" t="s">
        <v>1134</v>
      </c>
      <c r="K168" s="13" t="s">
        <v>1135</v>
      </c>
      <c r="L168" s="13" t="s">
        <v>1136</v>
      </c>
      <c r="M168" s="13" t="s">
        <v>1137</v>
      </c>
      <c r="N168" s="13" t="s">
        <v>1138</v>
      </c>
      <c r="O168" s="13" t="s">
        <v>1139</v>
      </c>
      <c r="P168" s="13" t="s">
        <v>1140</v>
      </c>
      <c r="Q168" s="13" t="s">
        <v>1141</v>
      </c>
      <c r="R168" s="13" t="s">
        <v>1142</v>
      </c>
      <c r="S168" s="13" t="s">
        <v>1143</v>
      </c>
      <c r="T168" s="13" t="s">
        <v>1144</v>
      </c>
    </row>
    <row r="169">
      <c r="A169" s="16" t="s">
        <v>1145</v>
      </c>
      <c r="B169" s="7" t="s">
        <v>918</v>
      </c>
      <c r="C169" s="9">
        <v>1.0</v>
      </c>
      <c r="D169" s="9" t="s">
        <v>1146</v>
      </c>
      <c r="E169" s="7"/>
      <c r="F169" s="10" t="s">
        <v>1147</v>
      </c>
      <c r="G169" s="9">
        <v>2.0</v>
      </c>
      <c r="H169" s="9" t="s">
        <v>1148</v>
      </c>
      <c r="I169" s="9" t="s">
        <v>26</v>
      </c>
      <c r="J169" s="11" t="s">
        <v>1149</v>
      </c>
      <c r="K169" s="13" t="s">
        <v>1150</v>
      </c>
      <c r="L169" s="13" t="s">
        <v>1151</v>
      </c>
      <c r="M169" s="13" t="s">
        <v>1152</v>
      </c>
      <c r="N169" s="13" t="s">
        <v>1153</v>
      </c>
      <c r="O169" s="13" t="s">
        <v>1154</v>
      </c>
      <c r="P169" s="13" t="s">
        <v>1155</v>
      </c>
      <c r="Q169" s="13" t="s">
        <v>1156</v>
      </c>
      <c r="R169" s="13" t="s">
        <v>1157</v>
      </c>
    </row>
    <row r="170" hidden="1">
      <c r="A170" s="22" t="s">
        <v>1158</v>
      </c>
      <c r="B170" s="80" t="s">
        <v>1039</v>
      </c>
      <c r="C170" s="9">
        <v>2.0</v>
      </c>
      <c r="D170" s="9" t="s">
        <v>322</v>
      </c>
      <c r="E170" s="7" t="s">
        <v>1159</v>
      </c>
      <c r="F170" s="10" t="s">
        <v>1160</v>
      </c>
      <c r="G170" s="9">
        <v>3.0</v>
      </c>
      <c r="H170" s="9" t="s">
        <v>1042</v>
      </c>
      <c r="I170" s="9" t="s">
        <v>70</v>
      </c>
    </row>
    <row r="171" hidden="1">
      <c r="A171" s="22" t="s">
        <v>1161</v>
      </c>
      <c r="B171" s="80" t="s">
        <v>1039</v>
      </c>
      <c r="C171" s="9">
        <v>2.0</v>
      </c>
      <c r="D171" s="9" t="s">
        <v>447</v>
      </c>
      <c r="E171" s="7" t="s">
        <v>1162</v>
      </c>
      <c r="F171" s="10" t="s">
        <v>1163</v>
      </c>
      <c r="G171" s="9">
        <v>2.0</v>
      </c>
      <c r="H171" s="9" t="s">
        <v>1164</v>
      </c>
      <c r="I171" s="9" t="s">
        <v>26</v>
      </c>
    </row>
    <row r="172" hidden="1">
      <c r="A172" s="16" t="s">
        <v>1165</v>
      </c>
      <c r="B172" s="78" t="s">
        <v>1039</v>
      </c>
      <c r="C172" s="15">
        <v>2.0</v>
      </c>
      <c r="D172" s="15" t="s">
        <v>149</v>
      </c>
      <c r="E172" s="16" t="s">
        <v>1166</v>
      </c>
      <c r="F172" s="17" t="s">
        <v>663</v>
      </c>
      <c r="G172" s="15">
        <v>4.0</v>
      </c>
      <c r="H172" s="15" t="s">
        <v>1167</v>
      </c>
      <c r="I172" s="15" t="s">
        <v>70</v>
      </c>
    </row>
    <row r="173" hidden="1">
      <c r="A173" s="22" t="s">
        <v>1168</v>
      </c>
      <c r="B173" s="80" t="s">
        <v>1039</v>
      </c>
      <c r="C173" s="9">
        <v>2.0</v>
      </c>
      <c r="D173" s="9" t="s">
        <v>322</v>
      </c>
      <c r="E173" s="7" t="s">
        <v>1169</v>
      </c>
      <c r="F173" s="10" t="s">
        <v>1170</v>
      </c>
      <c r="G173" s="9">
        <v>4.0</v>
      </c>
      <c r="H173" s="9" t="s">
        <v>1167</v>
      </c>
      <c r="I173" s="15" t="s">
        <v>70</v>
      </c>
    </row>
    <row r="174" hidden="1">
      <c r="A174" s="16" t="s">
        <v>1171</v>
      </c>
      <c r="B174" s="78" t="s">
        <v>1039</v>
      </c>
      <c r="C174" s="15">
        <v>2.0</v>
      </c>
      <c r="D174" s="15" t="s">
        <v>37</v>
      </c>
      <c r="E174" s="16" t="s">
        <v>1172</v>
      </c>
      <c r="F174" s="17" t="s">
        <v>1173</v>
      </c>
      <c r="G174" s="15">
        <v>1.0</v>
      </c>
      <c r="H174" s="15" t="s">
        <v>1164</v>
      </c>
      <c r="I174" s="15" t="s">
        <v>26</v>
      </c>
    </row>
    <row r="175">
      <c r="A175" s="7" t="s">
        <v>1174</v>
      </c>
      <c r="B175" s="7" t="s">
        <v>964</v>
      </c>
      <c r="C175" s="15">
        <v>1.0</v>
      </c>
      <c r="D175" s="9" t="s">
        <v>1175</v>
      </c>
      <c r="E175" s="7" t="s">
        <v>1176</v>
      </c>
      <c r="F175" s="10" t="s">
        <v>1177</v>
      </c>
      <c r="G175" s="9">
        <v>5.0</v>
      </c>
      <c r="H175" s="9" t="s">
        <v>971</v>
      </c>
      <c r="I175" s="9" t="s">
        <v>70</v>
      </c>
      <c r="J175" s="11" t="s">
        <v>1178</v>
      </c>
      <c r="K175" s="13" t="s">
        <v>1179</v>
      </c>
      <c r="L175" s="13" t="s">
        <v>1180</v>
      </c>
      <c r="M175" s="13" t="s">
        <v>1181</v>
      </c>
      <c r="N175" s="13" t="s">
        <v>1182</v>
      </c>
      <c r="O175" s="13" t="s">
        <v>1183</v>
      </c>
      <c r="P175" s="13" t="s">
        <v>1184</v>
      </c>
    </row>
    <row r="176" hidden="1">
      <c r="A176" s="16" t="s">
        <v>1185</v>
      </c>
      <c r="B176" s="78" t="s">
        <v>1039</v>
      </c>
      <c r="C176" s="15">
        <v>2.0</v>
      </c>
      <c r="D176" s="15" t="s">
        <v>149</v>
      </c>
      <c r="E176" s="16" t="s">
        <v>1186</v>
      </c>
      <c r="F176" s="17" t="s">
        <v>1187</v>
      </c>
      <c r="G176" s="15">
        <v>3.0</v>
      </c>
      <c r="H176" s="15" t="s">
        <v>1167</v>
      </c>
      <c r="I176" s="15" t="s">
        <v>26</v>
      </c>
    </row>
    <row r="177">
      <c r="A177" s="7" t="s">
        <v>1188</v>
      </c>
      <c r="B177" s="7" t="s">
        <v>964</v>
      </c>
      <c r="C177" s="9">
        <v>1.0</v>
      </c>
      <c r="D177" s="9" t="s">
        <v>813</v>
      </c>
      <c r="E177" s="7" t="s">
        <v>1189</v>
      </c>
      <c r="F177" s="10" t="s">
        <v>1190</v>
      </c>
      <c r="G177" s="9">
        <v>5.0</v>
      </c>
      <c r="H177" s="9" t="s">
        <v>1191</v>
      </c>
      <c r="I177" s="9" t="s">
        <v>32</v>
      </c>
      <c r="J177" s="11" t="s">
        <v>1192</v>
      </c>
      <c r="K177" s="13" t="s">
        <v>1193</v>
      </c>
      <c r="L177" s="13" t="s">
        <v>1194</v>
      </c>
      <c r="M177" s="13" t="s">
        <v>1195</v>
      </c>
    </row>
    <row r="178" hidden="1">
      <c r="A178" s="51" t="s">
        <v>1196</v>
      </c>
      <c r="B178" s="80" t="s">
        <v>1039</v>
      </c>
      <c r="C178" s="9">
        <v>2.0</v>
      </c>
      <c r="D178" s="9" t="s">
        <v>335</v>
      </c>
      <c r="E178" s="7" t="s">
        <v>1197</v>
      </c>
      <c r="F178" s="10" t="s">
        <v>1198</v>
      </c>
      <c r="G178" s="9">
        <v>3.0</v>
      </c>
      <c r="H178" s="9" t="s">
        <v>1095</v>
      </c>
      <c r="I178" s="9" t="s">
        <v>70</v>
      </c>
    </row>
    <row r="179">
      <c r="A179" s="7" t="s">
        <v>1199</v>
      </c>
      <c r="B179" s="7" t="s">
        <v>964</v>
      </c>
      <c r="C179" s="9">
        <v>1.0</v>
      </c>
      <c r="D179" s="9" t="s">
        <v>1200</v>
      </c>
      <c r="E179" s="7"/>
      <c r="F179" s="10" t="s">
        <v>1201</v>
      </c>
      <c r="G179" s="9">
        <v>2.0</v>
      </c>
      <c r="H179" s="9" t="s">
        <v>966</v>
      </c>
      <c r="I179" s="9" t="s">
        <v>26</v>
      </c>
      <c r="J179" s="11" t="s">
        <v>1202</v>
      </c>
      <c r="K179" s="13" t="s">
        <v>1203</v>
      </c>
      <c r="L179" s="13" t="s">
        <v>1204</v>
      </c>
      <c r="M179" s="13" t="s">
        <v>1205</v>
      </c>
      <c r="N179" s="13" t="s">
        <v>1206</v>
      </c>
      <c r="O179" s="13" t="s">
        <v>1207</v>
      </c>
      <c r="P179" s="13" t="s">
        <v>1208</v>
      </c>
      <c r="Q179" s="13" t="s">
        <v>1209</v>
      </c>
      <c r="R179" s="13" t="s">
        <v>1210</v>
      </c>
      <c r="S179" s="13" t="s">
        <v>1211</v>
      </c>
      <c r="T179" s="13" t="s">
        <v>1212</v>
      </c>
    </row>
    <row r="180">
      <c r="A180" s="7" t="s">
        <v>1213</v>
      </c>
      <c r="B180" s="7" t="s">
        <v>1039</v>
      </c>
      <c r="C180" s="9">
        <v>1.0</v>
      </c>
      <c r="D180" s="15" t="s">
        <v>654</v>
      </c>
      <c r="E180" s="16" t="s">
        <v>1214</v>
      </c>
      <c r="F180" s="38" t="s">
        <v>1215</v>
      </c>
      <c r="G180" s="15">
        <v>3.0</v>
      </c>
      <c r="H180" s="15" t="s">
        <v>1042</v>
      </c>
      <c r="I180" s="9" t="s">
        <v>26</v>
      </c>
      <c r="J180" s="11" t="s">
        <v>1216</v>
      </c>
      <c r="K180" s="13" t="s">
        <v>1217</v>
      </c>
      <c r="L180" s="13" t="s">
        <v>1218</v>
      </c>
      <c r="M180" s="13" t="s">
        <v>1219</v>
      </c>
      <c r="N180" s="13" t="s">
        <v>1220</v>
      </c>
      <c r="O180" s="13" t="s">
        <v>1221</v>
      </c>
      <c r="P180" s="13" t="s">
        <v>1218</v>
      </c>
      <c r="Q180" s="13" t="s">
        <v>1222</v>
      </c>
    </row>
    <row r="181" hidden="1">
      <c r="A181" s="22" t="s">
        <v>1223</v>
      </c>
      <c r="B181" s="80" t="s">
        <v>1039</v>
      </c>
      <c r="C181" s="15">
        <v>2.0</v>
      </c>
      <c r="D181" s="9" t="s">
        <v>80</v>
      </c>
      <c r="E181" s="7" t="s">
        <v>1224</v>
      </c>
      <c r="F181" s="10" t="s">
        <v>1225</v>
      </c>
      <c r="G181" s="9">
        <v>3.0</v>
      </c>
      <c r="H181" s="9" t="s">
        <v>1095</v>
      </c>
      <c r="I181" s="9" t="s">
        <v>70</v>
      </c>
    </row>
    <row r="182" ht="14.25" customHeight="1">
      <c r="A182" s="7" t="s">
        <v>1226</v>
      </c>
      <c r="B182" s="7" t="s">
        <v>1039</v>
      </c>
      <c r="C182" s="9">
        <v>1.0</v>
      </c>
      <c r="D182" s="9" t="s">
        <v>661</v>
      </c>
      <c r="E182" s="7" t="s">
        <v>1227</v>
      </c>
      <c r="F182" s="10" t="s">
        <v>1228</v>
      </c>
      <c r="G182" s="9">
        <v>1.0</v>
      </c>
      <c r="H182" s="9" t="s">
        <v>1051</v>
      </c>
      <c r="I182" s="9" t="s">
        <v>26</v>
      </c>
      <c r="J182" s="11" t="s">
        <v>1229</v>
      </c>
      <c r="K182" s="13" t="s">
        <v>1230</v>
      </c>
      <c r="L182" s="13" t="s">
        <v>1231</v>
      </c>
      <c r="M182" s="13" t="s">
        <v>1232</v>
      </c>
      <c r="N182" s="13" t="s">
        <v>1233</v>
      </c>
      <c r="O182" s="13" t="s">
        <v>1234</v>
      </c>
      <c r="P182" s="13" t="s">
        <v>1235</v>
      </c>
      <c r="Q182" s="13" t="s">
        <v>1236</v>
      </c>
    </row>
    <row r="183" hidden="1">
      <c r="A183" s="7" t="s">
        <v>1237</v>
      </c>
      <c r="B183" s="80" t="s">
        <v>1039</v>
      </c>
      <c r="C183" s="15">
        <v>2.0</v>
      </c>
      <c r="D183" s="9" t="s">
        <v>37</v>
      </c>
      <c r="E183" s="82" t="s">
        <v>1238</v>
      </c>
      <c r="F183" s="10" t="s">
        <v>1239</v>
      </c>
      <c r="G183" s="9">
        <v>3.0</v>
      </c>
      <c r="H183" s="9" t="s">
        <v>1095</v>
      </c>
      <c r="I183" s="9" t="s">
        <v>70</v>
      </c>
    </row>
    <row r="184" ht="16.5" hidden="1" customHeight="1">
      <c r="A184" s="22" t="s">
        <v>1240</v>
      </c>
      <c r="B184" s="80" t="s">
        <v>1039</v>
      </c>
      <c r="C184" s="9">
        <v>0.0</v>
      </c>
      <c r="D184" s="9" t="s">
        <v>238</v>
      </c>
      <c r="E184" s="7" t="s">
        <v>1241</v>
      </c>
      <c r="F184" s="10" t="s">
        <v>1242</v>
      </c>
      <c r="G184" s="9">
        <v>4.0</v>
      </c>
      <c r="H184" s="9" t="s">
        <v>1167</v>
      </c>
      <c r="I184" s="15" t="s">
        <v>70</v>
      </c>
    </row>
    <row r="185" hidden="1">
      <c r="A185" s="16" t="s">
        <v>1243</v>
      </c>
      <c r="B185" s="80" t="s">
        <v>1039</v>
      </c>
      <c r="C185" s="9">
        <v>2.0</v>
      </c>
      <c r="D185" s="9" t="s">
        <v>998</v>
      </c>
      <c r="E185" s="7" t="s">
        <v>1244</v>
      </c>
      <c r="F185" s="10" t="s">
        <v>659</v>
      </c>
      <c r="G185" s="9">
        <v>2.0</v>
      </c>
      <c r="H185" s="9" t="s">
        <v>1245</v>
      </c>
      <c r="I185" s="9" t="s">
        <v>70</v>
      </c>
    </row>
    <row r="186">
      <c r="A186" s="16" t="s">
        <v>1246</v>
      </c>
      <c r="B186" s="7" t="s">
        <v>1039</v>
      </c>
      <c r="C186" s="9">
        <v>1.0</v>
      </c>
      <c r="D186" s="9" t="s">
        <v>37</v>
      </c>
      <c r="E186" s="7" t="s">
        <v>60</v>
      </c>
      <c r="F186" s="10" t="s">
        <v>1247</v>
      </c>
      <c r="G186" s="9">
        <v>1.0</v>
      </c>
      <c r="H186" s="9" t="s">
        <v>1164</v>
      </c>
      <c r="I186" s="9" t="s">
        <v>26</v>
      </c>
      <c r="J186" s="11" t="s">
        <v>1248</v>
      </c>
      <c r="K186" s="13" t="s">
        <v>1249</v>
      </c>
      <c r="L186" s="13" t="s">
        <v>1250</v>
      </c>
      <c r="M186" s="13" t="s">
        <v>1251</v>
      </c>
      <c r="N186" s="13" t="s">
        <v>1252</v>
      </c>
      <c r="O186" s="13" t="s">
        <v>1253</v>
      </c>
      <c r="P186" s="13" t="s">
        <v>1254</v>
      </c>
      <c r="Q186" s="13" t="s">
        <v>1255</v>
      </c>
      <c r="R186" s="13" t="s">
        <v>1256</v>
      </c>
      <c r="S186" s="13" t="s">
        <v>1257</v>
      </c>
    </row>
    <row r="187" hidden="1">
      <c r="A187" s="16" t="s">
        <v>1258</v>
      </c>
      <c r="B187" s="78" t="s">
        <v>1039</v>
      </c>
      <c r="C187" s="15">
        <v>2.0</v>
      </c>
      <c r="D187" s="15" t="s">
        <v>111</v>
      </c>
      <c r="E187" s="16" t="s">
        <v>1259</v>
      </c>
      <c r="F187" s="17" t="s">
        <v>1260</v>
      </c>
      <c r="G187" s="15">
        <v>1.0</v>
      </c>
      <c r="H187" s="15" t="s">
        <v>1164</v>
      </c>
      <c r="I187" s="15" t="s">
        <v>26</v>
      </c>
    </row>
    <row r="188">
      <c r="A188" s="22" t="s">
        <v>1261</v>
      </c>
      <c r="B188" s="7" t="s">
        <v>1039</v>
      </c>
      <c r="C188" s="9">
        <v>1.0</v>
      </c>
      <c r="D188" s="9" t="s">
        <v>133</v>
      </c>
      <c r="E188" s="7" t="s">
        <v>1262</v>
      </c>
      <c r="F188" s="10" t="s">
        <v>1263</v>
      </c>
      <c r="G188" s="9">
        <v>3.0</v>
      </c>
      <c r="H188" s="9" t="s">
        <v>1264</v>
      </c>
      <c r="I188" s="9" t="s">
        <v>26</v>
      </c>
      <c r="J188" s="11" t="s">
        <v>1265</v>
      </c>
      <c r="K188" s="13" t="s">
        <v>1266</v>
      </c>
      <c r="L188" s="13" t="s">
        <v>1267</v>
      </c>
      <c r="M188" s="13" t="s">
        <v>1268</v>
      </c>
      <c r="N188" s="13" t="s">
        <v>1269</v>
      </c>
      <c r="O188" s="13" t="s">
        <v>1270</v>
      </c>
    </row>
    <row r="189">
      <c r="A189" s="22" t="s">
        <v>1271</v>
      </c>
      <c r="B189" s="7" t="s">
        <v>1039</v>
      </c>
      <c r="C189" s="9">
        <v>1.0</v>
      </c>
      <c r="D189" s="9" t="s">
        <v>433</v>
      </c>
      <c r="E189" s="7" t="s">
        <v>1272</v>
      </c>
      <c r="F189" s="10" t="s">
        <v>1273</v>
      </c>
      <c r="G189" s="9">
        <v>2.0</v>
      </c>
      <c r="H189" s="9" t="s">
        <v>1095</v>
      </c>
      <c r="I189" s="9" t="s">
        <v>26</v>
      </c>
      <c r="J189" s="11" t="s">
        <v>1274</v>
      </c>
      <c r="K189" s="13" t="s">
        <v>1275</v>
      </c>
      <c r="L189" s="13" t="s">
        <v>1276</v>
      </c>
      <c r="M189" s="13" t="s">
        <v>1277</v>
      </c>
      <c r="N189" s="13" t="s">
        <v>1278</v>
      </c>
      <c r="O189" s="13" t="s">
        <v>1279</v>
      </c>
      <c r="P189" s="13" t="s">
        <v>1280</v>
      </c>
      <c r="Q189" s="13" t="s">
        <v>1281</v>
      </c>
    </row>
    <row r="190">
      <c r="A190" s="22" t="s">
        <v>1282</v>
      </c>
      <c r="B190" s="7" t="s">
        <v>1039</v>
      </c>
      <c r="C190" s="9">
        <v>1.0</v>
      </c>
      <c r="D190" s="9" t="s">
        <v>80</v>
      </c>
      <c r="E190" s="7" t="s">
        <v>1283</v>
      </c>
      <c r="F190" s="10" t="s">
        <v>1284</v>
      </c>
      <c r="G190" s="9">
        <v>4.0</v>
      </c>
      <c r="H190" s="9" t="s">
        <v>1285</v>
      </c>
      <c r="I190" s="9" t="s">
        <v>26</v>
      </c>
      <c r="J190" s="11" t="s">
        <v>1286</v>
      </c>
      <c r="K190" s="13" t="s">
        <v>1287</v>
      </c>
      <c r="L190" s="13" t="s">
        <v>1288</v>
      </c>
      <c r="M190" s="13" t="s">
        <v>1289</v>
      </c>
      <c r="N190" s="13" t="s">
        <v>1290</v>
      </c>
      <c r="O190" s="13" t="s">
        <v>1291</v>
      </c>
    </row>
    <row r="191">
      <c r="A191" s="7" t="s">
        <v>1292</v>
      </c>
      <c r="B191" s="7" t="s">
        <v>1039</v>
      </c>
      <c r="C191" s="9">
        <v>1.0</v>
      </c>
      <c r="D191" s="9" t="s">
        <v>998</v>
      </c>
      <c r="E191" s="73" t="s">
        <v>1293</v>
      </c>
      <c r="F191" s="17" t="s">
        <v>1294</v>
      </c>
      <c r="G191" s="9">
        <v>6.0</v>
      </c>
      <c r="H191" s="9" t="s">
        <v>1295</v>
      </c>
      <c r="I191" s="9" t="s">
        <v>26</v>
      </c>
      <c r="J191" s="11" t="s">
        <v>1296</v>
      </c>
      <c r="K191" s="13" t="s">
        <v>1297</v>
      </c>
      <c r="L191" s="13" t="s">
        <v>1298</v>
      </c>
      <c r="M191" s="13" t="s">
        <v>1299</v>
      </c>
      <c r="N191" s="13" t="s">
        <v>1300</v>
      </c>
      <c r="O191" s="13" t="s">
        <v>1301</v>
      </c>
      <c r="P191" s="13" t="s">
        <v>1302</v>
      </c>
    </row>
    <row r="192" hidden="1">
      <c r="A192" s="22" t="s">
        <v>1303</v>
      </c>
      <c r="B192" s="80" t="s">
        <v>1039</v>
      </c>
      <c r="C192" s="9">
        <v>2.0</v>
      </c>
      <c r="D192" s="9" t="s">
        <v>111</v>
      </c>
      <c r="E192" s="7" t="s">
        <v>1304</v>
      </c>
      <c r="F192" s="10" t="s">
        <v>1305</v>
      </c>
      <c r="G192" s="9">
        <v>1.0</v>
      </c>
      <c r="H192" s="9" t="s">
        <v>1051</v>
      </c>
      <c r="I192" s="9" t="s">
        <v>26</v>
      </c>
    </row>
    <row r="193" hidden="1">
      <c r="A193" s="7" t="s">
        <v>1306</v>
      </c>
      <c r="B193" s="80" t="s">
        <v>1039</v>
      </c>
      <c r="C193" s="15">
        <v>2.0</v>
      </c>
      <c r="D193" s="9" t="s">
        <v>250</v>
      </c>
      <c r="E193" s="7" t="s">
        <v>1307</v>
      </c>
      <c r="F193" s="10" t="s">
        <v>24</v>
      </c>
      <c r="G193" s="9">
        <v>6.0</v>
      </c>
      <c r="H193" s="9" t="s">
        <v>1264</v>
      </c>
      <c r="I193" s="9" t="s">
        <v>32</v>
      </c>
    </row>
    <row r="194">
      <c r="A194" s="24" t="s">
        <v>1308</v>
      </c>
      <c r="B194" s="7" t="s">
        <v>1039</v>
      </c>
      <c r="C194" s="9">
        <v>1.0</v>
      </c>
      <c r="D194" s="21" t="s">
        <v>111</v>
      </c>
      <c r="E194" s="73" t="s">
        <v>1309</v>
      </c>
      <c r="F194" s="63" t="s">
        <v>1310</v>
      </c>
      <c r="G194" s="9">
        <v>2.0</v>
      </c>
      <c r="H194" s="9" t="s">
        <v>1311</v>
      </c>
      <c r="I194" s="15" t="s">
        <v>26</v>
      </c>
      <c r="J194" s="11" t="s">
        <v>1312</v>
      </c>
      <c r="K194" s="13" t="s">
        <v>1313</v>
      </c>
      <c r="L194" s="13" t="s">
        <v>1314</v>
      </c>
      <c r="M194" s="13" t="s">
        <v>1315</v>
      </c>
      <c r="N194" s="13" t="s">
        <v>1316</v>
      </c>
      <c r="O194" s="13" t="s">
        <v>1317</v>
      </c>
    </row>
    <row r="195" hidden="1">
      <c r="A195" s="16" t="s">
        <v>1318</v>
      </c>
      <c r="B195" s="78" t="s">
        <v>1039</v>
      </c>
      <c r="C195" s="15">
        <v>2.0</v>
      </c>
      <c r="D195" s="15" t="s">
        <v>998</v>
      </c>
      <c r="E195" s="16" t="s">
        <v>1319</v>
      </c>
      <c r="F195" s="17" t="s">
        <v>24</v>
      </c>
      <c r="G195" s="15">
        <v>1.0</v>
      </c>
      <c r="H195" s="15" t="s">
        <v>1164</v>
      </c>
      <c r="I195" s="15" t="s">
        <v>26</v>
      </c>
    </row>
    <row r="196">
      <c r="A196" s="16" t="s">
        <v>1320</v>
      </c>
      <c r="B196" s="7" t="s">
        <v>1039</v>
      </c>
      <c r="C196" s="9">
        <v>1.0</v>
      </c>
      <c r="D196" s="9" t="s">
        <v>447</v>
      </c>
      <c r="E196" s="7" t="s">
        <v>1321</v>
      </c>
      <c r="F196" s="10" t="s">
        <v>1322</v>
      </c>
      <c r="G196" s="9">
        <v>1.0</v>
      </c>
      <c r="H196" s="9" t="s">
        <v>1051</v>
      </c>
      <c r="I196" s="21" t="s">
        <v>26</v>
      </c>
      <c r="J196" s="11" t="s">
        <v>1323</v>
      </c>
      <c r="K196" s="13" t="s">
        <v>1324</v>
      </c>
      <c r="L196" s="13" t="s">
        <v>1325</v>
      </c>
      <c r="M196" s="13" t="s">
        <v>1326</v>
      </c>
      <c r="N196" s="13" t="s">
        <v>1327</v>
      </c>
      <c r="O196" s="13" t="s">
        <v>1328</v>
      </c>
      <c r="P196" s="13" t="s">
        <v>1329</v>
      </c>
      <c r="Q196" s="13" t="s">
        <v>1330</v>
      </c>
    </row>
    <row r="197">
      <c r="A197" s="7" t="s">
        <v>1331</v>
      </c>
      <c r="B197" s="7" t="s">
        <v>1039</v>
      </c>
      <c r="C197" s="9">
        <v>1.0</v>
      </c>
      <c r="D197" s="9" t="s">
        <v>998</v>
      </c>
      <c r="E197" s="7" t="s">
        <v>1332</v>
      </c>
      <c r="F197" s="10" t="s">
        <v>1333</v>
      </c>
      <c r="G197" s="9">
        <v>0.0</v>
      </c>
      <c r="H197" s="9" t="s">
        <v>1285</v>
      </c>
      <c r="I197" s="9" t="s">
        <v>26</v>
      </c>
      <c r="J197" s="11" t="s">
        <v>1334</v>
      </c>
      <c r="K197" s="13" t="s">
        <v>1335</v>
      </c>
      <c r="L197" s="13" t="s">
        <v>1336</v>
      </c>
      <c r="M197" s="13" t="s">
        <v>1337</v>
      </c>
      <c r="N197" s="13" t="s">
        <v>1338</v>
      </c>
      <c r="O197" s="13" t="s">
        <v>1339</v>
      </c>
    </row>
    <row r="198">
      <c r="A198" s="7" t="s">
        <v>1340</v>
      </c>
      <c r="B198" s="7" t="s">
        <v>1039</v>
      </c>
      <c r="C198" s="9">
        <v>1.0</v>
      </c>
      <c r="D198" s="9" t="s">
        <v>111</v>
      </c>
      <c r="E198" s="73" t="s">
        <v>1341</v>
      </c>
      <c r="F198" s="83" t="s">
        <v>1342</v>
      </c>
      <c r="G198" s="9">
        <v>2.0</v>
      </c>
      <c r="H198" s="9" t="s">
        <v>1042</v>
      </c>
      <c r="I198" s="9" t="s">
        <v>26</v>
      </c>
      <c r="J198" s="11" t="s">
        <v>1343</v>
      </c>
      <c r="K198" s="13" t="s">
        <v>1344</v>
      </c>
      <c r="L198" s="13" t="s">
        <v>1345</v>
      </c>
    </row>
    <row r="199">
      <c r="A199" s="16" t="s">
        <v>1346</v>
      </c>
      <c r="B199" s="7" t="s">
        <v>1039</v>
      </c>
      <c r="C199" s="9">
        <v>1.0</v>
      </c>
      <c r="D199" s="9" t="s">
        <v>149</v>
      </c>
      <c r="E199" s="32" t="s">
        <v>1347</v>
      </c>
      <c r="F199" s="10" t="s">
        <v>1348</v>
      </c>
      <c r="G199" s="9">
        <v>4.0</v>
      </c>
      <c r="H199" s="9" t="s">
        <v>1095</v>
      </c>
      <c r="I199" s="9" t="s">
        <v>70</v>
      </c>
      <c r="J199" s="11" t="s">
        <v>1349</v>
      </c>
      <c r="K199" s="13" t="s">
        <v>1350</v>
      </c>
      <c r="L199" s="13" t="s">
        <v>1351</v>
      </c>
      <c r="M199" s="13" t="s">
        <v>1352</v>
      </c>
      <c r="N199" s="13" t="s">
        <v>1353</v>
      </c>
      <c r="O199" s="13" t="s">
        <v>1354</v>
      </c>
      <c r="P199" s="13" t="s">
        <v>1355</v>
      </c>
      <c r="Q199" s="13" t="s">
        <v>1356</v>
      </c>
    </row>
    <row r="200">
      <c r="A200" s="7" t="s">
        <v>1357</v>
      </c>
      <c r="B200" s="7" t="s">
        <v>1039</v>
      </c>
      <c r="C200" s="9">
        <v>1.0</v>
      </c>
      <c r="D200" s="9" t="s">
        <v>37</v>
      </c>
      <c r="E200" s="7" t="s">
        <v>1358</v>
      </c>
      <c r="F200" s="10" t="s">
        <v>1359</v>
      </c>
      <c r="G200" s="9">
        <v>1.0</v>
      </c>
      <c r="H200" s="9" t="s">
        <v>1051</v>
      </c>
      <c r="I200" s="9" t="s">
        <v>70</v>
      </c>
      <c r="J200" s="11" t="s">
        <v>1360</v>
      </c>
      <c r="K200" s="13" t="s">
        <v>1361</v>
      </c>
      <c r="L200" s="13" t="s">
        <v>1362</v>
      </c>
      <c r="M200" s="13" t="s">
        <v>1363</v>
      </c>
    </row>
    <row r="201" hidden="1">
      <c r="A201" s="16" t="s">
        <v>1364</v>
      </c>
      <c r="B201" s="16" t="s">
        <v>1039</v>
      </c>
      <c r="C201" s="15">
        <v>2.0</v>
      </c>
      <c r="D201" s="15" t="s">
        <v>1365</v>
      </c>
      <c r="E201" s="16" t="s">
        <v>1366</v>
      </c>
      <c r="F201" s="17" t="s">
        <v>1367</v>
      </c>
      <c r="G201" s="15">
        <v>5.0</v>
      </c>
      <c r="H201" s="15" t="s">
        <v>443</v>
      </c>
      <c r="I201" s="15" t="s">
        <v>26</v>
      </c>
    </row>
    <row r="202" hidden="1">
      <c r="A202" s="51" t="s">
        <v>1368</v>
      </c>
      <c r="B202" s="54" t="s">
        <v>1369</v>
      </c>
      <c r="C202" s="53">
        <v>2.0</v>
      </c>
      <c r="D202" s="53" t="s">
        <v>1370</v>
      </c>
      <c r="E202" s="54" t="s">
        <v>1371</v>
      </c>
      <c r="F202" s="55" t="s">
        <v>24</v>
      </c>
      <c r="G202" s="56">
        <v>7.0</v>
      </c>
      <c r="H202" s="53" t="s">
        <v>1372</v>
      </c>
      <c r="I202" s="56" t="s">
        <v>70</v>
      </c>
    </row>
    <row r="203">
      <c r="A203" s="22" t="s">
        <v>1373</v>
      </c>
      <c r="B203" s="7" t="s">
        <v>1039</v>
      </c>
      <c r="C203" s="9">
        <v>1.0</v>
      </c>
      <c r="D203" s="9" t="s">
        <v>250</v>
      </c>
      <c r="E203" s="7" t="s">
        <v>1374</v>
      </c>
      <c r="F203" s="10" t="s">
        <v>1375</v>
      </c>
      <c r="G203" s="9">
        <v>2.0</v>
      </c>
      <c r="H203" s="9" t="s">
        <v>1042</v>
      </c>
      <c r="I203" s="9" t="s">
        <v>70</v>
      </c>
      <c r="J203" s="11" t="s">
        <v>1376</v>
      </c>
      <c r="K203" s="13" t="s">
        <v>1377</v>
      </c>
      <c r="L203" s="13" t="s">
        <v>1378</v>
      </c>
      <c r="M203" s="13" t="s">
        <v>1379</v>
      </c>
    </row>
    <row r="204" hidden="1">
      <c r="A204" s="7" t="s">
        <v>1380</v>
      </c>
      <c r="B204" s="7" t="s">
        <v>1369</v>
      </c>
      <c r="C204" s="9">
        <v>2.0</v>
      </c>
      <c r="D204" s="9" t="s">
        <v>408</v>
      </c>
      <c r="E204" s="16" t="s">
        <v>1381</v>
      </c>
      <c r="F204" s="17" t="s">
        <v>1382</v>
      </c>
      <c r="G204" s="9">
        <v>3.0</v>
      </c>
      <c r="H204" s="9" t="s">
        <v>1383</v>
      </c>
      <c r="I204" s="9" t="s">
        <v>70</v>
      </c>
    </row>
    <row r="205">
      <c r="A205" s="7" t="s">
        <v>1384</v>
      </c>
      <c r="B205" s="7" t="s">
        <v>1039</v>
      </c>
      <c r="C205" s="9">
        <v>1.0</v>
      </c>
      <c r="D205" s="9" t="s">
        <v>80</v>
      </c>
      <c r="E205" s="7" t="s">
        <v>1385</v>
      </c>
      <c r="F205" s="10" t="s">
        <v>1386</v>
      </c>
      <c r="G205" s="9">
        <v>2.0</v>
      </c>
      <c r="H205" s="9" t="s">
        <v>1095</v>
      </c>
      <c r="I205" s="9" t="s">
        <v>70</v>
      </c>
      <c r="J205" s="11" t="s">
        <v>1387</v>
      </c>
      <c r="K205" s="13" t="s">
        <v>1388</v>
      </c>
      <c r="L205" s="13" t="s">
        <v>1389</v>
      </c>
      <c r="M205" s="13" t="s">
        <v>1390</v>
      </c>
      <c r="N205" s="13" t="s">
        <v>1391</v>
      </c>
      <c r="O205" s="13" t="s">
        <v>1392</v>
      </c>
    </row>
    <row r="206" hidden="1">
      <c r="A206" s="16" t="s">
        <v>1393</v>
      </c>
      <c r="B206" s="16" t="s">
        <v>1369</v>
      </c>
      <c r="C206" s="15">
        <v>2.0</v>
      </c>
      <c r="D206" s="15" t="s">
        <v>238</v>
      </c>
      <c r="E206" s="16" t="s">
        <v>1394</v>
      </c>
      <c r="F206" s="17" t="s">
        <v>168</v>
      </c>
      <c r="G206" s="15">
        <v>2.0</v>
      </c>
      <c r="H206" s="15" t="s">
        <v>1395</v>
      </c>
      <c r="I206" s="15" t="s">
        <v>70</v>
      </c>
    </row>
    <row r="207" hidden="1">
      <c r="A207" s="16" t="s">
        <v>1396</v>
      </c>
      <c r="B207" s="16" t="s">
        <v>1369</v>
      </c>
      <c r="C207" s="15">
        <v>2.0</v>
      </c>
      <c r="D207" s="15" t="s">
        <v>1397</v>
      </c>
      <c r="E207" s="16" t="s">
        <v>1398</v>
      </c>
      <c r="F207" s="34"/>
      <c r="G207" s="15">
        <v>3.0</v>
      </c>
      <c r="H207" s="15" t="s">
        <v>1383</v>
      </c>
      <c r="I207" s="15" t="s">
        <v>70</v>
      </c>
    </row>
    <row r="208">
      <c r="A208" s="84" t="s">
        <v>1399</v>
      </c>
      <c r="B208" s="7" t="s">
        <v>1039</v>
      </c>
      <c r="C208" s="9">
        <v>1.0</v>
      </c>
      <c r="D208" s="9" t="s">
        <v>938</v>
      </c>
      <c r="E208" s="73" t="s">
        <v>1400</v>
      </c>
      <c r="F208" s="85" t="s">
        <v>1401</v>
      </c>
      <c r="G208" s="9">
        <v>3.0</v>
      </c>
      <c r="H208" s="9" t="s">
        <v>1095</v>
      </c>
      <c r="I208" s="21" t="s">
        <v>70</v>
      </c>
      <c r="J208" s="11" t="s">
        <v>1402</v>
      </c>
      <c r="K208" s="13" t="s">
        <v>1403</v>
      </c>
      <c r="L208" s="13" t="s">
        <v>1404</v>
      </c>
      <c r="M208" s="13" t="s">
        <v>1405</v>
      </c>
      <c r="N208" s="13" t="s">
        <v>1406</v>
      </c>
      <c r="O208" s="13" t="s">
        <v>1407</v>
      </c>
      <c r="P208" s="13" t="s">
        <v>1408</v>
      </c>
      <c r="Q208" s="13" t="s">
        <v>1409</v>
      </c>
      <c r="R208" s="13" t="s">
        <v>1410</v>
      </c>
    </row>
    <row r="209" hidden="1">
      <c r="A209" s="7" t="s">
        <v>1411</v>
      </c>
      <c r="B209" s="7" t="s">
        <v>1369</v>
      </c>
      <c r="C209" s="9">
        <v>2.0</v>
      </c>
      <c r="D209" s="9" t="s">
        <v>447</v>
      </c>
      <c r="E209" s="7" t="s">
        <v>1412</v>
      </c>
      <c r="F209" s="10" t="s">
        <v>1413</v>
      </c>
      <c r="G209" s="9">
        <v>3.0</v>
      </c>
      <c r="H209" s="9" t="s">
        <v>1383</v>
      </c>
      <c r="I209" s="9" t="s">
        <v>70</v>
      </c>
    </row>
    <row r="210">
      <c r="A210" s="24" t="s">
        <v>1414</v>
      </c>
      <c r="B210" s="7" t="s">
        <v>1039</v>
      </c>
      <c r="C210" s="9">
        <v>1.0</v>
      </c>
      <c r="D210" s="9" t="s">
        <v>149</v>
      </c>
      <c r="E210" s="7" t="s">
        <v>1415</v>
      </c>
      <c r="F210" s="10" t="s">
        <v>1416</v>
      </c>
      <c r="G210" s="21">
        <v>3.0</v>
      </c>
      <c r="H210" s="9" t="s">
        <v>1285</v>
      </c>
      <c r="I210" s="21" t="s">
        <v>70</v>
      </c>
      <c r="J210" s="11" t="s">
        <v>1417</v>
      </c>
      <c r="K210" s="13" t="s">
        <v>1418</v>
      </c>
      <c r="L210" s="13" t="s">
        <v>1419</v>
      </c>
      <c r="M210" s="13" t="s">
        <v>1420</v>
      </c>
      <c r="N210" s="13" t="s">
        <v>1421</v>
      </c>
      <c r="O210" s="13" t="s">
        <v>1422</v>
      </c>
      <c r="P210" s="13" t="s">
        <v>1423</v>
      </c>
      <c r="Q210" s="13" t="s">
        <v>1424</v>
      </c>
      <c r="R210" s="13" t="s">
        <v>1425</v>
      </c>
      <c r="S210" s="13" t="s">
        <v>1426</v>
      </c>
      <c r="T210" s="13" t="s">
        <v>1427</v>
      </c>
    </row>
    <row r="211" hidden="1">
      <c r="A211" s="7" t="s">
        <v>1428</v>
      </c>
      <c r="B211" s="7" t="s">
        <v>1429</v>
      </c>
      <c r="C211" s="9">
        <v>2.0</v>
      </c>
      <c r="D211" s="9" t="s">
        <v>37</v>
      </c>
      <c r="E211" s="86" t="s">
        <v>1430</v>
      </c>
      <c r="F211" s="10" t="s">
        <v>838</v>
      </c>
      <c r="G211" s="9">
        <v>3.0</v>
      </c>
      <c r="H211" s="9" t="s">
        <v>1431</v>
      </c>
      <c r="I211" s="9" t="s">
        <v>70</v>
      </c>
    </row>
    <row r="212">
      <c r="A212" s="16" t="s">
        <v>1432</v>
      </c>
      <c r="B212" s="16" t="s">
        <v>1039</v>
      </c>
      <c r="C212" s="15">
        <v>1.0</v>
      </c>
      <c r="D212" s="15" t="s">
        <v>149</v>
      </c>
      <c r="E212" s="16" t="s">
        <v>1433</v>
      </c>
      <c r="F212" s="17" t="s">
        <v>1434</v>
      </c>
      <c r="G212" s="15">
        <v>2.0</v>
      </c>
      <c r="H212" s="15" t="s">
        <v>1245</v>
      </c>
      <c r="I212" s="15" t="s">
        <v>70</v>
      </c>
      <c r="J212" s="11" t="s">
        <v>1435</v>
      </c>
      <c r="K212" s="13" t="s">
        <v>1436</v>
      </c>
      <c r="L212" s="13" t="s">
        <v>1437</v>
      </c>
      <c r="M212" s="13" t="s">
        <v>1438</v>
      </c>
      <c r="N212" s="13" t="s">
        <v>1439</v>
      </c>
      <c r="O212" s="13" t="s">
        <v>1440</v>
      </c>
      <c r="P212" s="13" t="s">
        <v>1441</v>
      </c>
      <c r="Q212" s="13" t="s">
        <v>1442</v>
      </c>
      <c r="R212" s="13" t="s">
        <v>1443</v>
      </c>
      <c r="S212" s="13" t="s">
        <v>1444</v>
      </c>
    </row>
    <row r="213" hidden="1">
      <c r="A213" s="16" t="s">
        <v>1445</v>
      </c>
      <c r="B213" s="16" t="s">
        <v>1429</v>
      </c>
      <c r="C213" s="15">
        <v>2.0</v>
      </c>
      <c r="D213" s="15" t="s">
        <v>1446</v>
      </c>
      <c r="E213" s="16" t="s">
        <v>1447</v>
      </c>
      <c r="F213" s="17" t="s">
        <v>838</v>
      </c>
      <c r="G213" s="15">
        <v>3.0</v>
      </c>
      <c r="H213" s="15" t="s">
        <v>1448</v>
      </c>
      <c r="I213" s="9" t="s">
        <v>70</v>
      </c>
    </row>
    <row r="214">
      <c r="A214" s="69" t="s">
        <v>1449</v>
      </c>
      <c r="B214" s="87" t="s">
        <v>1039</v>
      </c>
      <c r="C214" s="71">
        <v>1.0</v>
      </c>
      <c r="D214" s="71" t="s">
        <v>322</v>
      </c>
      <c r="E214" s="69" t="s">
        <v>1450</v>
      </c>
      <c r="F214" s="69"/>
      <c r="G214" s="71">
        <v>4.0</v>
      </c>
      <c r="H214" s="71" t="s">
        <v>443</v>
      </c>
      <c r="I214" s="71" t="s">
        <v>70</v>
      </c>
      <c r="J214" s="11" t="s">
        <v>1451</v>
      </c>
      <c r="K214" s="72" t="s">
        <v>1452</v>
      </c>
      <c r="L214" s="72" t="s">
        <v>1453</v>
      </c>
      <c r="M214" s="72" t="s">
        <v>1454</v>
      </c>
      <c r="N214" s="72" t="s">
        <v>1455</v>
      </c>
      <c r="O214" s="72" t="s">
        <v>1456</v>
      </c>
      <c r="P214" s="72" t="s">
        <v>1457</v>
      </c>
      <c r="Q214" s="72" t="s">
        <v>1458</v>
      </c>
      <c r="R214" s="72" t="s">
        <v>1459</v>
      </c>
      <c r="S214" s="28"/>
      <c r="T214" s="28"/>
    </row>
    <row r="215" hidden="1">
      <c r="A215" s="22" t="s">
        <v>1460</v>
      </c>
      <c r="B215" s="7" t="s">
        <v>1429</v>
      </c>
      <c r="C215" s="9">
        <v>2.0</v>
      </c>
      <c r="D215" s="9" t="s">
        <v>342</v>
      </c>
      <c r="E215" s="86" t="s">
        <v>1461</v>
      </c>
      <c r="F215" s="10" t="s">
        <v>1462</v>
      </c>
      <c r="G215" s="9">
        <v>2.0</v>
      </c>
      <c r="H215" s="74" t="s">
        <v>1431</v>
      </c>
      <c r="I215" s="9" t="s">
        <v>70</v>
      </c>
    </row>
    <row r="216" hidden="1">
      <c r="A216" s="16" t="s">
        <v>1463</v>
      </c>
      <c r="B216" s="16" t="s">
        <v>1429</v>
      </c>
      <c r="C216" s="15">
        <v>2.0</v>
      </c>
      <c r="D216" s="15" t="s">
        <v>1464</v>
      </c>
      <c r="E216" s="16" t="s">
        <v>1465</v>
      </c>
      <c r="F216" s="34"/>
      <c r="G216" s="15">
        <v>3.0</v>
      </c>
      <c r="H216" s="15" t="s">
        <v>1466</v>
      </c>
      <c r="I216" s="9" t="s">
        <v>70</v>
      </c>
    </row>
    <row r="217" hidden="1">
      <c r="A217" s="16" t="s">
        <v>1467</v>
      </c>
      <c r="B217" s="16" t="s">
        <v>1429</v>
      </c>
      <c r="C217" s="15">
        <v>2.0</v>
      </c>
      <c r="D217" s="15" t="s">
        <v>1175</v>
      </c>
      <c r="E217" s="16" t="s">
        <v>1468</v>
      </c>
      <c r="F217" s="34"/>
      <c r="G217" s="15">
        <v>7.0</v>
      </c>
      <c r="H217" s="15" t="s">
        <v>1469</v>
      </c>
      <c r="I217" s="15" t="s">
        <v>70</v>
      </c>
    </row>
    <row r="218" hidden="1">
      <c r="A218" s="16" t="s">
        <v>1470</v>
      </c>
      <c r="B218" s="16" t="s">
        <v>1429</v>
      </c>
      <c r="C218" s="15">
        <v>2.0</v>
      </c>
      <c r="D218" s="15" t="s">
        <v>37</v>
      </c>
      <c r="E218" s="16" t="s">
        <v>1471</v>
      </c>
      <c r="F218" s="34"/>
      <c r="G218" s="15">
        <v>1.0</v>
      </c>
      <c r="H218" s="15" t="s">
        <v>1472</v>
      </c>
      <c r="I218" s="15" t="s">
        <v>26</v>
      </c>
    </row>
    <row r="219">
      <c r="A219" s="16" t="s">
        <v>1473</v>
      </c>
      <c r="B219" s="7" t="s">
        <v>1039</v>
      </c>
      <c r="C219" s="9">
        <v>1.0</v>
      </c>
      <c r="D219" s="9" t="s">
        <v>149</v>
      </c>
      <c r="E219" s="16" t="s">
        <v>1474</v>
      </c>
      <c r="F219" s="17" t="s">
        <v>1475</v>
      </c>
      <c r="G219" s="9">
        <v>2.0</v>
      </c>
      <c r="H219" s="9" t="s">
        <v>443</v>
      </c>
      <c r="I219" s="9" t="s">
        <v>32</v>
      </c>
      <c r="J219" s="57" t="s">
        <v>1476</v>
      </c>
      <c r="K219" s="13" t="s">
        <v>1477</v>
      </c>
      <c r="L219" s="13" t="s">
        <v>1478</v>
      </c>
      <c r="M219" s="13" t="s">
        <v>1479</v>
      </c>
      <c r="N219" s="13" t="s">
        <v>1480</v>
      </c>
      <c r="O219" s="13" t="s">
        <v>1481</v>
      </c>
    </row>
    <row r="220">
      <c r="A220" s="16" t="s">
        <v>1482</v>
      </c>
      <c r="B220" s="16" t="s">
        <v>1039</v>
      </c>
      <c r="C220" s="15">
        <v>1.0</v>
      </c>
      <c r="D220" s="15" t="s">
        <v>133</v>
      </c>
      <c r="E220" s="16" t="s">
        <v>1483</v>
      </c>
      <c r="F220" s="17" t="s">
        <v>1484</v>
      </c>
      <c r="G220" s="15">
        <v>3.0</v>
      </c>
      <c r="H220" s="15" t="s">
        <v>1042</v>
      </c>
      <c r="I220" s="9" t="s">
        <v>32</v>
      </c>
      <c r="J220" s="57" t="s">
        <v>1485</v>
      </c>
      <c r="K220" s="13" t="s">
        <v>1486</v>
      </c>
      <c r="L220" s="13" t="s">
        <v>1487</v>
      </c>
      <c r="M220" s="13" t="s">
        <v>1488</v>
      </c>
      <c r="N220" s="13" t="s">
        <v>1489</v>
      </c>
    </row>
    <row r="221">
      <c r="A221" s="24" t="s">
        <v>1490</v>
      </c>
      <c r="B221" s="7" t="s">
        <v>1039</v>
      </c>
      <c r="C221" s="9">
        <v>1.0</v>
      </c>
      <c r="D221" s="9" t="s">
        <v>1464</v>
      </c>
      <c r="E221" s="7" t="s">
        <v>1491</v>
      </c>
      <c r="F221" s="10" t="s">
        <v>1492</v>
      </c>
      <c r="G221" s="9">
        <v>4.0</v>
      </c>
      <c r="H221" s="9" t="s">
        <v>1095</v>
      </c>
      <c r="I221" s="21" t="s">
        <v>32</v>
      </c>
      <c r="J221" s="16" t="s">
        <v>1493</v>
      </c>
      <c r="K221" s="13" t="s">
        <v>1494</v>
      </c>
      <c r="L221" s="13" t="s">
        <v>1495</v>
      </c>
      <c r="M221" s="13" t="s">
        <v>1496</v>
      </c>
      <c r="N221" s="13" t="s">
        <v>1497</v>
      </c>
      <c r="O221" s="13" t="s">
        <v>1498</v>
      </c>
      <c r="P221" s="13" t="s">
        <v>1499</v>
      </c>
    </row>
    <row r="222" hidden="1">
      <c r="A222" s="7" t="s">
        <v>1500</v>
      </c>
      <c r="B222" s="88" t="s">
        <v>1501</v>
      </c>
      <c r="C222" s="9">
        <v>2.0</v>
      </c>
      <c r="D222" s="9" t="s">
        <v>111</v>
      </c>
      <c r="E222" s="16" t="s">
        <v>1502</v>
      </c>
      <c r="F222" s="17" t="s">
        <v>24</v>
      </c>
      <c r="G222" s="9">
        <v>0.0</v>
      </c>
      <c r="H222" s="9" t="s">
        <v>1503</v>
      </c>
      <c r="I222" s="9" t="s">
        <v>32</v>
      </c>
    </row>
    <row r="223">
      <c r="A223" s="28" t="s">
        <v>1504</v>
      </c>
      <c r="B223" s="29" t="s">
        <v>1039</v>
      </c>
      <c r="C223" s="65">
        <v>1.0</v>
      </c>
      <c r="D223" s="65" t="s">
        <v>447</v>
      </c>
      <c r="E223" s="89" t="s">
        <v>1505</v>
      </c>
      <c r="F223" s="66" t="s">
        <v>659</v>
      </c>
      <c r="G223" s="67">
        <v>7.0</v>
      </c>
      <c r="H223" s="65" t="s">
        <v>1506</v>
      </c>
      <c r="I223" s="67" t="s">
        <v>32</v>
      </c>
      <c r="J223" s="16" t="s">
        <v>1507</v>
      </c>
      <c r="K223" s="13" t="s">
        <v>1508</v>
      </c>
      <c r="L223" s="13" t="s">
        <v>1509</v>
      </c>
      <c r="M223" s="13" t="s">
        <v>1510</v>
      </c>
      <c r="N223" s="13" t="s">
        <v>1511</v>
      </c>
      <c r="O223" s="13" t="s">
        <v>1512</v>
      </c>
      <c r="P223" s="13" t="s">
        <v>1513</v>
      </c>
      <c r="Q223" s="13" t="s">
        <v>1514</v>
      </c>
    </row>
    <row r="224">
      <c r="A224" s="31" t="s">
        <v>1515</v>
      </c>
      <c r="B224" s="16" t="s">
        <v>1039</v>
      </c>
      <c r="C224" s="15">
        <v>1.0</v>
      </c>
      <c r="D224" s="15" t="s">
        <v>387</v>
      </c>
      <c r="E224" s="16" t="s">
        <v>1516</v>
      </c>
      <c r="F224" s="17" t="s">
        <v>1517</v>
      </c>
      <c r="G224" s="15">
        <v>4.0</v>
      </c>
      <c r="H224" s="15" t="s">
        <v>1264</v>
      </c>
      <c r="I224" s="15" t="s">
        <v>32</v>
      </c>
      <c r="J224" s="16" t="s">
        <v>1518</v>
      </c>
      <c r="K224" s="13" t="s">
        <v>1519</v>
      </c>
      <c r="L224" s="13" t="s">
        <v>1520</v>
      </c>
      <c r="M224" s="13" t="s">
        <v>1521</v>
      </c>
      <c r="N224" s="13" t="s">
        <v>1522</v>
      </c>
    </row>
    <row r="225" hidden="1">
      <c r="A225" s="16" t="s">
        <v>1523</v>
      </c>
      <c r="B225" s="90" t="s">
        <v>1501</v>
      </c>
      <c r="C225" s="15">
        <v>2.0</v>
      </c>
      <c r="D225" s="15" t="s">
        <v>1524</v>
      </c>
      <c r="E225" s="16" t="s">
        <v>1525</v>
      </c>
      <c r="F225" s="17" t="s">
        <v>240</v>
      </c>
      <c r="G225" s="15">
        <v>3.0</v>
      </c>
      <c r="H225" s="15" t="s">
        <v>1526</v>
      </c>
      <c r="I225" s="15" t="s">
        <v>32</v>
      </c>
    </row>
    <row r="226" hidden="1">
      <c r="A226" s="22" t="s">
        <v>1527</v>
      </c>
      <c r="B226" s="88" t="s">
        <v>1501</v>
      </c>
      <c r="C226" s="9">
        <v>2.0</v>
      </c>
      <c r="D226" s="9" t="s">
        <v>37</v>
      </c>
      <c r="E226" s="7" t="s">
        <v>1528</v>
      </c>
      <c r="F226" s="10" t="s">
        <v>1529</v>
      </c>
      <c r="G226" s="9">
        <v>2.0</v>
      </c>
      <c r="H226" s="9" t="s">
        <v>1530</v>
      </c>
      <c r="I226" s="9" t="s">
        <v>70</v>
      </c>
    </row>
    <row r="227" hidden="1">
      <c r="A227" s="16" t="s">
        <v>1531</v>
      </c>
      <c r="B227" s="90" t="s">
        <v>1501</v>
      </c>
      <c r="C227" s="15">
        <v>2.0</v>
      </c>
      <c r="D227" s="15" t="s">
        <v>1532</v>
      </c>
      <c r="E227" s="16" t="s">
        <v>1533</v>
      </c>
      <c r="F227" s="17" t="s">
        <v>1534</v>
      </c>
      <c r="G227" s="15">
        <v>5.0</v>
      </c>
      <c r="H227" s="15" t="s">
        <v>1535</v>
      </c>
      <c r="I227" s="15" t="s">
        <v>70</v>
      </c>
    </row>
    <row r="228" hidden="1">
      <c r="A228" s="16" t="s">
        <v>1536</v>
      </c>
      <c r="B228" s="30" t="s">
        <v>1501</v>
      </c>
      <c r="C228" s="15">
        <v>2.0</v>
      </c>
      <c r="D228" s="15" t="s">
        <v>1537</v>
      </c>
      <c r="E228" s="16" t="s">
        <v>1538</v>
      </c>
      <c r="F228" s="17" t="s">
        <v>213</v>
      </c>
      <c r="G228" s="15">
        <v>4.0</v>
      </c>
      <c r="H228" s="15" t="s">
        <v>1526</v>
      </c>
      <c r="I228" s="15" t="s">
        <v>26</v>
      </c>
    </row>
    <row r="229">
      <c r="A229" s="69" t="s">
        <v>1539</v>
      </c>
      <c r="B229" s="87" t="s">
        <v>1039</v>
      </c>
      <c r="C229" s="71">
        <v>1.0</v>
      </c>
      <c r="D229" s="71" t="s">
        <v>447</v>
      </c>
      <c r="E229" s="69" t="s">
        <v>1540</v>
      </c>
      <c r="F229" s="69"/>
      <c r="G229" s="71">
        <v>7.0</v>
      </c>
      <c r="H229" s="71" t="s">
        <v>1506</v>
      </c>
      <c r="I229" s="71" t="s">
        <v>32</v>
      </c>
      <c r="J229" s="16" t="s">
        <v>1541</v>
      </c>
      <c r="K229" s="72" t="s">
        <v>1542</v>
      </c>
      <c r="L229" s="72" t="s">
        <v>1543</v>
      </c>
      <c r="M229" s="72" t="s">
        <v>1544</v>
      </c>
      <c r="N229" s="72" t="s">
        <v>1545</v>
      </c>
      <c r="O229" s="72" t="s">
        <v>1546</v>
      </c>
      <c r="P229" s="72" t="s">
        <v>1547</v>
      </c>
      <c r="Q229" s="28"/>
      <c r="R229" s="28"/>
      <c r="S229" s="28"/>
      <c r="T229" s="28"/>
    </row>
    <row r="230">
      <c r="A230" s="31" t="s">
        <v>1548</v>
      </c>
      <c r="B230" s="16" t="s">
        <v>1039</v>
      </c>
      <c r="C230" s="15">
        <v>1.0</v>
      </c>
      <c r="D230" s="15" t="s">
        <v>250</v>
      </c>
      <c r="E230" s="16" t="s">
        <v>1549</v>
      </c>
      <c r="F230" s="34"/>
      <c r="G230" s="15">
        <v>3.0</v>
      </c>
      <c r="H230" s="15" t="s">
        <v>1051</v>
      </c>
      <c r="I230" s="15" t="s">
        <v>32</v>
      </c>
      <c r="J230" s="16" t="s">
        <v>1550</v>
      </c>
      <c r="K230" s="13" t="s">
        <v>1551</v>
      </c>
      <c r="L230" s="13" t="s">
        <v>1552</v>
      </c>
      <c r="M230" s="13" t="s">
        <v>1553</v>
      </c>
      <c r="N230" s="13" t="s">
        <v>1554</v>
      </c>
      <c r="O230" s="13" t="s">
        <v>1555</v>
      </c>
      <c r="P230" s="13" t="s">
        <v>1556</v>
      </c>
    </row>
    <row r="231">
      <c r="A231" s="16" t="s">
        <v>1557</v>
      </c>
      <c r="B231" s="91" t="s">
        <v>1039</v>
      </c>
      <c r="C231" s="15">
        <v>1.0</v>
      </c>
      <c r="D231" s="15" t="s">
        <v>335</v>
      </c>
      <c r="E231" s="16" t="s">
        <v>1558</v>
      </c>
      <c r="F231" s="34"/>
      <c r="G231" s="15">
        <v>2.0</v>
      </c>
      <c r="H231" s="15" t="s">
        <v>1164</v>
      </c>
      <c r="I231" s="15" t="s">
        <v>32</v>
      </c>
      <c r="J231" s="16" t="s">
        <v>1559</v>
      </c>
      <c r="K231" s="92" t="s">
        <v>1560</v>
      </c>
      <c r="L231" s="13" t="s">
        <v>1561</v>
      </c>
      <c r="M231" s="13" t="s">
        <v>1562</v>
      </c>
      <c r="N231" s="13" t="s">
        <v>1563</v>
      </c>
    </row>
    <row r="232">
      <c r="A232" s="16" t="s">
        <v>1564</v>
      </c>
      <c r="B232" s="7" t="s">
        <v>1039</v>
      </c>
      <c r="C232" s="9">
        <v>1.0</v>
      </c>
      <c r="D232" s="9" t="s">
        <v>447</v>
      </c>
      <c r="E232" s="93"/>
      <c r="F232" s="94" t="s">
        <v>1565</v>
      </c>
      <c r="G232" s="9">
        <v>5.0</v>
      </c>
      <c r="H232" s="15" t="s">
        <v>1167</v>
      </c>
      <c r="I232" s="9" t="s">
        <v>26</v>
      </c>
      <c r="J232" s="11" t="s">
        <v>1566</v>
      </c>
      <c r="K232" s="13" t="s">
        <v>1567</v>
      </c>
      <c r="L232" s="13" t="s">
        <v>1568</v>
      </c>
      <c r="M232" s="13" t="s">
        <v>1569</v>
      </c>
      <c r="N232" s="13" t="s">
        <v>1570</v>
      </c>
      <c r="O232" s="13" t="s">
        <v>1571</v>
      </c>
      <c r="P232" s="13" t="s">
        <v>1572</v>
      </c>
      <c r="Q232" s="13" t="s">
        <v>1573</v>
      </c>
    </row>
    <row r="233">
      <c r="A233" s="7" t="s">
        <v>1574</v>
      </c>
      <c r="B233" s="7" t="s">
        <v>1039</v>
      </c>
      <c r="C233" s="9">
        <v>1.0</v>
      </c>
      <c r="D233" s="9" t="s">
        <v>149</v>
      </c>
      <c r="E233" s="95"/>
      <c r="F233" s="10" t="s">
        <v>1575</v>
      </c>
      <c r="G233" s="9">
        <v>4.0</v>
      </c>
      <c r="H233" s="9" t="s">
        <v>1285</v>
      </c>
      <c r="I233" s="9" t="s">
        <v>26</v>
      </c>
      <c r="J233" s="11" t="s">
        <v>1576</v>
      </c>
      <c r="K233" s="13" t="s">
        <v>1577</v>
      </c>
      <c r="L233" s="13" t="s">
        <v>1578</v>
      </c>
      <c r="M233" s="13" t="s">
        <v>1579</v>
      </c>
      <c r="N233" s="13" t="s">
        <v>1580</v>
      </c>
      <c r="O233" s="13" t="s">
        <v>1581</v>
      </c>
      <c r="P233" s="13" t="s">
        <v>1582</v>
      </c>
      <c r="Q233" s="13" t="s">
        <v>1583</v>
      </c>
      <c r="R233" s="13" t="s">
        <v>1584</v>
      </c>
      <c r="S233" s="13" t="s">
        <v>1585</v>
      </c>
    </row>
    <row r="234">
      <c r="A234" s="16" t="s">
        <v>1586</v>
      </c>
      <c r="B234" s="16" t="s">
        <v>1039</v>
      </c>
      <c r="C234" s="15">
        <v>1.0</v>
      </c>
      <c r="D234" s="15" t="s">
        <v>1587</v>
      </c>
      <c r="F234" s="34"/>
      <c r="G234" s="15">
        <v>3.0</v>
      </c>
      <c r="H234" s="15" t="s">
        <v>1042</v>
      </c>
      <c r="I234" s="15" t="s">
        <v>26</v>
      </c>
      <c r="J234" s="16" t="s">
        <v>1588</v>
      </c>
      <c r="K234" s="13" t="s">
        <v>1589</v>
      </c>
      <c r="L234" s="13" t="s">
        <v>1590</v>
      </c>
      <c r="M234" s="13" t="s">
        <v>1591</v>
      </c>
    </row>
    <row r="235" hidden="1">
      <c r="A235" s="24" t="s">
        <v>1592</v>
      </c>
      <c r="B235" s="88" t="s">
        <v>1501</v>
      </c>
      <c r="C235" s="9">
        <v>2.0</v>
      </c>
      <c r="D235" s="9" t="s">
        <v>919</v>
      </c>
      <c r="E235" s="86" t="s">
        <v>1593</v>
      </c>
      <c r="F235" s="10" t="s">
        <v>24</v>
      </c>
      <c r="G235" s="9">
        <v>2.0</v>
      </c>
      <c r="H235" s="9" t="s">
        <v>1503</v>
      </c>
      <c r="I235" s="21" t="s">
        <v>26</v>
      </c>
    </row>
    <row r="236" hidden="1">
      <c r="A236" s="22" t="s">
        <v>1594</v>
      </c>
      <c r="B236" s="88" t="s">
        <v>1501</v>
      </c>
      <c r="C236" s="9">
        <v>0.0</v>
      </c>
      <c r="D236" s="9" t="s">
        <v>1595</v>
      </c>
      <c r="E236" s="18" t="s">
        <v>1596</v>
      </c>
      <c r="F236" s="10" t="s">
        <v>1597</v>
      </c>
      <c r="G236" s="9">
        <v>4.0</v>
      </c>
      <c r="H236" s="9" t="s">
        <v>1526</v>
      </c>
      <c r="I236" s="9" t="s">
        <v>70</v>
      </c>
    </row>
    <row r="237">
      <c r="A237" s="16" t="s">
        <v>1598</v>
      </c>
      <c r="B237" s="16" t="s">
        <v>1039</v>
      </c>
      <c r="C237" s="15">
        <v>1.0</v>
      </c>
      <c r="D237" s="15" t="s">
        <v>195</v>
      </c>
      <c r="F237" s="17" t="s">
        <v>1599</v>
      </c>
      <c r="G237" s="15">
        <v>2.0</v>
      </c>
      <c r="H237" s="15" t="s">
        <v>1051</v>
      </c>
      <c r="I237" s="15" t="s">
        <v>26</v>
      </c>
      <c r="J237" s="16" t="s">
        <v>1600</v>
      </c>
      <c r="K237" s="13" t="s">
        <v>1601</v>
      </c>
      <c r="L237" s="13" t="s">
        <v>1602</v>
      </c>
      <c r="M237" s="13" t="s">
        <v>1603</v>
      </c>
      <c r="N237" s="13" t="s">
        <v>1604</v>
      </c>
      <c r="O237" s="13" t="s">
        <v>1605</v>
      </c>
    </row>
    <row r="238" hidden="1">
      <c r="A238" s="16" t="s">
        <v>1606</v>
      </c>
      <c r="B238" s="88" t="s">
        <v>1501</v>
      </c>
      <c r="C238" s="9">
        <v>2.0</v>
      </c>
      <c r="D238" s="9" t="s">
        <v>661</v>
      </c>
      <c r="E238" s="24"/>
      <c r="F238" s="10" t="s">
        <v>1607</v>
      </c>
      <c r="G238" s="9">
        <v>7.0</v>
      </c>
      <c r="H238" s="9" t="s">
        <v>1608</v>
      </c>
      <c r="I238" s="9" t="s">
        <v>26</v>
      </c>
    </row>
    <row r="239" hidden="1">
      <c r="A239" s="31" t="s">
        <v>1609</v>
      </c>
      <c r="B239" s="90" t="s">
        <v>1501</v>
      </c>
      <c r="C239" s="15">
        <v>2.0</v>
      </c>
      <c r="D239" s="15" t="s">
        <v>1610</v>
      </c>
      <c r="E239" s="16" t="s">
        <v>275</v>
      </c>
      <c r="F239" s="17" t="s">
        <v>697</v>
      </c>
      <c r="G239" s="15">
        <v>2.0</v>
      </c>
      <c r="H239" s="15" t="s">
        <v>1503</v>
      </c>
      <c r="I239" s="15" t="s">
        <v>26</v>
      </c>
    </row>
    <row r="240" hidden="1">
      <c r="A240" s="16" t="s">
        <v>1611</v>
      </c>
      <c r="B240" s="90" t="s">
        <v>1501</v>
      </c>
      <c r="C240" s="15">
        <v>2.0</v>
      </c>
      <c r="D240" s="15" t="s">
        <v>133</v>
      </c>
      <c r="E240" s="16" t="s">
        <v>1612</v>
      </c>
      <c r="F240" s="17" t="s">
        <v>1613</v>
      </c>
      <c r="G240" s="15">
        <v>2.0</v>
      </c>
      <c r="H240" s="9" t="s">
        <v>1608</v>
      </c>
      <c r="I240" s="9" t="s">
        <v>70</v>
      </c>
    </row>
    <row r="241">
      <c r="A241" s="16" t="s">
        <v>1614</v>
      </c>
      <c r="B241" s="16" t="s">
        <v>1039</v>
      </c>
      <c r="C241" s="15">
        <v>1.0</v>
      </c>
      <c r="D241" s="15" t="s">
        <v>1615</v>
      </c>
      <c r="E241" s="96" t="s">
        <v>1616</v>
      </c>
      <c r="F241" s="34"/>
      <c r="G241" s="15">
        <v>2.0</v>
      </c>
      <c r="H241" s="15" t="s">
        <v>1051</v>
      </c>
      <c r="I241" s="9" t="s">
        <v>70</v>
      </c>
      <c r="J241" s="16" t="s">
        <v>1617</v>
      </c>
      <c r="K241" s="13" t="s">
        <v>1618</v>
      </c>
      <c r="L241" s="13" t="s">
        <v>1619</v>
      </c>
      <c r="M241" s="13" t="s">
        <v>1620</v>
      </c>
      <c r="N241" s="13" t="s">
        <v>1621</v>
      </c>
      <c r="O241" s="13" t="s">
        <v>1622</v>
      </c>
      <c r="P241" s="13" t="s">
        <v>1623</v>
      </c>
      <c r="Q241" s="13" t="s">
        <v>1624</v>
      </c>
    </row>
    <row r="242">
      <c r="A242" s="16" t="s">
        <v>1625</v>
      </c>
      <c r="B242" s="16" t="s">
        <v>1039</v>
      </c>
      <c r="C242" s="15">
        <v>1.0</v>
      </c>
      <c r="D242" s="15" t="s">
        <v>372</v>
      </c>
      <c r="E242" s="16" t="s">
        <v>1626</v>
      </c>
      <c r="F242" s="34"/>
      <c r="G242" s="15">
        <v>1.0</v>
      </c>
      <c r="H242" s="15" t="s">
        <v>1164</v>
      </c>
      <c r="I242" s="9" t="s">
        <v>70</v>
      </c>
      <c r="J242" s="16" t="s">
        <v>1627</v>
      </c>
      <c r="K242" s="13" t="s">
        <v>1628</v>
      </c>
      <c r="L242" s="13" t="s">
        <v>1629</v>
      </c>
      <c r="M242" s="13" t="s">
        <v>1630</v>
      </c>
      <c r="N242" s="13" t="s">
        <v>1631</v>
      </c>
      <c r="O242" s="13" t="s">
        <v>1632</v>
      </c>
      <c r="P242" s="13" t="s">
        <v>1633</v>
      </c>
      <c r="Q242" s="13" t="s">
        <v>1634</v>
      </c>
      <c r="R242" s="13" t="s">
        <v>1635</v>
      </c>
    </row>
    <row r="243">
      <c r="A243" s="16" t="s">
        <v>1636</v>
      </c>
      <c r="B243" s="16" t="s">
        <v>1039</v>
      </c>
      <c r="C243" s="15">
        <v>1.0</v>
      </c>
      <c r="D243" s="15" t="s">
        <v>96</v>
      </c>
      <c r="E243" s="16" t="s">
        <v>1637</v>
      </c>
      <c r="F243" s="34"/>
      <c r="G243" s="15">
        <v>3.0</v>
      </c>
      <c r="H243" s="16" t="s">
        <v>1311</v>
      </c>
      <c r="I243" s="9" t="s">
        <v>26</v>
      </c>
    </row>
    <row r="244" hidden="1">
      <c r="A244" s="16" t="s">
        <v>1638</v>
      </c>
      <c r="B244" s="90" t="s">
        <v>1501</v>
      </c>
      <c r="C244" s="15">
        <v>2.0</v>
      </c>
      <c r="D244" s="15" t="s">
        <v>111</v>
      </c>
      <c r="E244" s="16" t="s">
        <v>1639</v>
      </c>
      <c r="F244" s="17" t="s">
        <v>24</v>
      </c>
      <c r="G244" s="15">
        <v>1.0</v>
      </c>
      <c r="H244" s="15" t="s">
        <v>1503</v>
      </c>
      <c r="I244" s="15" t="s">
        <v>26</v>
      </c>
    </row>
    <row r="245">
      <c r="A245" s="16" t="s">
        <v>1640</v>
      </c>
      <c r="B245" s="16" t="s">
        <v>1039</v>
      </c>
      <c r="C245" s="15">
        <v>1.0</v>
      </c>
      <c r="D245" s="15" t="s">
        <v>1370</v>
      </c>
      <c r="E245" s="16" t="s">
        <v>1641</v>
      </c>
      <c r="F245" s="17" t="s">
        <v>1642</v>
      </c>
      <c r="G245" s="15">
        <v>5.0</v>
      </c>
      <c r="H245" s="16" t="s">
        <v>1643</v>
      </c>
      <c r="I245" s="9" t="s">
        <v>26</v>
      </c>
    </row>
    <row r="246">
      <c r="A246" s="16" t="s">
        <v>1644</v>
      </c>
      <c r="B246" s="16" t="s">
        <v>1039</v>
      </c>
      <c r="C246" s="15">
        <v>1.0</v>
      </c>
      <c r="D246" s="15" t="s">
        <v>335</v>
      </c>
      <c r="E246" s="16" t="s">
        <v>1645</v>
      </c>
      <c r="F246" s="17"/>
      <c r="G246" s="15">
        <v>3.0</v>
      </c>
      <c r="H246" s="16" t="s">
        <v>443</v>
      </c>
      <c r="I246" s="9" t="s">
        <v>26</v>
      </c>
    </row>
    <row r="247">
      <c r="A247" s="7" t="s">
        <v>1646</v>
      </c>
      <c r="B247" s="7" t="s">
        <v>1369</v>
      </c>
      <c r="C247" s="9">
        <v>1.0</v>
      </c>
      <c r="D247" s="9" t="s">
        <v>998</v>
      </c>
      <c r="E247" s="7" t="s">
        <v>1647</v>
      </c>
      <c r="F247" s="10" t="s">
        <v>1648</v>
      </c>
      <c r="G247" s="9">
        <v>3.0</v>
      </c>
      <c r="H247" s="9" t="s">
        <v>1649</v>
      </c>
      <c r="I247" s="9" t="s">
        <v>70</v>
      </c>
    </row>
    <row r="248">
      <c r="A248" s="22" t="s">
        <v>1650</v>
      </c>
      <c r="B248" s="7" t="s">
        <v>1369</v>
      </c>
      <c r="C248" s="9">
        <v>1.0</v>
      </c>
      <c r="D248" s="9" t="s">
        <v>1651</v>
      </c>
      <c r="E248" s="7" t="s">
        <v>1652</v>
      </c>
      <c r="F248" s="10" t="s">
        <v>1653</v>
      </c>
      <c r="G248" s="9">
        <v>3.0</v>
      </c>
      <c r="H248" s="9" t="s">
        <v>1654</v>
      </c>
      <c r="I248" s="9" t="s">
        <v>32</v>
      </c>
    </row>
    <row r="249">
      <c r="A249" s="7" t="s">
        <v>1655</v>
      </c>
      <c r="B249" s="7" t="s">
        <v>1369</v>
      </c>
      <c r="C249" s="9">
        <v>1.0</v>
      </c>
      <c r="D249" s="9" t="s">
        <v>1656</v>
      </c>
      <c r="E249" s="7"/>
      <c r="F249" s="10" t="s">
        <v>1657</v>
      </c>
      <c r="G249" s="9">
        <v>2.0</v>
      </c>
      <c r="H249" s="9" t="s">
        <v>1658</v>
      </c>
      <c r="I249" s="9" t="s">
        <v>26</v>
      </c>
    </row>
    <row r="250">
      <c r="A250" s="7" t="s">
        <v>1659</v>
      </c>
      <c r="B250" s="7" t="s">
        <v>1429</v>
      </c>
      <c r="C250" s="9">
        <v>1.0</v>
      </c>
      <c r="D250" s="9" t="s">
        <v>1660</v>
      </c>
      <c r="E250" s="7" t="s">
        <v>1661</v>
      </c>
      <c r="F250" s="10" t="s">
        <v>1662</v>
      </c>
      <c r="G250" s="9">
        <v>1.0</v>
      </c>
      <c r="H250" s="9" t="s">
        <v>1663</v>
      </c>
      <c r="I250" s="9" t="s">
        <v>70</v>
      </c>
    </row>
    <row r="251" hidden="1">
      <c r="A251" s="31" t="s">
        <v>1664</v>
      </c>
      <c r="B251" s="90" t="s">
        <v>1501</v>
      </c>
      <c r="C251" s="15">
        <v>2.0</v>
      </c>
      <c r="D251" s="15" t="s">
        <v>1665</v>
      </c>
      <c r="E251" s="16" t="s">
        <v>1666</v>
      </c>
      <c r="F251" s="17" t="s">
        <v>943</v>
      </c>
      <c r="G251" s="15">
        <v>4.0</v>
      </c>
      <c r="H251" s="15" t="s">
        <v>1667</v>
      </c>
      <c r="I251" s="15" t="s">
        <v>26</v>
      </c>
    </row>
    <row r="252" hidden="1">
      <c r="A252" s="22" t="s">
        <v>1668</v>
      </c>
      <c r="B252" s="88" t="s">
        <v>1501</v>
      </c>
      <c r="C252" s="9">
        <v>0.0</v>
      </c>
      <c r="D252" s="9" t="s">
        <v>1524</v>
      </c>
      <c r="E252" s="7" t="s">
        <v>1669</v>
      </c>
      <c r="F252" s="10" t="s">
        <v>1670</v>
      </c>
      <c r="G252" s="9">
        <v>5.0</v>
      </c>
      <c r="H252" s="9" t="s">
        <v>1667</v>
      </c>
      <c r="I252" s="9" t="s">
        <v>26</v>
      </c>
    </row>
    <row r="253" ht="14.25" hidden="1" customHeight="1">
      <c r="A253" s="7" t="s">
        <v>1671</v>
      </c>
      <c r="B253" s="86" t="s">
        <v>1501</v>
      </c>
      <c r="C253" s="9">
        <v>2.0</v>
      </c>
      <c r="D253" s="9" t="s">
        <v>661</v>
      </c>
      <c r="E253" s="7" t="s">
        <v>1672</v>
      </c>
      <c r="F253" s="10" t="s">
        <v>1673</v>
      </c>
      <c r="G253" s="9">
        <v>1.0</v>
      </c>
      <c r="H253" s="9" t="s">
        <v>1530</v>
      </c>
      <c r="I253" s="9" t="s">
        <v>70</v>
      </c>
    </row>
    <row r="254">
      <c r="A254" s="7" t="s">
        <v>1674</v>
      </c>
      <c r="B254" s="7" t="s">
        <v>1429</v>
      </c>
      <c r="C254" s="9">
        <v>1.0</v>
      </c>
      <c r="D254" s="9" t="s">
        <v>1446</v>
      </c>
      <c r="E254" s="7" t="s">
        <v>1675</v>
      </c>
      <c r="F254" s="10" t="s">
        <v>1676</v>
      </c>
      <c r="G254" s="9">
        <v>2.0</v>
      </c>
      <c r="H254" s="9" t="s">
        <v>1677</v>
      </c>
      <c r="I254" s="9" t="s">
        <v>32</v>
      </c>
    </row>
    <row r="255" hidden="1">
      <c r="A255" s="31" t="s">
        <v>1678</v>
      </c>
      <c r="B255" s="16" t="s">
        <v>1501</v>
      </c>
      <c r="C255" s="15">
        <v>2.0</v>
      </c>
      <c r="D255" s="15" t="s">
        <v>1679</v>
      </c>
      <c r="E255" s="16" t="s">
        <v>1680</v>
      </c>
      <c r="F255" s="17" t="s">
        <v>1681</v>
      </c>
      <c r="G255" s="15">
        <v>4.0</v>
      </c>
      <c r="H255" s="15" t="s">
        <v>1535</v>
      </c>
      <c r="I255" s="15" t="s">
        <v>70</v>
      </c>
    </row>
    <row r="256" hidden="1">
      <c r="A256" s="16" t="s">
        <v>1682</v>
      </c>
      <c r="B256" s="16" t="s">
        <v>1501</v>
      </c>
      <c r="C256" s="15">
        <v>2.0</v>
      </c>
      <c r="D256" s="15" t="s">
        <v>111</v>
      </c>
      <c r="E256" s="16" t="s">
        <v>1683</v>
      </c>
      <c r="F256" s="17" t="s">
        <v>1684</v>
      </c>
      <c r="G256" s="15">
        <v>6.0</v>
      </c>
      <c r="H256" s="15" t="s">
        <v>1685</v>
      </c>
      <c r="I256" s="15" t="s">
        <v>32</v>
      </c>
    </row>
    <row r="257" hidden="1">
      <c r="A257" s="16" t="s">
        <v>1686</v>
      </c>
      <c r="B257" s="90" t="s">
        <v>1501</v>
      </c>
      <c r="C257" s="15">
        <v>2.0</v>
      </c>
      <c r="D257" s="15" t="s">
        <v>297</v>
      </c>
      <c r="E257" s="16" t="s">
        <v>1687</v>
      </c>
      <c r="F257" s="17" t="s">
        <v>1173</v>
      </c>
      <c r="G257" s="15">
        <v>3.0</v>
      </c>
      <c r="H257" s="15" t="s">
        <v>1667</v>
      </c>
      <c r="I257" s="15" t="s">
        <v>70</v>
      </c>
    </row>
    <row r="258" hidden="1">
      <c r="A258" s="16" t="s">
        <v>1688</v>
      </c>
      <c r="B258" s="90" t="s">
        <v>1501</v>
      </c>
      <c r="C258" s="15">
        <v>0.0</v>
      </c>
      <c r="D258" s="15" t="s">
        <v>149</v>
      </c>
      <c r="E258" s="16" t="s">
        <v>1689</v>
      </c>
      <c r="F258" s="17" t="s">
        <v>1690</v>
      </c>
      <c r="G258" s="9">
        <v>3.0</v>
      </c>
      <c r="H258" s="9" t="s">
        <v>1691</v>
      </c>
      <c r="I258" s="9" t="s">
        <v>32</v>
      </c>
    </row>
    <row r="259">
      <c r="A259" s="7" t="s">
        <v>1692</v>
      </c>
      <c r="B259" s="7" t="s">
        <v>1429</v>
      </c>
      <c r="C259" s="9">
        <v>1.0</v>
      </c>
      <c r="D259" s="9" t="s">
        <v>1200</v>
      </c>
      <c r="E259" s="7"/>
      <c r="F259" s="10" t="s">
        <v>1693</v>
      </c>
      <c r="G259" s="9">
        <v>2.0</v>
      </c>
      <c r="H259" s="9" t="s">
        <v>1472</v>
      </c>
      <c r="I259" s="9" t="s">
        <v>26</v>
      </c>
    </row>
    <row r="260" hidden="1">
      <c r="A260" s="16" t="s">
        <v>1694</v>
      </c>
      <c r="B260" s="16" t="s">
        <v>1501</v>
      </c>
      <c r="C260" s="15">
        <v>2.0</v>
      </c>
      <c r="D260" s="15" t="s">
        <v>1695</v>
      </c>
      <c r="E260" s="16" t="s">
        <v>1696</v>
      </c>
      <c r="F260" s="17" t="s">
        <v>1697</v>
      </c>
      <c r="G260" s="15">
        <v>6.0</v>
      </c>
      <c r="H260" s="15" t="s">
        <v>1685</v>
      </c>
      <c r="I260" s="15" t="s">
        <v>32</v>
      </c>
    </row>
    <row r="261" hidden="1">
      <c r="A261" s="16" t="s">
        <v>1698</v>
      </c>
      <c r="B261" s="90" t="s">
        <v>1501</v>
      </c>
      <c r="C261" s="15">
        <v>2.0</v>
      </c>
      <c r="D261" s="15" t="s">
        <v>327</v>
      </c>
      <c r="E261" s="16" t="s">
        <v>1699</v>
      </c>
      <c r="F261" s="17" t="s">
        <v>1700</v>
      </c>
      <c r="G261" s="15">
        <v>3.0</v>
      </c>
      <c r="H261" s="15" t="s">
        <v>1701</v>
      </c>
      <c r="I261" s="15" t="s">
        <v>26</v>
      </c>
    </row>
    <row r="262">
      <c r="A262" s="16" t="s">
        <v>1702</v>
      </c>
      <c r="B262" s="16" t="s">
        <v>1501</v>
      </c>
      <c r="C262" s="15">
        <v>1.0</v>
      </c>
      <c r="D262" s="15" t="s">
        <v>387</v>
      </c>
      <c r="E262" s="16" t="s">
        <v>1703</v>
      </c>
      <c r="F262" s="17" t="s">
        <v>943</v>
      </c>
      <c r="G262" s="15">
        <v>3.0</v>
      </c>
      <c r="H262" s="15" t="s">
        <v>1530</v>
      </c>
      <c r="I262" s="9" t="s">
        <v>26</v>
      </c>
    </row>
    <row r="263">
      <c r="A263" s="7" t="s">
        <v>1704</v>
      </c>
      <c r="B263" s="7" t="s">
        <v>1501</v>
      </c>
      <c r="C263" s="9">
        <v>1.0</v>
      </c>
      <c r="D263" s="9" t="s">
        <v>383</v>
      </c>
      <c r="E263" s="16" t="s">
        <v>1705</v>
      </c>
      <c r="F263" s="17" t="s">
        <v>1706</v>
      </c>
      <c r="G263" s="9">
        <v>6.0</v>
      </c>
      <c r="H263" s="9" t="s">
        <v>1667</v>
      </c>
      <c r="I263" s="15" t="s">
        <v>70</v>
      </c>
    </row>
    <row r="264">
      <c r="A264" s="22" t="s">
        <v>1707</v>
      </c>
      <c r="B264" s="7" t="s">
        <v>1501</v>
      </c>
      <c r="C264" s="9">
        <v>1.0</v>
      </c>
      <c r="D264" s="9" t="s">
        <v>111</v>
      </c>
      <c r="E264" s="7" t="s">
        <v>1708</v>
      </c>
      <c r="F264" s="10" t="s">
        <v>1709</v>
      </c>
      <c r="G264" s="9">
        <v>4.0</v>
      </c>
      <c r="H264" s="9" t="s">
        <v>1667</v>
      </c>
      <c r="I264" s="9" t="s">
        <v>70</v>
      </c>
    </row>
    <row r="265" hidden="1">
      <c r="A265" s="22" t="s">
        <v>1710</v>
      </c>
      <c r="B265" s="88" t="s">
        <v>1501</v>
      </c>
      <c r="C265" s="9">
        <v>2.0</v>
      </c>
      <c r="D265" s="9" t="s">
        <v>1679</v>
      </c>
      <c r="E265" s="16" t="s">
        <v>1711</v>
      </c>
      <c r="F265" s="10" t="s">
        <v>1712</v>
      </c>
      <c r="G265" s="9">
        <v>3.0</v>
      </c>
      <c r="H265" s="9" t="s">
        <v>1701</v>
      </c>
      <c r="I265" s="9" t="s">
        <v>26</v>
      </c>
    </row>
    <row r="266">
      <c r="A266" s="7" t="s">
        <v>1713</v>
      </c>
      <c r="B266" s="7" t="s">
        <v>1501</v>
      </c>
      <c r="C266" s="9">
        <v>1.0</v>
      </c>
      <c r="D266" s="9" t="s">
        <v>238</v>
      </c>
      <c r="E266" s="7" t="s">
        <v>81</v>
      </c>
      <c r="F266" s="10" t="s">
        <v>1714</v>
      </c>
      <c r="G266" s="9">
        <v>2.0</v>
      </c>
      <c r="H266" s="9" t="s">
        <v>1715</v>
      </c>
      <c r="I266" s="9" t="s">
        <v>26</v>
      </c>
    </row>
    <row r="267" hidden="1">
      <c r="A267" s="16" t="s">
        <v>1716</v>
      </c>
      <c r="B267" s="90" t="s">
        <v>1501</v>
      </c>
      <c r="C267" s="15">
        <v>2.0</v>
      </c>
      <c r="D267" s="15" t="s">
        <v>1717</v>
      </c>
      <c r="E267" s="16" t="s">
        <v>1718</v>
      </c>
      <c r="F267" s="17" t="s">
        <v>1260</v>
      </c>
      <c r="G267" s="15">
        <v>4.0</v>
      </c>
      <c r="H267" s="15" t="s">
        <v>1701</v>
      </c>
      <c r="I267" s="15" t="s">
        <v>26</v>
      </c>
    </row>
    <row r="268" hidden="1">
      <c r="A268" s="22" t="s">
        <v>1719</v>
      </c>
      <c r="B268" s="7" t="s">
        <v>1501</v>
      </c>
      <c r="C268" s="9">
        <v>2.0</v>
      </c>
      <c r="D268" s="9" t="s">
        <v>1720</v>
      </c>
      <c r="E268" s="86" t="s">
        <v>1721</v>
      </c>
      <c r="F268" s="10" t="s">
        <v>1722</v>
      </c>
      <c r="G268" s="9">
        <v>6.0</v>
      </c>
      <c r="H268" s="9" t="s">
        <v>1723</v>
      </c>
      <c r="I268" s="9" t="s">
        <v>32</v>
      </c>
    </row>
    <row r="269" hidden="1">
      <c r="A269" s="16" t="s">
        <v>1724</v>
      </c>
      <c r="B269" s="86" t="s">
        <v>1501</v>
      </c>
      <c r="C269" s="9">
        <v>2.0</v>
      </c>
      <c r="D269" s="15" t="s">
        <v>919</v>
      </c>
      <c r="E269" s="16" t="s">
        <v>1725</v>
      </c>
      <c r="F269" s="17" t="s">
        <v>1726</v>
      </c>
      <c r="G269" s="15">
        <v>3.0</v>
      </c>
      <c r="H269" s="15" t="s">
        <v>1526</v>
      </c>
      <c r="I269" s="15" t="s">
        <v>70</v>
      </c>
    </row>
    <row r="270" ht="15.75" customHeight="1">
      <c r="A270" s="7" t="s">
        <v>1727</v>
      </c>
      <c r="B270" s="7" t="s">
        <v>1501</v>
      </c>
      <c r="C270" s="9">
        <v>1.0</v>
      </c>
      <c r="D270" s="9" t="s">
        <v>387</v>
      </c>
      <c r="E270" s="7" t="s">
        <v>1728</v>
      </c>
      <c r="F270" s="10" t="s">
        <v>1729</v>
      </c>
      <c r="G270" s="9">
        <v>2.0</v>
      </c>
      <c r="H270" s="9" t="s">
        <v>1530</v>
      </c>
      <c r="I270" s="9" t="s">
        <v>70</v>
      </c>
    </row>
    <row r="271" hidden="1">
      <c r="A271" s="16" t="s">
        <v>1730</v>
      </c>
      <c r="B271" s="90" t="s">
        <v>1501</v>
      </c>
      <c r="C271" s="15">
        <v>2.0</v>
      </c>
      <c r="D271" s="15" t="s">
        <v>539</v>
      </c>
      <c r="E271" s="16" t="s">
        <v>1731</v>
      </c>
      <c r="F271" s="17" t="s">
        <v>119</v>
      </c>
      <c r="G271" s="15">
        <v>2.0</v>
      </c>
      <c r="H271" s="15" t="s">
        <v>1530</v>
      </c>
      <c r="I271" s="15" t="s">
        <v>26</v>
      </c>
    </row>
    <row r="272" hidden="1">
      <c r="A272" s="7" t="s">
        <v>1732</v>
      </c>
      <c r="B272" s="86" t="s">
        <v>1501</v>
      </c>
      <c r="C272" s="9">
        <v>2.0</v>
      </c>
      <c r="D272" s="9" t="s">
        <v>1524</v>
      </c>
      <c r="E272" s="7" t="s">
        <v>1733</v>
      </c>
      <c r="F272" s="10" t="s">
        <v>1734</v>
      </c>
      <c r="G272" s="9">
        <v>5.0</v>
      </c>
      <c r="H272" s="9" t="s">
        <v>1535</v>
      </c>
      <c r="I272" s="9" t="s">
        <v>26</v>
      </c>
    </row>
    <row r="273">
      <c r="A273" s="16" t="s">
        <v>1735</v>
      </c>
      <c r="B273" s="16" t="s">
        <v>1501</v>
      </c>
      <c r="C273" s="15">
        <v>1.0</v>
      </c>
      <c r="D273" s="15" t="s">
        <v>1717</v>
      </c>
      <c r="E273" s="16" t="s">
        <v>1736</v>
      </c>
      <c r="F273" s="17" t="s">
        <v>1737</v>
      </c>
      <c r="G273" s="15">
        <v>3.0</v>
      </c>
      <c r="H273" s="15" t="s">
        <v>1530</v>
      </c>
      <c r="I273" s="15" t="s">
        <v>26</v>
      </c>
    </row>
    <row r="274" hidden="1">
      <c r="A274" s="22" t="s">
        <v>1738</v>
      </c>
      <c r="B274" s="88" t="s">
        <v>1501</v>
      </c>
      <c r="C274" s="9">
        <v>2.0</v>
      </c>
      <c r="D274" s="9" t="s">
        <v>1397</v>
      </c>
      <c r="E274" s="7" t="s">
        <v>1739</v>
      </c>
      <c r="F274" s="10" t="s">
        <v>1740</v>
      </c>
      <c r="G274" s="9">
        <v>1.0</v>
      </c>
      <c r="H274" s="9" t="s">
        <v>1503</v>
      </c>
      <c r="I274" s="15" t="s">
        <v>26</v>
      </c>
    </row>
    <row r="275" hidden="1">
      <c r="A275" s="16" t="s">
        <v>1741</v>
      </c>
      <c r="B275" s="16" t="s">
        <v>1742</v>
      </c>
      <c r="C275" s="15">
        <v>0.0</v>
      </c>
      <c r="D275" s="15" t="s">
        <v>1743</v>
      </c>
      <c r="E275" s="16" t="s">
        <v>1744</v>
      </c>
      <c r="F275" s="38" t="s">
        <v>1745</v>
      </c>
      <c r="G275" s="15">
        <v>7.0</v>
      </c>
      <c r="H275" s="15" t="s">
        <v>1746</v>
      </c>
      <c r="I275" s="9" t="s">
        <v>32</v>
      </c>
    </row>
    <row r="276" hidden="1">
      <c r="A276" s="7" t="s">
        <v>1747</v>
      </c>
      <c r="B276" s="7" t="s">
        <v>1742</v>
      </c>
      <c r="C276" s="9">
        <v>2.0</v>
      </c>
      <c r="D276" s="9" t="s">
        <v>1748</v>
      </c>
      <c r="E276" s="7" t="s">
        <v>1749</v>
      </c>
      <c r="F276" s="10" t="s">
        <v>1750</v>
      </c>
      <c r="G276" s="9">
        <v>3.0</v>
      </c>
      <c r="H276" s="9" t="s">
        <v>1751</v>
      </c>
      <c r="I276" s="9" t="s">
        <v>70</v>
      </c>
    </row>
    <row r="277">
      <c r="A277" s="16" t="s">
        <v>1752</v>
      </c>
      <c r="B277" s="16" t="s">
        <v>1501</v>
      </c>
      <c r="C277" s="15">
        <v>1.0</v>
      </c>
      <c r="D277" s="15" t="s">
        <v>297</v>
      </c>
      <c r="E277" s="7" t="s">
        <v>1753</v>
      </c>
      <c r="F277" s="10" t="s">
        <v>1754</v>
      </c>
      <c r="G277" s="15">
        <v>3.0</v>
      </c>
      <c r="H277" s="15" t="s">
        <v>1530</v>
      </c>
      <c r="I277" s="15" t="s">
        <v>26</v>
      </c>
    </row>
    <row r="278">
      <c r="A278" s="16" t="s">
        <v>1755</v>
      </c>
      <c r="B278" s="90" t="s">
        <v>1501</v>
      </c>
      <c r="C278" s="15">
        <v>1.0</v>
      </c>
      <c r="D278" s="15" t="s">
        <v>1679</v>
      </c>
      <c r="E278" s="16" t="s">
        <v>1756</v>
      </c>
      <c r="F278" s="34"/>
      <c r="G278" s="15">
        <v>4.0</v>
      </c>
      <c r="H278" s="15" t="s">
        <v>1701</v>
      </c>
      <c r="I278" s="15" t="s">
        <v>70</v>
      </c>
    </row>
    <row r="279">
      <c r="A279" s="7" t="s">
        <v>1757</v>
      </c>
      <c r="B279" s="7" t="s">
        <v>1501</v>
      </c>
      <c r="C279" s="9">
        <v>1.0</v>
      </c>
      <c r="D279" s="9" t="s">
        <v>383</v>
      </c>
      <c r="E279" s="7" t="s">
        <v>1758</v>
      </c>
      <c r="F279" s="10" t="s">
        <v>1759</v>
      </c>
      <c r="G279" s="9">
        <v>5.0</v>
      </c>
      <c r="H279" s="9" t="s">
        <v>1667</v>
      </c>
      <c r="I279" s="9" t="s">
        <v>26</v>
      </c>
    </row>
    <row r="280" hidden="1">
      <c r="A280" s="16" t="s">
        <v>1760</v>
      </c>
      <c r="B280" s="16" t="s">
        <v>1501</v>
      </c>
      <c r="C280" s="15">
        <v>0.0</v>
      </c>
      <c r="D280" s="15" t="s">
        <v>111</v>
      </c>
      <c r="E280" s="7" t="s">
        <v>1761</v>
      </c>
      <c r="F280" s="10" t="s">
        <v>1762</v>
      </c>
      <c r="G280" s="15">
        <v>2.0</v>
      </c>
      <c r="H280" s="15" t="s">
        <v>1503</v>
      </c>
      <c r="I280" s="15" t="s">
        <v>26</v>
      </c>
    </row>
    <row r="281">
      <c r="A281" s="7" t="s">
        <v>1763</v>
      </c>
      <c r="B281" s="7" t="s">
        <v>1501</v>
      </c>
      <c r="C281" s="9">
        <v>1.0</v>
      </c>
      <c r="D281" s="9" t="s">
        <v>661</v>
      </c>
      <c r="E281" s="7" t="s">
        <v>1764</v>
      </c>
      <c r="F281" s="10" t="s">
        <v>1765</v>
      </c>
      <c r="G281" s="9">
        <v>3.0</v>
      </c>
      <c r="H281" s="9" t="s">
        <v>1526</v>
      </c>
      <c r="I281" s="9" t="s">
        <v>70</v>
      </c>
    </row>
    <row r="282">
      <c r="A282" s="7" t="s">
        <v>1766</v>
      </c>
      <c r="B282" s="7" t="s">
        <v>1501</v>
      </c>
      <c r="C282" s="9">
        <v>1.0</v>
      </c>
      <c r="D282" s="9" t="s">
        <v>1397</v>
      </c>
      <c r="E282" s="16" t="s">
        <v>1767</v>
      </c>
      <c r="F282" s="10" t="s">
        <v>1768</v>
      </c>
      <c r="G282" s="9">
        <v>3.0</v>
      </c>
      <c r="H282" s="9" t="s">
        <v>1691</v>
      </c>
      <c r="I282" s="9" t="s">
        <v>26</v>
      </c>
    </row>
    <row r="283" hidden="1">
      <c r="A283" s="7" t="s">
        <v>1769</v>
      </c>
      <c r="B283" s="97" t="s">
        <v>1770</v>
      </c>
      <c r="C283" s="9">
        <v>2.0</v>
      </c>
      <c r="D283" s="9" t="s">
        <v>124</v>
      </c>
      <c r="E283" s="7" t="s">
        <v>1771</v>
      </c>
      <c r="F283" s="17" t="s">
        <v>1772</v>
      </c>
      <c r="G283" s="9">
        <v>1.0</v>
      </c>
      <c r="H283" s="9" t="s">
        <v>1773</v>
      </c>
      <c r="I283" s="15" t="s">
        <v>70</v>
      </c>
    </row>
    <row r="284">
      <c r="A284" s="20" t="s">
        <v>1774</v>
      </c>
      <c r="B284" s="7" t="s">
        <v>1501</v>
      </c>
      <c r="C284" s="9">
        <v>1.0</v>
      </c>
      <c r="D284" s="9" t="s">
        <v>1720</v>
      </c>
      <c r="E284" s="7" t="s">
        <v>1775</v>
      </c>
      <c r="F284" s="10" t="s">
        <v>1776</v>
      </c>
      <c r="G284" s="9">
        <v>2.0</v>
      </c>
      <c r="H284" s="9" t="s">
        <v>1503</v>
      </c>
      <c r="I284" s="21" t="s">
        <v>26</v>
      </c>
    </row>
    <row r="285" hidden="1">
      <c r="A285" s="22" t="s">
        <v>1777</v>
      </c>
      <c r="B285" s="97" t="s">
        <v>1770</v>
      </c>
      <c r="C285" s="9">
        <v>2.0</v>
      </c>
      <c r="D285" s="9" t="s">
        <v>1778</v>
      </c>
      <c r="E285" s="7" t="s">
        <v>1779</v>
      </c>
      <c r="F285" s="10" t="s">
        <v>1780</v>
      </c>
      <c r="G285" s="9">
        <v>4.0</v>
      </c>
      <c r="H285" s="9" t="s">
        <v>1781</v>
      </c>
      <c r="I285" s="9" t="s">
        <v>32</v>
      </c>
    </row>
    <row r="286" hidden="1">
      <c r="A286" s="16" t="s">
        <v>1782</v>
      </c>
      <c r="B286" s="98" t="s">
        <v>1770</v>
      </c>
      <c r="C286" s="15">
        <v>2.0</v>
      </c>
      <c r="D286" s="15" t="s">
        <v>1783</v>
      </c>
      <c r="E286" s="30" t="s">
        <v>1784</v>
      </c>
      <c r="F286" s="17" t="s">
        <v>1785</v>
      </c>
      <c r="G286" s="15">
        <v>4.0</v>
      </c>
      <c r="H286" s="15" t="s">
        <v>1786</v>
      </c>
      <c r="I286" s="9" t="s">
        <v>32</v>
      </c>
    </row>
    <row r="287" hidden="1">
      <c r="A287" s="7" t="s">
        <v>1787</v>
      </c>
      <c r="B287" s="97" t="s">
        <v>1770</v>
      </c>
      <c r="C287" s="9">
        <v>2.0</v>
      </c>
      <c r="D287" s="9" t="s">
        <v>1788</v>
      </c>
      <c r="E287" s="16" t="s">
        <v>1789</v>
      </c>
      <c r="F287" s="10" t="s">
        <v>1790</v>
      </c>
      <c r="G287" s="9">
        <v>3.0</v>
      </c>
      <c r="H287" s="9" t="s">
        <v>1791</v>
      </c>
      <c r="I287" s="15" t="s">
        <v>70</v>
      </c>
    </row>
    <row r="288" hidden="1">
      <c r="A288" s="7" t="s">
        <v>1792</v>
      </c>
      <c r="B288" s="97" t="s">
        <v>1770</v>
      </c>
      <c r="C288" s="9">
        <v>2.0</v>
      </c>
      <c r="D288" s="9" t="s">
        <v>181</v>
      </c>
      <c r="E288" s="99" t="s">
        <v>1793</v>
      </c>
      <c r="F288" s="10" t="s">
        <v>1794</v>
      </c>
      <c r="G288" s="9">
        <v>0.0</v>
      </c>
      <c r="H288" s="9" t="s">
        <v>1795</v>
      </c>
      <c r="I288" s="15" t="s">
        <v>70</v>
      </c>
    </row>
    <row r="289" hidden="1">
      <c r="A289" s="16" t="s">
        <v>1796</v>
      </c>
      <c r="B289" s="97" t="s">
        <v>1770</v>
      </c>
      <c r="C289" s="9">
        <v>2.0</v>
      </c>
      <c r="D289" s="9" t="s">
        <v>124</v>
      </c>
      <c r="E289" s="7" t="s">
        <v>1797</v>
      </c>
      <c r="F289" s="10" t="s">
        <v>1798</v>
      </c>
      <c r="G289" s="9">
        <v>3.0</v>
      </c>
      <c r="H289" s="9" t="s">
        <v>1791</v>
      </c>
      <c r="I289" s="9" t="s">
        <v>26</v>
      </c>
    </row>
    <row r="290" hidden="1">
      <c r="A290" s="16" t="s">
        <v>1799</v>
      </c>
      <c r="B290" s="98" t="s">
        <v>1770</v>
      </c>
      <c r="C290" s="15">
        <v>2.0</v>
      </c>
      <c r="D290" s="15" t="s">
        <v>979</v>
      </c>
      <c r="E290" s="16" t="s">
        <v>1800</v>
      </c>
      <c r="F290" s="17" t="s">
        <v>1801</v>
      </c>
      <c r="G290" s="15">
        <v>0.0</v>
      </c>
      <c r="H290" s="15" t="s">
        <v>1795</v>
      </c>
      <c r="I290" s="15" t="s">
        <v>70</v>
      </c>
    </row>
    <row r="291" hidden="1">
      <c r="A291" s="16" t="s">
        <v>1802</v>
      </c>
      <c r="B291" s="98" t="s">
        <v>1770</v>
      </c>
      <c r="C291" s="15">
        <v>2.0</v>
      </c>
      <c r="D291" s="15" t="s">
        <v>124</v>
      </c>
      <c r="E291" s="16" t="s">
        <v>1803</v>
      </c>
      <c r="F291" s="17" t="s">
        <v>663</v>
      </c>
      <c r="G291" s="15">
        <v>4.0</v>
      </c>
      <c r="H291" s="15" t="s">
        <v>1804</v>
      </c>
      <c r="I291" s="9" t="s">
        <v>26</v>
      </c>
    </row>
    <row r="292" hidden="1">
      <c r="A292" s="7" t="s">
        <v>1805</v>
      </c>
      <c r="B292" s="97" t="s">
        <v>1770</v>
      </c>
      <c r="C292" s="9">
        <v>2.0</v>
      </c>
      <c r="D292" s="9" t="s">
        <v>1788</v>
      </c>
      <c r="E292" s="7" t="s">
        <v>1806</v>
      </c>
      <c r="F292" s="10" t="s">
        <v>663</v>
      </c>
      <c r="G292" s="9">
        <v>1.0</v>
      </c>
      <c r="H292" s="9" t="s">
        <v>1807</v>
      </c>
      <c r="I292" s="9" t="s">
        <v>32</v>
      </c>
    </row>
    <row r="293" hidden="1">
      <c r="A293" s="7" t="s">
        <v>1808</v>
      </c>
      <c r="B293" s="97" t="s">
        <v>1770</v>
      </c>
      <c r="C293" s="9">
        <v>2.0</v>
      </c>
      <c r="D293" s="9" t="s">
        <v>201</v>
      </c>
      <c r="E293" s="7" t="s">
        <v>1809</v>
      </c>
      <c r="F293" s="10" t="s">
        <v>1798</v>
      </c>
      <c r="G293" s="9">
        <v>5.0</v>
      </c>
      <c r="H293" s="9" t="s">
        <v>1781</v>
      </c>
      <c r="I293" s="9" t="s">
        <v>70</v>
      </c>
    </row>
    <row r="294">
      <c r="A294" s="7" t="s">
        <v>1810</v>
      </c>
      <c r="B294" s="7" t="s">
        <v>1501</v>
      </c>
      <c r="C294" s="9">
        <v>1.0</v>
      </c>
      <c r="D294" s="9" t="s">
        <v>1397</v>
      </c>
      <c r="E294" s="16" t="s">
        <v>1811</v>
      </c>
      <c r="F294" s="17" t="s">
        <v>1812</v>
      </c>
      <c r="G294" s="9">
        <v>2.0</v>
      </c>
      <c r="H294" s="9" t="s">
        <v>1503</v>
      </c>
      <c r="I294" s="9" t="s">
        <v>26</v>
      </c>
    </row>
    <row r="295" hidden="1">
      <c r="A295" s="7" t="s">
        <v>1813</v>
      </c>
      <c r="B295" s="97" t="s">
        <v>1770</v>
      </c>
      <c r="C295" s="9">
        <v>2.0</v>
      </c>
      <c r="D295" s="9" t="s">
        <v>1788</v>
      </c>
      <c r="E295" s="7" t="s">
        <v>1814</v>
      </c>
      <c r="F295" s="10" t="s">
        <v>663</v>
      </c>
      <c r="G295" s="9">
        <v>1.0</v>
      </c>
      <c r="H295" s="9" t="s">
        <v>1773</v>
      </c>
      <c r="I295" s="9" t="s">
        <v>26</v>
      </c>
    </row>
    <row r="296">
      <c r="A296" s="79" t="s">
        <v>1815</v>
      </c>
      <c r="B296" s="7" t="s">
        <v>1501</v>
      </c>
      <c r="C296" s="9">
        <v>1.0</v>
      </c>
      <c r="D296" s="9" t="s">
        <v>1816</v>
      </c>
      <c r="E296" s="7" t="s">
        <v>1817</v>
      </c>
      <c r="F296" s="17" t="s">
        <v>1818</v>
      </c>
      <c r="G296" s="9">
        <v>5.0</v>
      </c>
      <c r="H296" s="9" t="s">
        <v>1819</v>
      </c>
      <c r="I296" s="9" t="s">
        <v>70</v>
      </c>
    </row>
    <row r="297" hidden="1">
      <c r="A297" s="7" t="s">
        <v>1820</v>
      </c>
      <c r="B297" s="7" t="s">
        <v>1501</v>
      </c>
      <c r="C297" s="9">
        <v>0.0</v>
      </c>
      <c r="D297" s="9" t="s">
        <v>661</v>
      </c>
      <c r="E297" s="16" t="s">
        <v>1821</v>
      </c>
      <c r="F297" s="17" t="s">
        <v>1822</v>
      </c>
      <c r="G297" s="9">
        <v>2.0</v>
      </c>
      <c r="H297" s="9" t="s">
        <v>1503</v>
      </c>
      <c r="I297" s="9" t="s">
        <v>26</v>
      </c>
    </row>
    <row r="298">
      <c r="A298" s="24" t="s">
        <v>1823</v>
      </c>
      <c r="B298" s="7" t="s">
        <v>1501</v>
      </c>
      <c r="C298" s="15">
        <v>1.0</v>
      </c>
      <c r="D298" s="9" t="s">
        <v>1665</v>
      </c>
      <c r="E298" s="7" t="s">
        <v>1824</v>
      </c>
      <c r="F298" s="10" t="s">
        <v>1825</v>
      </c>
      <c r="G298" s="9">
        <v>7.0</v>
      </c>
      <c r="H298" s="9" t="s">
        <v>1685</v>
      </c>
      <c r="I298" s="9" t="s">
        <v>70</v>
      </c>
    </row>
    <row r="299">
      <c r="A299" s="24" t="s">
        <v>1826</v>
      </c>
      <c r="B299" s="7" t="s">
        <v>1501</v>
      </c>
      <c r="C299" s="9">
        <v>1.0</v>
      </c>
      <c r="D299" s="9" t="s">
        <v>1695</v>
      </c>
      <c r="E299" s="7" t="s">
        <v>1827</v>
      </c>
      <c r="F299" s="10" t="s">
        <v>1828</v>
      </c>
      <c r="G299" s="9">
        <v>4.0</v>
      </c>
      <c r="H299" s="9" t="s">
        <v>1667</v>
      </c>
      <c r="I299" s="9" t="s">
        <v>26</v>
      </c>
    </row>
    <row r="300" hidden="1">
      <c r="A300" s="22" t="s">
        <v>1829</v>
      </c>
      <c r="B300" s="97" t="s">
        <v>1770</v>
      </c>
      <c r="C300" s="9">
        <v>2.0</v>
      </c>
      <c r="D300" s="9" t="s">
        <v>1175</v>
      </c>
      <c r="E300" s="7" t="s">
        <v>1830</v>
      </c>
      <c r="F300" s="10" t="s">
        <v>1831</v>
      </c>
      <c r="G300" s="9">
        <v>3.0</v>
      </c>
      <c r="H300" s="9" t="s">
        <v>1791</v>
      </c>
      <c r="I300" s="9" t="s">
        <v>26</v>
      </c>
    </row>
    <row r="301" hidden="1">
      <c r="A301" s="22" t="s">
        <v>1832</v>
      </c>
      <c r="B301" s="97" t="s">
        <v>1770</v>
      </c>
      <c r="C301" s="9">
        <v>2.0</v>
      </c>
      <c r="D301" s="9" t="s">
        <v>37</v>
      </c>
      <c r="E301" s="7" t="s">
        <v>1833</v>
      </c>
      <c r="F301" s="10" t="s">
        <v>1834</v>
      </c>
      <c r="G301" s="9">
        <v>6.0</v>
      </c>
      <c r="H301" s="9" t="s">
        <v>1835</v>
      </c>
      <c r="I301" s="9" t="s">
        <v>70</v>
      </c>
    </row>
    <row r="302" hidden="1">
      <c r="A302" s="7" t="s">
        <v>1836</v>
      </c>
      <c r="B302" s="97" t="s">
        <v>1770</v>
      </c>
      <c r="C302" s="9">
        <v>2.0</v>
      </c>
      <c r="D302" s="9" t="s">
        <v>1788</v>
      </c>
      <c r="E302" s="16" t="s">
        <v>1837</v>
      </c>
      <c r="F302" s="10" t="s">
        <v>1838</v>
      </c>
      <c r="G302" s="9">
        <v>2.0</v>
      </c>
      <c r="H302" s="9" t="s">
        <v>1795</v>
      </c>
      <c r="I302" s="9" t="s">
        <v>70</v>
      </c>
    </row>
    <row r="303" hidden="1">
      <c r="A303" s="16" t="s">
        <v>1839</v>
      </c>
      <c r="B303" s="97" t="s">
        <v>1770</v>
      </c>
      <c r="C303" s="9">
        <v>2.0</v>
      </c>
      <c r="D303" s="15" t="s">
        <v>1029</v>
      </c>
      <c r="E303" s="16" t="s">
        <v>1840</v>
      </c>
      <c r="F303" s="55" t="s">
        <v>838</v>
      </c>
      <c r="G303" s="15">
        <v>5.0</v>
      </c>
      <c r="H303" s="15" t="s">
        <v>1841</v>
      </c>
      <c r="I303" s="15" t="s">
        <v>26</v>
      </c>
    </row>
    <row r="304">
      <c r="A304" s="7" t="s">
        <v>1842</v>
      </c>
      <c r="B304" s="7" t="s">
        <v>1501</v>
      </c>
      <c r="C304" s="9">
        <v>1.0</v>
      </c>
      <c r="D304" s="9" t="s">
        <v>297</v>
      </c>
      <c r="E304" s="7" t="s">
        <v>1843</v>
      </c>
      <c r="F304" s="10" t="s">
        <v>1844</v>
      </c>
      <c r="G304" s="9">
        <v>5.0</v>
      </c>
      <c r="H304" s="9" t="s">
        <v>1667</v>
      </c>
      <c r="I304" s="9" t="s">
        <v>26</v>
      </c>
    </row>
    <row r="305">
      <c r="A305" s="16" t="s">
        <v>1845</v>
      </c>
      <c r="B305" s="16" t="s">
        <v>1501</v>
      </c>
      <c r="C305" s="15">
        <v>1.0</v>
      </c>
      <c r="D305" s="15" t="s">
        <v>387</v>
      </c>
      <c r="E305" s="16" t="s">
        <v>1846</v>
      </c>
      <c r="F305" s="34"/>
      <c r="G305" s="15">
        <v>4.0</v>
      </c>
      <c r="H305" s="15" t="s">
        <v>1667</v>
      </c>
      <c r="I305" s="15" t="s">
        <v>70</v>
      </c>
    </row>
    <row r="306" hidden="1">
      <c r="A306" s="7" t="s">
        <v>1847</v>
      </c>
      <c r="B306" s="97" t="s">
        <v>1770</v>
      </c>
      <c r="C306" s="9">
        <v>2.0</v>
      </c>
      <c r="D306" s="9" t="s">
        <v>1848</v>
      </c>
      <c r="E306" s="18" t="s">
        <v>1849</v>
      </c>
      <c r="F306" s="17" t="s">
        <v>1850</v>
      </c>
      <c r="G306" s="9">
        <v>3.0</v>
      </c>
      <c r="H306" s="9" t="s">
        <v>1795</v>
      </c>
      <c r="I306" s="9" t="s">
        <v>70</v>
      </c>
    </row>
    <row r="307">
      <c r="A307" s="7" t="s">
        <v>1851</v>
      </c>
      <c r="B307" s="7" t="s">
        <v>1501</v>
      </c>
      <c r="C307" s="9">
        <v>1.0</v>
      </c>
      <c r="D307" s="9" t="s">
        <v>1852</v>
      </c>
      <c r="E307" s="7" t="s">
        <v>1853</v>
      </c>
      <c r="F307" s="10" t="s">
        <v>1854</v>
      </c>
      <c r="G307" s="9">
        <v>1.0</v>
      </c>
      <c r="H307" s="9" t="s">
        <v>1503</v>
      </c>
      <c r="I307" s="9" t="s">
        <v>26</v>
      </c>
    </row>
    <row r="308">
      <c r="A308" s="22" t="s">
        <v>1855</v>
      </c>
      <c r="B308" s="7" t="s">
        <v>1501</v>
      </c>
      <c r="C308" s="9">
        <v>1.0</v>
      </c>
      <c r="D308" s="9" t="s">
        <v>297</v>
      </c>
      <c r="E308" s="7" t="s">
        <v>1856</v>
      </c>
      <c r="F308" s="10" t="s">
        <v>1857</v>
      </c>
      <c r="G308" s="9">
        <v>1.0</v>
      </c>
      <c r="H308" s="9" t="s">
        <v>1530</v>
      </c>
      <c r="I308" s="9" t="s">
        <v>26</v>
      </c>
    </row>
    <row r="309" hidden="1">
      <c r="A309" s="7" t="s">
        <v>1858</v>
      </c>
      <c r="B309" s="97" t="s">
        <v>1770</v>
      </c>
      <c r="C309" s="9">
        <v>2.0</v>
      </c>
      <c r="D309" s="9" t="s">
        <v>201</v>
      </c>
      <c r="E309" s="7" t="s">
        <v>1859</v>
      </c>
      <c r="F309" s="10" t="s">
        <v>1798</v>
      </c>
      <c r="G309" s="9">
        <v>1.0</v>
      </c>
      <c r="H309" s="9" t="s">
        <v>1791</v>
      </c>
      <c r="I309" s="9" t="s">
        <v>26</v>
      </c>
    </row>
    <row r="310" hidden="1">
      <c r="A310" s="7" t="s">
        <v>1860</v>
      </c>
      <c r="B310" s="97" t="s">
        <v>1770</v>
      </c>
      <c r="C310" s="9">
        <v>2.0</v>
      </c>
      <c r="D310" s="9" t="s">
        <v>1748</v>
      </c>
      <c r="E310" s="7" t="s">
        <v>1861</v>
      </c>
      <c r="F310" s="10" t="s">
        <v>1862</v>
      </c>
      <c r="G310" s="9">
        <v>1.0</v>
      </c>
      <c r="H310" s="50" t="s">
        <v>1841</v>
      </c>
      <c r="I310" s="9" t="s">
        <v>70</v>
      </c>
    </row>
    <row r="311">
      <c r="A311" s="79" t="s">
        <v>1863</v>
      </c>
      <c r="B311" s="7" t="s">
        <v>1501</v>
      </c>
      <c r="C311" s="9">
        <v>1.0</v>
      </c>
      <c r="D311" s="9" t="s">
        <v>1717</v>
      </c>
      <c r="E311" s="7" t="s">
        <v>1864</v>
      </c>
      <c r="F311" s="10" t="s">
        <v>1865</v>
      </c>
      <c r="G311" s="9">
        <v>2.0</v>
      </c>
      <c r="H311" s="9" t="s">
        <v>1526</v>
      </c>
      <c r="I311" s="21" t="s">
        <v>70</v>
      </c>
    </row>
    <row r="312">
      <c r="A312" s="7" t="s">
        <v>1866</v>
      </c>
      <c r="B312" s="7" t="s">
        <v>1501</v>
      </c>
      <c r="C312" s="9">
        <v>1.0</v>
      </c>
      <c r="D312" s="9" t="s">
        <v>1867</v>
      </c>
      <c r="E312" s="7" t="s">
        <v>1868</v>
      </c>
      <c r="F312" s="10" t="s">
        <v>1869</v>
      </c>
      <c r="G312" s="9">
        <v>4.0</v>
      </c>
      <c r="H312" s="9" t="s">
        <v>1870</v>
      </c>
      <c r="I312" s="9" t="s">
        <v>32</v>
      </c>
    </row>
    <row r="313">
      <c r="A313" s="20" t="s">
        <v>1871</v>
      </c>
      <c r="B313" s="86" t="s">
        <v>1501</v>
      </c>
      <c r="C313" s="9">
        <v>1.0</v>
      </c>
      <c r="D313" s="9" t="s">
        <v>1029</v>
      </c>
      <c r="E313" s="7" t="s">
        <v>1872</v>
      </c>
      <c r="F313" s="10" t="s">
        <v>1873</v>
      </c>
      <c r="G313" s="9">
        <v>6.0</v>
      </c>
      <c r="H313" s="9" t="s">
        <v>1526</v>
      </c>
      <c r="I313" s="9" t="s">
        <v>32</v>
      </c>
    </row>
    <row r="314">
      <c r="A314" s="7" t="s">
        <v>1874</v>
      </c>
      <c r="B314" s="7" t="s">
        <v>1501</v>
      </c>
      <c r="C314" s="9">
        <v>1.0</v>
      </c>
      <c r="D314" s="9" t="s">
        <v>195</v>
      </c>
      <c r="E314" s="7" t="s">
        <v>1875</v>
      </c>
      <c r="F314" s="10" t="s">
        <v>1876</v>
      </c>
      <c r="G314" s="9">
        <v>4.0</v>
      </c>
      <c r="H314" s="9" t="s">
        <v>1819</v>
      </c>
      <c r="I314" s="9" t="s">
        <v>32</v>
      </c>
    </row>
    <row r="315" hidden="1">
      <c r="A315" s="7" t="s">
        <v>1877</v>
      </c>
      <c r="B315" s="97" t="s">
        <v>1770</v>
      </c>
      <c r="C315" s="9">
        <v>2.0</v>
      </c>
      <c r="D315" s="9" t="s">
        <v>1788</v>
      </c>
      <c r="E315" s="7" t="s">
        <v>1878</v>
      </c>
      <c r="F315" s="10" t="s">
        <v>1879</v>
      </c>
      <c r="G315" s="9">
        <v>3.0</v>
      </c>
      <c r="H315" s="9" t="s">
        <v>1791</v>
      </c>
      <c r="I315" s="9" t="s">
        <v>70</v>
      </c>
    </row>
    <row r="316">
      <c r="A316" s="16" t="s">
        <v>1880</v>
      </c>
      <c r="B316" s="16" t="s">
        <v>1501</v>
      </c>
      <c r="C316" s="15">
        <v>1.0</v>
      </c>
      <c r="D316" s="15" t="s">
        <v>1778</v>
      </c>
      <c r="E316" s="16" t="s">
        <v>1881</v>
      </c>
      <c r="F316" s="17" t="s">
        <v>1882</v>
      </c>
      <c r="G316" s="15">
        <v>5.0</v>
      </c>
      <c r="H316" s="15" t="s">
        <v>1667</v>
      </c>
      <c r="I316" s="15" t="s">
        <v>32</v>
      </c>
    </row>
    <row r="317" hidden="1">
      <c r="A317" s="31" t="s">
        <v>1883</v>
      </c>
      <c r="B317" s="98" t="s">
        <v>1770</v>
      </c>
      <c r="C317" s="15">
        <v>2.0</v>
      </c>
      <c r="D317" s="15" t="s">
        <v>1610</v>
      </c>
      <c r="E317" s="16" t="s">
        <v>275</v>
      </c>
      <c r="F317" s="17" t="s">
        <v>1884</v>
      </c>
      <c r="G317" s="15">
        <v>2.0</v>
      </c>
      <c r="H317" s="15" t="s">
        <v>1795</v>
      </c>
      <c r="I317" s="15" t="s">
        <v>26</v>
      </c>
    </row>
    <row r="318" hidden="1">
      <c r="A318" s="22" t="s">
        <v>1885</v>
      </c>
      <c r="B318" s="97" t="s">
        <v>1770</v>
      </c>
      <c r="C318" s="15">
        <v>2.0</v>
      </c>
      <c r="D318" s="9" t="s">
        <v>124</v>
      </c>
      <c r="E318" s="86" t="s">
        <v>1886</v>
      </c>
      <c r="F318" s="10" t="s">
        <v>1887</v>
      </c>
      <c r="G318" s="9">
        <v>2.0</v>
      </c>
      <c r="H318" s="9" t="s">
        <v>1795</v>
      </c>
      <c r="I318" s="9" t="s">
        <v>26</v>
      </c>
    </row>
    <row r="319" hidden="1">
      <c r="A319" s="16" t="s">
        <v>1888</v>
      </c>
      <c r="B319" s="98" t="s">
        <v>1770</v>
      </c>
      <c r="C319" s="15">
        <v>2.0</v>
      </c>
      <c r="D319" s="15" t="s">
        <v>1889</v>
      </c>
      <c r="E319" s="16" t="s">
        <v>1890</v>
      </c>
      <c r="F319" s="17" t="s">
        <v>1891</v>
      </c>
      <c r="G319" s="15">
        <v>3.0</v>
      </c>
      <c r="H319" s="15" t="s">
        <v>1892</v>
      </c>
      <c r="I319" s="15" t="s">
        <v>26</v>
      </c>
    </row>
    <row r="320" hidden="1">
      <c r="A320" s="16" t="s">
        <v>1893</v>
      </c>
      <c r="B320" s="97" t="s">
        <v>1770</v>
      </c>
      <c r="C320" s="9">
        <v>2.0</v>
      </c>
      <c r="D320" s="9" t="s">
        <v>1778</v>
      </c>
      <c r="E320" s="7" t="s">
        <v>1894</v>
      </c>
      <c r="F320" s="10" t="s">
        <v>1895</v>
      </c>
      <c r="G320" s="9">
        <v>2.0</v>
      </c>
      <c r="H320" s="9" t="s">
        <v>1841</v>
      </c>
      <c r="I320" s="9" t="s">
        <v>70</v>
      </c>
    </row>
    <row r="321" hidden="1">
      <c r="A321" s="16" t="s">
        <v>1896</v>
      </c>
      <c r="B321" s="98" t="s">
        <v>1770</v>
      </c>
      <c r="C321" s="15">
        <v>2.0</v>
      </c>
      <c r="D321" s="15" t="s">
        <v>88</v>
      </c>
      <c r="E321" s="16" t="s">
        <v>1897</v>
      </c>
      <c r="F321" s="17" t="s">
        <v>1898</v>
      </c>
      <c r="G321" s="15">
        <v>0.0</v>
      </c>
      <c r="H321" s="15" t="s">
        <v>1841</v>
      </c>
      <c r="I321" s="15" t="s">
        <v>70</v>
      </c>
    </row>
    <row r="322">
      <c r="A322" s="31" t="s">
        <v>1899</v>
      </c>
      <c r="B322" s="16" t="s">
        <v>1501</v>
      </c>
      <c r="C322" s="15">
        <v>1.0</v>
      </c>
      <c r="D322" s="15" t="s">
        <v>387</v>
      </c>
      <c r="E322" s="16" t="s">
        <v>1900</v>
      </c>
      <c r="F322" s="34"/>
      <c r="G322" s="15">
        <v>6.0</v>
      </c>
      <c r="H322" s="15" t="s">
        <v>1901</v>
      </c>
      <c r="I322" s="9" t="s">
        <v>32</v>
      </c>
    </row>
    <row r="323">
      <c r="A323" s="16" t="s">
        <v>1902</v>
      </c>
      <c r="B323" s="16" t="s">
        <v>1501</v>
      </c>
      <c r="C323" s="15">
        <v>1.0</v>
      </c>
      <c r="D323" s="15" t="s">
        <v>297</v>
      </c>
      <c r="F323" s="34"/>
      <c r="G323" s="15">
        <v>2.0</v>
      </c>
      <c r="H323" s="15" t="s">
        <v>1715</v>
      </c>
      <c r="I323" s="15" t="s">
        <v>26</v>
      </c>
      <c r="J323" s="11" t="s">
        <v>1903</v>
      </c>
      <c r="K323" s="13" t="s">
        <v>1904</v>
      </c>
      <c r="L323" s="13" t="s">
        <v>1905</v>
      </c>
    </row>
    <row r="324">
      <c r="A324" s="7" t="s">
        <v>1906</v>
      </c>
      <c r="B324" s="7" t="s">
        <v>1501</v>
      </c>
      <c r="C324" s="9">
        <v>1.0</v>
      </c>
      <c r="D324" s="9" t="s">
        <v>1852</v>
      </c>
      <c r="F324" s="10" t="s">
        <v>1907</v>
      </c>
      <c r="G324" s="9">
        <v>4.0</v>
      </c>
      <c r="H324" s="9" t="s">
        <v>1691</v>
      </c>
      <c r="I324" s="9" t="s">
        <v>26</v>
      </c>
    </row>
    <row r="325" hidden="1">
      <c r="A325" s="16" t="s">
        <v>1908</v>
      </c>
      <c r="B325" s="98" t="s">
        <v>1770</v>
      </c>
      <c r="C325" s="15">
        <v>2.0</v>
      </c>
      <c r="D325" s="15" t="s">
        <v>1909</v>
      </c>
      <c r="E325" s="16" t="s">
        <v>1910</v>
      </c>
      <c r="F325" s="17" t="s">
        <v>1911</v>
      </c>
      <c r="G325" s="15">
        <v>4.0</v>
      </c>
      <c r="H325" s="15" t="s">
        <v>1841</v>
      </c>
      <c r="I325" s="15" t="s">
        <v>70</v>
      </c>
    </row>
    <row r="326">
      <c r="A326" s="16" t="s">
        <v>1912</v>
      </c>
      <c r="B326" s="16" t="s">
        <v>1501</v>
      </c>
      <c r="C326" s="15">
        <v>1.0</v>
      </c>
      <c r="D326" s="15" t="s">
        <v>919</v>
      </c>
      <c r="F326" s="34"/>
      <c r="G326" s="15">
        <v>5.0</v>
      </c>
      <c r="H326" s="15" t="s">
        <v>1913</v>
      </c>
      <c r="I326" s="15" t="s">
        <v>26</v>
      </c>
    </row>
    <row r="327" hidden="1">
      <c r="A327" s="16" t="s">
        <v>1914</v>
      </c>
      <c r="B327" s="98" t="s">
        <v>1770</v>
      </c>
      <c r="C327" s="15">
        <v>2.0</v>
      </c>
      <c r="D327" s="15" t="s">
        <v>1175</v>
      </c>
      <c r="E327" s="16" t="s">
        <v>1915</v>
      </c>
      <c r="F327" s="17" t="s">
        <v>1916</v>
      </c>
      <c r="G327" s="15">
        <v>2.0</v>
      </c>
      <c r="H327" s="15" t="s">
        <v>1791</v>
      </c>
      <c r="I327" s="15" t="s">
        <v>26</v>
      </c>
    </row>
    <row r="328">
      <c r="A328" s="31" t="s">
        <v>1917</v>
      </c>
      <c r="B328" s="16" t="s">
        <v>1501</v>
      </c>
      <c r="C328" s="15">
        <v>1.0</v>
      </c>
      <c r="D328" s="15" t="s">
        <v>1397</v>
      </c>
      <c r="E328" s="100" t="s">
        <v>1918</v>
      </c>
      <c r="F328" s="17" t="s">
        <v>1919</v>
      </c>
      <c r="G328" s="15">
        <v>1.0</v>
      </c>
      <c r="H328" s="15" t="s">
        <v>1715</v>
      </c>
      <c r="I328" s="15" t="s">
        <v>32</v>
      </c>
    </row>
    <row r="329">
      <c r="A329" s="31" t="s">
        <v>1920</v>
      </c>
      <c r="B329" s="16" t="s">
        <v>1501</v>
      </c>
      <c r="C329" s="15">
        <v>1.0</v>
      </c>
      <c r="D329" s="15" t="s">
        <v>1720</v>
      </c>
      <c r="E329" s="16" t="s">
        <v>1921</v>
      </c>
      <c r="F329" s="34"/>
      <c r="G329" s="15">
        <v>6.0</v>
      </c>
      <c r="H329" s="16" t="s">
        <v>1535</v>
      </c>
      <c r="I329" s="9" t="s">
        <v>70</v>
      </c>
    </row>
    <row r="330">
      <c r="A330" s="31" t="s">
        <v>1922</v>
      </c>
      <c r="B330" s="16" t="s">
        <v>1501</v>
      </c>
      <c r="C330" s="15">
        <v>1.0</v>
      </c>
      <c r="D330" s="15" t="s">
        <v>250</v>
      </c>
      <c r="E330" s="16" t="s">
        <v>1923</v>
      </c>
      <c r="F330" s="34"/>
      <c r="G330" s="15">
        <v>4.0</v>
      </c>
      <c r="H330" s="15" t="s">
        <v>1819</v>
      </c>
      <c r="I330" s="9" t="s">
        <v>32</v>
      </c>
    </row>
    <row r="331" hidden="1">
      <c r="A331" s="16" t="s">
        <v>1924</v>
      </c>
      <c r="B331" s="98" t="s">
        <v>1770</v>
      </c>
      <c r="C331" s="15">
        <v>2.0</v>
      </c>
      <c r="D331" s="15" t="s">
        <v>651</v>
      </c>
      <c r="E331" s="16" t="s">
        <v>1925</v>
      </c>
      <c r="F331" s="17" t="s">
        <v>1926</v>
      </c>
      <c r="G331" s="15">
        <v>0.0</v>
      </c>
      <c r="H331" s="15" t="s">
        <v>1781</v>
      </c>
      <c r="I331" s="15" t="s">
        <v>70</v>
      </c>
    </row>
    <row r="332" hidden="1">
      <c r="A332" s="7" t="s">
        <v>1927</v>
      </c>
      <c r="B332" s="97" t="s">
        <v>1770</v>
      </c>
      <c r="C332" s="9">
        <v>2.0</v>
      </c>
      <c r="D332" s="9" t="s">
        <v>342</v>
      </c>
      <c r="E332" s="7" t="s">
        <v>1928</v>
      </c>
      <c r="F332" s="10" t="s">
        <v>1929</v>
      </c>
      <c r="G332" s="9">
        <v>2.0</v>
      </c>
      <c r="H332" s="9" t="s">
        <v>1841</v>
      </c>
      <c r="I332" s="9" t="s">
        <v>70</v>
      </c>
    </row>
    <row r="333" hidden="1">
      <c r="A333" s="16" t="s">
        <v>1930</v>
      </c>
      <c r="B333" s="98" t="s">
        <v>1770</v>
      </c>
      <c r="C333" s="15">
        <v>2.0</v>
      </c>
      <c r="D333" s="15" t="s">
        <v>1931</v>
      </c>
      <c r="E333" s="16" t="s">
        <v>1932</v>
      </c>
      <c r="F333" s="17" t="s">
        <v>1933</v>
      </c>
      <c r="G333" s="15">
        <v>3.0</v>
      </c>
      <c r="H333" s="15" t="s">
        <v>1791</v>
      </c>
      <c r="I333" s="15" t="s">
        <v>26</v>
      </c>
    </row>
    <row r="334" hidden="1">
      <c r="A334" s="7" t="s">
        <v>1934</v>
      </c>
      <c r="B334" s="97" t="s">
        <v>1770</v>
      </c>
      <c r="C334" s="9">
        <v>2.0</v>
      </c>
      <c r="D334" s="9" t="s">
        <v>1935</v>
      </c>
      <c r="E334" s="7" t="s">
        <v>1936</v>
      </c>
      <c r="F334" s="10" t="s">
        <v>1937</v>
      </c>
      <c r="G334" s="9">
        <v>4.0</v>
      </c>
      <c r="H334" s="9" t="s">
        <v>1781</v>
      </c>
      <c r="I334" s="9" t="s">
        <v>70</v>
      </c>
    </row>
    <row r="335">
      <c r="A335" s="16" t="s">
        <v>1938</v>
      </c>
      <c r="B335" s="91" t="s">
        <v>1501</v>
      </c>
      <c r="C335" s="15">
        <v>1.0</v>
      </c>
      <c r="D335" s="15" t="s">
        <v>1939</v>
      </c>
      <c r="E335" s="16" t="s">
        <v>1940</v>
      </c>
      <c r="F335" s="34"/>
      <c r="G335" s="15">
        <v>0.0</v>
      </c>
      <c r="H335" s="15" t="s">
        <v>1535</v>
      </c>
      <c r="I335" s="15" t="s">
        <v>32</v>
      </c>
    </row>
    <row r="336" hidden="1">
      <c r="A336" s="16" t="s">
        <v>1941</v>
      </c>
      <c r="B336" s="97" t="s">
        <v>1770</v>
      </c>
      <c r="C336" s="9">
        <v>2.0</v>
      </c>
      <c r="D336" s="15" t="s">
        <v>1942</v>
      </c>
      <c r="E336" s="16" t="s">
        <v>1943</v>
      </c>
      <c r="F336" s="17" t="s">
        <v>1944</v>
      </c>
      <c r="G336" s="15">
        <v>2.0</v>
      </c>
      <c r="H336" s="15" t="s">
        <v>1795</v>
      </c>
      <c r="I336" s="15" t="s">
        <v>26</v>
      </c>
    </row>
    <row r="337" hidden="1">
      <c r="A337" s="16" t="s">
        <v>1945</v>
      </c>
      <c r="B337" s="98" t="s">
        <v>1770</v>
      </c>
      <c r="C337" s="15">
        <v>2.0</v>
      </c>
      <c r="D337" s="15" t="s">
        <v>181</v>
      </c>
      <c r="E337" s="16" t="s">
        <v>1946</v>
      </c>
      <c r="F337" s="17" t="s">
        <v>1947</v>
      </c>
      <c r="G337" s="15">
        <v>0.0</v>
      </c>
      <c r="H337" s="15" t="s">
        <v>1841</v>
      </c>
      <c r="I337" s="15" t="s">
        <v>70</v>
      </c>
    </row>
    <row r="338" hidden="1">
      <c r="A338" s="51" t="s">
        <v>1948</v>
      </c>
      <c r="B338" s="51"/>
      <c r="C338" s="53">
        <v>2.0</v>
      </c>
      <c r="D338" s="53" t="s">
        <v>1949</v>
      </c>
      <c r="E338" s="54" t="s">
        <v>1950</v>
      </c>
      <c r="F338" s="55" t="s">
        <v>1951</v>
      </c>
      <c r="G338" s="56">
        <v>3.0</v>
      </c>
      <c r="H338" s="53" t="s">
        <v>1952</v>
      </c>
      <c r="I338" s="53" t="s">
        <v>26</v>
      </c>
    </row>
    <row r="339">
      <c r="A339" s="16" t="s">
        <v>1953</v>
      </c>
      <c r="B339" s="16" t="s">
        <v>1501</v>
      </c>
      <c r="C339" s="15">
        <v>1.0</v>
      </c>
      <c r="D339" s="15" t="s">
        <v>40</v>
      </c>
      <c r="F339" s="34"/>
      <c r="G339" s="15">
        <v>6.0</v>
      </c>
      <c r="H339" s="15" t="s">
        <v>1954</v>
      </c>
      <c r="I339" s="15" t="s">
        <v>26</v>
      </c>
    </row>
    <row r="340" hidden="1">
      <c r="A340" s="16" t="s">
        <v>1955</v>
      </c>
      <c r="C340" s="15">
        <v>2.0</v>
      </c>
      <c r="D340" s="15" t="s">
        <v>1610</v>
      </c>
      <c r="E340" s="16" t="s">
        <v>275</v>
      </c>
      <c r="F340" s="17" t="s">
        <v>1956</v>
      </c>
      <c r="G340" s="15">
        <v>2.0</v>
      </c>
      <c r="H340" s="15" t="s">
        <v>1957</v>
      </c>
      <c r="I340" s="15" t="s">
        <v>26</v>
      </c>
    </row>
    <row r="341" hidden="1">
      <c r="A341" s="51" t="s">
        <v>1958</v>
      </c>
      <c r="B341" s="51"/>
      <c r="C341" s="53">
        <v>2.0</v>
      </c>
      <c r="D341" s="53" t="s">
        <v>1909</v>
      </c>
      <c r="E341" s="54" t="s">
        <v>1959</v>
      </c>
      <c r="F341" s="55" t="s">
        <v>1960</v>
      </c>
      <c r="G341" s="53">
        <v>9.0</v>
      </c>
      <c r="H341" s="53" t="s">
        <v>1961</v>
      </c>
      <c r="I341" s="56" t="s">
        <v>70</v>
      </c>
    </row>
    <row r="342" hidden="1">
      <c r="A342" s="51" t="s">
        <v>1962</v>
      </c>
      <c r="B342" s="51"/>
      <c r="C342" s="53">
        <v>2.0</v>
      </c>
      <c r="D342" s="53" t="s">
        <v>1963</v>
      </c>
      <c r="E342" s="101" t="s">
        <v>1964</v>
      </c>
      <c r="F342" s="55" t="s">
        <v>1965</v>
      </c>
      <c r="G342" s="53">
        <v>6.0</v>
      </c>
      <c r="H342" s="53" t="s">
        <v>1966</v>
      </c>
      <c r="I342" s="56" t="s">
        <v>26</v>
      </c>
    </row>
    <row r="343" hidden="1">
      <c r="A343" s="16" t="s">
        <v>1967</v>
      </c>
      <c r="B343" s="16"/>
      <c r="C343" s="15">
        <v>2.0</v>
      </c>
      <c r="D343" s="15"/>
      <c r="E343" s="16" t="s">
        <v>1968</v>
      </c>
      <c r="F343" s="17" t="s">
        <v>1969</v>
      </c>
      <c r="G343" s="15">
        <v>2.0</v>
      </c>
      <c r="H343" s="15" t="s">
        <v>1957</v>
      </c>
      <c r="I343" s="15" t="s">
        <v>70</v>
      </c>
    </row>
    <row r="344">
      <c r="A344" s="7" t="s">
        <v>1970</v>
      </c>
      <c r="B344" s="7" t="s">
        <v>1501</v>
      </c>
      <c r="C344" s="9">
        <v>1.0</v>
      </c>
      <c r="D344" s="9" t="s">
        <v>387</v>
      </c>
      <c r="F344" s="63" t="s">
        <v>1971</v>
      </c>
      <c r="G344" s="9">
        <v>8.0</v>
      </c>
      <c r="H344" s="9" t="s">
        <v>1685</v>
      </c>
      <c r="I344" s="9" t="s">
        <v>26</v>
      </c>
    </row>
    <row r="345" hidden="1">
      <c r="A345" s="16" t="s">
        <v>1972</v>
      </c>
      <c r="B345" s="16"/>
      <c r="C345" s="15">
        <v>2.0</v>
      </c>
      <c r="D345" s="15" t="s">
        <v>1973</v>
      </c>
      <c r="E345" s="16" t="s">
        <v>1974</v>
      </c>
      <c r="F345" s="17" t="s">
        <v>838</v>
      </c>
      <c r="G345" s="15">
        <v>0.0</v>
      </c>
      <c r="H345" s="15" t="s">
        <v>1957</v>
      </c>
      <c r="I345" s="15" t="s">
        <v>70</v>
      </c>
    </row>
    <row r="346">
      <c r="A346" s="16" t="s">
        <v>1975</v>
      </c>
      <c r="B346" s="16" t="s">
        <v>1501</v>
      </c>
      <c r="C346" s="15">
        <v>1.0</v>
      </c>
      <c r="D346" s="15" t="s">
        <v>998</v>
      </c>
      <c r="F346" s="34"/>
      <c r="G346" s="15">
        <v>2.0</v>
      </c>
      <c r="H346" s="15" t="s">
        <v>1503</v>
      </c>
      <c r="I346" s="15" t="s">
        <v>26</v>
      </c>
    </row>
    <row r="347">
      <c r="A347" s="16" t="s">
        <v>1976</v>
      </c>
      <c r="B347" s="16" t="s">
        <v>1742</v>
      </c>
      <c r="C347" s="15">
        <v>1.0</v>
      </c>
      <c r="D347" s="15" t="s">
        <v>1748</v>
      </c>
      <c r="E347" s="16" t="s">
        <v>1977</v>
      </c>
      <c r="F347" s="38" t="s">
        <v>1978</v>
      </c>
      <c r="G347" s="15">
        <v>0.0</v>
      </c>
      <c r="H347" s="15" t="s">
        <v>1979</v>
      </c>
      <c r="I347" s="15" t="s">
        <v>70</v>
      </c>
    </row>
    <row r="348">
      <c r="A348" s="7" t="s">
        <v>1980</v>
      </c>
      <c r="B348" s="7" t="s">
        <v>1742</v>
      </c>
      <c r="C348" s="9">
        <v>1.0</v>
      </c>
      <c r="D348" s="9" t="s">
        <v>979</v>
      </c>
      <c r="E348" s="7" t="s">
        <v>1981</v>
      </c>
      <c r="F348" s="10" t="s">
        <v>1982</v>
      </c>
      <c r="G348" s="9">
        <v>1.0</v>
      </c>
      <c r="H348" s="9" t="s">
        <v>1983</v>
      </c>
      <c r="I348" s="9" t="s">
        <v>32</v>
      </c>
    </row>
    <row r="349">
      <c r="A349" s="7" t="s">
        <v>1984</v>
      </c>
      <c r="B349" s="7" t="s">
        <v>1742</v>
      </c>
      <c r="C349" s="9">
        <v>1.0</v>
      </c>
      <c r="D349" s="9" t="s">
        <v>1985</v>
      </c>
      <c r="E349" s="7"/>
      <c r="F349" s="10" t="s">
        <v>1986</v>
      </c>
      <c r="G349" s="9">
        <v>2.0</v>
      </c>
      <c r="H349" s="9" t="s">
        <v>1987</v>
      </c>
      <c r="I349" s="9" t="s">
        <v>26</v>
      </c>
    </row>
    <row r="350">
      <c r="A350" s="16" t="s">
        <v>1988</v>
      </c>
      <c r="B350" s="16" t="s">
        <v>1770</v>
      </c>
      <c r="C350" s="15">
        <v>1.0</v>
      </c>
      <c r="D350" s="15" t="s">
        <v>1989</v>
      </c>
      <c r="E350" s="16" t="s">
        <v>1990</v>
      </c>
      <c r="F350" s="17" t="s">
        <v>1991</v>
      </c>
      <c r="G350" s="15">
        <v>2.0</v>
      </c>
      <c r="H350" s="15" t="s">
        <v>1992</v>
      </c>
      <c r="I350" s="15" t="s">
        <v>70</v>
      </c>
      <c r="J350" s="11" t="s">
        <v>1993</v>
      </c>
      <c r="K350" s="13" t="s">
        <v>1994</v>
      </c>
    </row>
    <row r="351">
      <c r="A351" s="7" t="s">
        <v>1995</v>
      </c>
      <c r="B351" s="7" t="s">
        <v>1770</v>
      </c>
      <c r="C351" s="9">
        <v>1.0</v>
      </c>
      <c r="D351" s="9" t="s">
        <v>1935</v>
      </c>
      <c r="E351" s="7" t="s">
        <v>1996</v>
      </c>
      <c r="F351" s="10" t="s">
        <v>1997</v>
      </c>
      <c r="G351" s="9">
        <v>4.0</v>
      </c>
      <c r="H351" s="50" t="s">
        <v>1841</v>
      </c>
      <c r="I351" s="9" t="s">
        <v>70</v>
      </c>
    </row>
    <row r="352">
      <c r="A352" s="22" t="s">
        <v>1998</v>
      </c>
      <c r="B352" s="7" t="s">
        <v>1770</v>
      </c>
      <c r="C352" s="9">
        <v>1.0</v>
      </c>
      <c r="D352" s="9" t="s">
        <v>1942</v>
      </c>
      <c r="E352" s="7" t="s">
        <v>1999</v>
      </c>
      <c r="F352" s="17" t="s">
        <v>2000</v>
      </c>
      <c r="G352" s="9">
        <v>2.0</v>
      </c>
      <c r="H352" s="9" t="s">
        <v>1791</v>
      </c>
      <c r="I352" s="9" t="s">
        <v>70</v>
      </c>
    </row>
    <row r="353">
      <c r="A353" s="16" t="s">
        <v>2001</v>
      </c>
      <c r="B353" s="7" t="s">
        <v>1770</v>
      </c>
      <c r="C353" s="9">
        <v>1.0</v>
      </c>
      <c r="D353" s="15" t="s">
        <v>1175</v>
      </c>
      <c r="E353" s="16" t="s">
        <v>2002</v>
      </c>
      <c r="F353" s="17" t="s">
        <v>2003</v>
      </c>
      <c r="G353" s="15">
        <v>2.0</v>
      </c>
      <c r="H353" s="15" t="s">
        <v>1795</v>
      </c>
      <c r="I353" s="15" t="s">
        <v>26</v>
      </c>
    </row>
    <row r="354">
      <c r="A354" s="7" t="s">
        <v>2004</v>
      </c>
      <c r="B354" s="7" t="s">
        <v>1770</v>
      </c>
      <c r="C354" s="9">
        <v>1.0</v>
      </c>
      <c r="D354" s="15" t="s">
        <v>2005</v>
      </c>
      <c r="E354" s="16" t="s">
        <v>2006</v>
      </c>
      <c r="F354" s="17" t="s">
        <v>2007</v>
      </c>
      <c r="G354" s="15">
        <v>2.0</v>
      </c>
      <c r="H354" s="15" t="s">
        <v>1892</v>
      </c>
      <c r="I354" s="9" t="s">
        <v>70</v>
      </c>
    </row>
    <row r="355">
      <c r="A355" s="7" t="s">
        <v>2008</v>
      </c>
      <c r="B355" s="7" t="s">
        <v>1770</v>
      </c>
      <c r="C355" s="9">
        <v>1.0</v>
      </c>
      <c r="D355" s="9" t="s">
        <v>335</v>
      </c>
      <c r="E355" s="7" t="s">
        <v>2009</v>
      </c>
      <c r="F355" s="10" t="s">
        <v>2010</v>
      </c>
      <c r="G355" s="9">
        <v>3.0</v>
      </c>
      <c r="H355" s="9" t="s">
        <v>1892</v>
      </c>
      <c r="I355" s="9" t="s">
        <v>70</v>
      </c>
    </row>
    <row r="356">
      <c r="A356" s="7" t="s">
        <v>2011</v>
      </c>
      <c r="B356" s="7" t="s">
        <v>1770</v>
      </c>
      <c r="C356" s="9">
        <v>1.0</v>
      </c>
      <c r="D356" s="9" t="s">
        <v>1175</v>
      </c>
      <c r="E356" s="16" t="s">
        <v>2012</v>
      </c>
      <c r="F356" s="10" t="s">
        <v>2013</v>
      </c>
      <c r="G356" s="9">
        <v>3.0</v>
      </c>
      <c r="H356" s="9" t="s">
        <v>1791</v>
      </c>
      <c r="I356" s="9" t="s">
        <v>26</v>
      </c>
    </row>
    <row r="357">
      <c r="A357" s="16" t="s">
        <v>2014</v>
      </c>
      <c r="B357" s="7" t="s">
        <v>1770</v>
      </c>
      <c r="C357" s="9">
        <v>1.0</v>
      </c>
      <c r="D357" s="15" t="s">
        <v>1175</v>
      </c>
      <c r="E357" s="16" t="s">
        <v>2015</v>
      </c>
      <c r="F357" s="17" t="s">
        <v>2016</v>
      </c>
      <c r="G357" s="15">
        <v>3.0</v>
      </c>
      <c r="H357" s="15" t="s">
        <v>1791</v>
      </c>
      <c r="I357" s="15" t="s">
        <v>26</v>
      </c>
    </row>
    <row r="358">
      <c r="A358" s="24" t="s">
        <v>2017</v>
      </c>
      <c r="B358" s="7" t="s">
        <v>1770</v>
      </c>
      <c r="C358" s="9">
        <v>1.0</v>
      </c>
      <c r="D358" s="21" t="s">
        <v>1788</v>
      </c>
      <c r="E358" s="7" t="s">
        <v>2018</v>
      </c>
      <c r="F358" s="17" t="s">
        <v>2019</v>
      </c>
      <c r="G358" s="9">
        <v>2.0</v>
      </c>
      <c r="H358" s="9" t="s">
        <v>1795</v>
      </c>
      <c r="I358" s="15" t="s">
        <v>26</v>
      </c>
    </row>
    <row r="359">
      <c r="A359" s="7" t="s">
        <v>2020</v>
      </c>
      <c r="B359" s="7" t="s">
        <v>1770</v>
      </c>
      <c r="C359" s="9">
        <v>1.0</v>
      </c>
      <c r="D359" s="9" t="s">
        <v>1743</v>
      </c>
      <c r="E359" s="7" t="s">
        <v>2021</v>
      </c>
      <c r="F359" s="102" t="s">
        <v>2022</v>
      </c>
      <c r="G359" s="9">
        <v>4.0</v>
      </c>
      <c r="H359" s="9" t="s">
        <v>1892</v>
      </c>
      <c r="I359" s="15" t="s">
        <v>26</v>
      </c>
    </row>
    <row r="360">
      <c r="A360" s="20" t="s">
        <v>2023</v>
      </c>
      <c r="B360" s="7" t="s">
        <v>1770</v>
      </c>
      <c r="C360" s="9">
        <v>1.0</v>
      </c>
      <c r="D360" s="9" t="s">
        <v>181</v>
      </c>
      <c r="E360" s="7" t="s">
        <v>2024</v>
      </c>
      <c r="F360" s="10" t="s">
        <v>2025</v>
      </c>
      <c r="G360" s="9">
        <v>0.0</v>
      </c>
      <c r="H360" s="9" t="s">
        <v>1791</v>
      </c>
      <c r="I360" s="9" t="s">
        <v>26</v>
      </c>
    </row>
    <row r="361">
      <c r="A361" s="51" t="s">
        <v>2026</v>
      </c>
      <c r="B361" s="54" t="s">
        <v>1770</v>
      </c>
      <c r="C361" s="53">
        <v>1.0</v>
      </c>
      <c r="D361" s="53" t="s">
        <v>1464</v>
      </c>
      <c r="E361" s="54" t="s">
        <v>2027</v>
      </c>
      <c r="F361" s="55" t="s">
        <v>2028</v>
      </c>
      <c r="G361" s="53">
        <v>4.0</v>
      </c>
      <c r="H361" s="53" t="s">
        <v>1781</v>
      </c>
      <c r="I361" s="53" t="s">
        <v>70</v>
      </c>
    </row>
    <row r="362" hidden="1">
      <c r="A362" s="16" t="s">
        <v>2029</v>
      </c>
      <c r="B362" s="16" t="s">
        <v>21</v>
      </c>
      <c r="C362" s="15">
        <v>3.0</v>
      </c>
      <c r="D362" s="16" t="s">
        <v>2030</v>
      </c>
      <c r="E362" s="16" t="s">
        <v>2031</v>
      </c>
      <c r="G362" s="15">
        <v>4.0</v>
      </c>
      <c r="H362" s="15" t="s">
        <v>158</v>
      </c>
      <c r="I362" s="16" t="s">
        <v>70</v>
      </c>
    </row>
    <row r="363" hidden="1">
      <c r="A363" s="16" t="s">
        <v>2032</v>
      </c>
      <c r="B363" s="16" t="s">
        <v>1770</v>
      </c>
      <c r="C363" s="15">
        <v>3.0</v>
      </c>
      <c r="D363" s="16" t="s">
        <v>2033</v>
      </c>
      <c r="E363" s="16" t="s">
        <v>2034</v>
      </c>
      <c r="G363" s="15">
        <v>3.0</v>
      </c>
      <c r="H363" s="15" t="s">
        <v>2035</v>
      </c>
      <c r="I363" s="16" t="s">
        <v>32</v>
      </c>
    </row>
    <row r="364" hidden="1">
      <c r="A364" s="16" t="s">
        <v>2036</v>
      </c>
      <c r="B364" s="16" t="s">
        <v>1039</v>
      </c>
      <c r="C364" s="15">
        <v>3.0</v>
      </c>
      <c r="D364" s="16" t="s">
        <v>37</v>
      </c>
      <c r="E364" s="16" t="s">
        <v>2037</v>
      </c>
      <c r="G364" s="15">
        <v>1.0</v>
      </c>
      <c r="H364" s="15" t="s">
        <v>1051</v>
      </c>
      <c r="I364" s="16" t="s">
        <v>26</v>
      </c>
    </row>
    <row r="365" hidden="1">
      <c r="A365" s="16" t="s">
        <v>2038</v>
      </c>
      <c r="B365" s="16" t="s">
        <v>418</v>
      </c>
      <c r="C365" s="15">
        <v>3.0</v>
      </c>
      <c r="D365" s="16" t="s">
        <v>631</v>
      </c>
      <c r="E365" s="16" t="s">
        <v>2039</v>
      </c>
      <c r="G365" s="15">
        <v>3.0</v>
      </c>
      <c r="H365" s="15" t="s">
        <v>586</v>
      </c>
      <c r="I365" s="16" t="s">
        <v>26</v>
      </c>
    </row>
    <row r="366" hidden="1">
      <c r="A366" s="16" t="s">
        <v>2040</v>
      </c>
      <c r="B366" s="16" t="s">
        <v>964</v>
      </c>
      <c r="C366" s="15">
        <v>3.0</v>
      </c>
      <c r="D366" s="16" t="s">
        <v>2041</v>
      </c>
      <c r="E366" s="16" t="s">
        <v>2042</v>
      </c>
      <c r="G366" s="15">
        <v>6.0</v>
      </c>
      <c r="H366" s="15" t="s">
        <v>2043</v>
      </c>
      <c r="I366" s="16" t="s">
        <v>70</v>
      </c>
    </row>
    <row r="367" hidden="1">
      <c r="A367" s="16" t="s">
        <v>2044</v>
      </c>
      <c r="B367" s="16" t="s">
        <v>391</v>
      </c>
      <c r="C367" s="15">
        <v>3.0</v>
      </c>
      <c r="D367" s="16" t="s">
        <v>2045</v>
      </c>
      <c r="E367" s="16" t="s">
        <v>2046</v>
      </c>
      <c r="G367" s="15">
        <v>5.0</v>
      </c>
      <c r="H367" s="15" t="s">
        <v>2047</v>
      </c>
      <c r="I367" s="16" t="s">
        <v>32</v>
      </c>
    </row>
    <row r="368" hidden="1">
      <c r="A368" s="16" t="s">
        <v>2048</v>
      </c>
      <c r="B368" s="16" t="s">
        <v>1501</v>
      </c>
      <c r="C368" s="15">
        <v>3.0</v>
      </c>
      <c r="D368" s="16" t="s">
        <v>2049</v>
      </c>
      <c r="E368" s="16" t="s">
        <v>2050</v>
      </c>
      <c r="G368" s="15">
        <v>5.0</v>
      </c>
      <c r="H368" s="15" t="s">
        <v>1535</v>
      </c>
      <c r="I368" s="16" t="s">
        <v>70</v>
      </c>
    </row>
    <row r="369" hidden="1">
      <c r="A369" s="16" t="s">
        <v>2051</v>
      </c>
      <c r="B369" s="16" t="s">
        <v>21</v>
      </c>
      <c r="C369" s="15">
        <v>3.0</v>
      </c>
      <c r="D369" s="16" t="s">
        <v>111</v>
      </c>
      <c r="E369" s="16" t="s">
        <v>2052</v>
      </c>
      <c r="G369" s="15">
        <v>2.0</v>
      </c>
      <c r="H369" s="15" t="s">
        <v>106</v>
      </c>
      <c r="I369" s="16" t="s">
        <v>26</v>
      </c>
    </row>
    <row r="370" hidden="1">
      <c r="A370" s="16" t="s">
        <v>2053</v>
      </c>
      <c r="B370" s="16" t="s">
        <v>418</v>
      </c>
      <c r="C370" s="15">
        <v>3.0</v>
      </c>
      <c r="D370" s="16" t="s">
        <v>2054</v>
      </c>
      <c r="E370" s="16" t="s">
        <v>2055</v>
      </c>
      <c r="G370" s="15">
        <v>3.0</v>
      </c>
      <c r="H370" s="15" t="s">
        <v>421</v>
      </c>
      <c r="I370" s="16" t="s">
        <v>26</v>
      </c>
    </row>
    <row r="371" hidden="1">
      <c r="A371" s="16" t="s">
        <v>2056</v>
      </c>
      <c r="B371" s="16" t="s">
        <v>895</v>
      </c>
      <c r="C371" s="15">
        <v>3.0</v>
      </c>
      <c r="D371" s="16" t="s">
        <v>2057</v>
      </c>
      <c r="E371" s="16" t="s">
        <v>2058</v>
      </c>
      <c r="G371" s="15">
        <v>3.0</v>
      </c>
      <c r="H371" s="15" t="s">
        <v>2059</v>
      </c>
      <c r="I371" s="16" t="s">
        <v>70</v>
      </c>
    </row>
    <row r="372" hidden="1">
      <c r="A372" s="16" t="s">
        <v>2060</v>
      </c>
      <c r="B372" s="16" t="s">
        <v>1770</v>
      </c>
      <c r="C372" s="15">
        <v>3.0</v>
      </c>
      <c r="D372" s="16" t="s">
        <v>2061</v>
      </c>
      <c r="E372" s="16" t="s">
        <v>2062</v>
      </c>
      <c r="G372" s="103"/>
      <c r="H372" s="103"/>
    </row>
    <row r="373" hidden="1">
      <c r="A373" s="16" t="s">
        <v>2063</v>
      </c>
      <c r="B373" s="16" t="s">
        <v>1501</v>
      </c>
      <c r="C373" s="15">
        <v>3.0</v>
      </c>
      <c r="D373" s="16" t="s">
        <v>1397</v>
      </c>
      <c r="E373" s="16" t="s">
        <v>2064</v>
      </c>
      <c r="G373" s="15">
        <v>3.0</v>
      </c>
      <c r="H373" s="15" t="s">
        <v>1530</v>
      </c>
      <c r="I373" s="16" t="s">
        <v>26</v>
      </c>
    </row>
    <row r="374" hidden="1">
      <c r="A374" s="16" t="s">
        <v>2065</v>
      </c>
      <c r="B374" s="16" t="s">
        <v>1770</v>
      </c>
      <c r="C374" s="15">
        <v>3.0</v>
      </c>
      <c r="D374" s="16" t="s">
        <v>2066</v>
      </c>
      <c r="E374" s="16" t="s">
        <v>2067</v>
      </c>
      <c r="G374" s="15">
        <v>4.0</v>
      </c>
      <c r="H374" s="15" t="s">
        <v>1892</v>
      </c>
      <c r="I374" s="16" t="s">
        <v>70</v>
      </c>
    </row>
    <row r="375" hidden="1">
      <c r="A375" s="16" t="s">
        <v>2068</v>
      </c>
      <c r="B375" s="16" t="s">
        <v>2069</v>
      </c>
      <c r="C375" s="15">
        <v>3.0</v>
      </c>
      <c r="D375" s="16" t="s">
        <v>28</v>
      </c>
      <c r="E375" s="16" t="s">
        <v>2070</v>
      </c>
      <c r="G375" s="15">
        <v>3.0</v>
      </c>
      <c r="H375" s="15" t="s">
        <v>2071</v>
      </c>
      <c r="I375" s="16" t="s">
        <v>26</v>
      </c>
    </row>
    <row r="376" hidden="1">
      <c r="A376" s="16" t="s">
        <v>2072</v>
      </c>
      <c r="B376" s="16" t="s">
        <v>418</v>
      </c>
      <c r="C376" s="15">
        <v>3.0</v>
      </c>
      <c r="D376" s="16" t="s">
        <v>2073</v>
      </c>
      <c r="E376" s="16" t="s">
        <v>2074</v>
      </c>
      <c r="G376" s="15">
        <v>5.0</v>
      </c>
      <c r="H376" s="15" t="s">
        <v>526</v>
      </c>
      <c r="I376" s="16" t="s">
        <v>26</v>
      </c>
    </row>
    <row r="377" hidden="1">
      <c r="A377" s="16" t="s">
        <v>2075</v>
      </c>
      <c r="B377" s="14" t="s">
        <v>21</v>
      </c>
      <c r="C377" s="15">
        <v>3.0</v>
      </c>
      <c r="D377" s="15" t="s">
        <v>80</v>
      </c>
      <c r="E377" s="16" t="s">
        <v>2076</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2077</v>
      </c>
      <c r="B378" s="16" t="s">
        <v>418</v>
      </c>
      <c r="C378" s="15">
        <v>3.0</v>
      </c>
      <c r="D378" s="16" t="s">
        <v>2078</v>
      </c>
      <c r="E378" s="16" t="s">
        <v>2079</v>
      </c>
      <c r="G378" s="15">
        <v>2.0</v>
      </c>
      <c r="H378" s="15" t="s">
        <v>586</v>
      </c>
      <c r="I378" s="16" t="s">
        <v>70</v>
      </c>
    </row>
    <row r="379" hidden="1">
      <c r="A379" s="22" t="s">
        <v>2080</v>
      </c>
      <c r="B379" s="88" t="s">
        <v>1501</v>
      </c>
      <c r="C379" s="9">
        <v>3.0</v>
      </c>
      <c r="D379" s="9" t="s">
        <v>80</v>
      </c>
      <c r="E379" s="7" t="s">
        <v>2081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1667</v>
      </c>
      <c r="I379" s="9" t="s">
        <v>32</v>
      </c>
    </row>
    <row r="380" hidden="1">
      <c r="A380" s="7" t="s">
        <v>2004</v>
      </c>
      <c r="B380" s="97" t="s">
        <v>1770</v>
      </c>
      <c r="C380" s="9">
        <v>3.0</v>
      </c>
      <c r="D380" s="15" t="s">
        <v>2082</v>
      </c>
      <c r="E380" s="16" t="s">
        <v>2006</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1892</v>
      </c>
      <c r="I380" s="9" t="s">
        <v>32</v>
      </c>
    </row>
    <row r="381" hidden="1">
      <c r="A381" s="7" t="s">
        <v>2083</v>
      </c>
      <c r="B381" s="8" t="s">
        <v>21</v>
      </c>
      <c r="C381" s="9">
        <v>3.0</v>
      </c>
      <c r="D381" s="9" t="s">
        <v>408</v>
      </c>
      <c r="E381" s="7" t="s">
        <v>2084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2085</v>
      </c>
      <c r="B382" s="104" t="s">
        <v>21</v>
      </c>
      <c r="C382" s="65">
        <v>3.0</v>
      </c>
      <c r="D382" s="67" t="s">
        <v>2086</v>
      </c>
      <c r="E382" s="29" t="s">
        <v>2087</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2088</v>
      </c>
      <c r="B383" s="16" t="s">
        <v>391</v>
      </c>
      <c r="C383" s="15">
        <v>3.0</v>
      </c>
      <c r="D383" s="15" t="s">
        <v>1446</v>
      </c>
      <c r="E383" s="16" t="s">
        <v>2089</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2090</v>
      </c>
      <c r="B384" s="48" t="s">
        <v>418</v>
      </c>
      <c r="C384" s="9">
        <v>3.0</v>
      </c>
      <c r="D384" s="9" t="s">
        <v>433</v>
      </c>
      <c r="E384" s="16" t="s">
        <v>2091</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2092</v>
      </c>
      <c r="B385" s="7" t="s">
        <v>317</v>
      </c>
      <c r="C385" s="9">
        <v>3.0</v>
      </c>
      <c r="D385" s="9" t="s">
        <v>155</v>
      </c>
      <c r="E385" s="7" t="s">
        <v>2093</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2094</v>
      </c>
      <c r="G386" s="103"/>
      <c r="H386" s="103"/>
    </row>
    <row r="387" hidden="1">
      <c r="C387" s="15">
        <v>3.0</v>
      </c>
      <c r="D387" s="16" t="s">
        <v>1852</v>
      </c>
      <c r="G387" s="103"/>
      <c r="H387" s="103"/>
    </row>
    <row r="388" hidden="1">
      <c r="C388" s="15">
        <v>3.0</v>
      </c>
      <c r="E388" s="16" t="s">
        <v>2095</v>
      </c>
      <c r="G388" s="103"/>
      <c r="H388" s="103"/>
    </row>
    <row r="389" hidden="1">
      <c r="A389" s="16" t="s">
        <v>2096</v>
      </c>
      <c r="B389" s="16" t="s">
        <v>1501</v>
      </c>
      <c r="C389" s="15">
        <v>3.0</v>
      </c>
      <c r="D389" s="16" t="s">
        <v>37</v>
      </c>
      <c r="E389" s="16" t="s">
        <v>2097</v>
      </c>
      <c r="G389" s="15">
        <v>1.0</v>
      </c>
      <c r="H389" s="15" t="s">
        <v>1691</v>
      </c>
      <c r="I389" s="16" t="s">
        <v>26</v>
      </c>
    </row>
    <row r="390" hidden="1">
      <c r="C390" s="15">
        <v>3.0</v>
      </c>
      <c r="E390" s="16" t="s">
        <v>2098</v>
      </c>
      <c r="G390" s="103"/>
      <c r="H390" s="103"/>
    </row>
    <row r="391" hidden="1">
      <c r="A391" s="16" t="s">
        <v>2099</v>
      </c>
      <c r="B391" s="16" t="s">
        <v>1039</v>
      </c>
      <c r="C391" s="15">
        <v>3.0</v>
      </c>
      <c r="D391" s="16" t="s">
        <v>697</v>
      </c>
      <c r="E391" s="16" t="s">
        <v>2100</v>
      </c>
      <c r="G391" s="103"/>
      <c r="H391" s="103"/>
    </row>
    <row r="392" hidden="1">
      <c r="A392" s="7" t="s">
        <v>2101</v>
      </c>
      <c r="B392" s="7" t="s">
        <v>1039</v>
      </c>
      <c r="C392" s="9">
        <v>3.0</v>
      </c>
      <c r="D392" s="15" t="s">
        <v>335</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2102</v>
      </c>
      <c r="C393" s="16">
        <v>3.0</v>
      </c>
      <c r="E393" s="16" t="s">
        <v>2103</v>
      </c>
      <c r="G393" s="103"/>
      <c r="H393" s="103"/>
    </row>
    <row r="394" hidden="1">
      <c r="C394" s="15">
        <v>3.0</v>
      </c>
      <c r="E394" s="16" t="s">
        <v>2104</v>
      </c>
      <c r="G394" s="103"/>
      <c r="H394" s="103"/>
    </row>
    <row r="395" hidden="1">
      <c r="C395" s="15">
        <v>3.0</v>
      </c>
      <c r="E395" s="16" t="s">
        <v>2105</v>
      </c>
      <c r="G395" s="103"/>
      <c r="H395" s="103"/>
    </row>
    <row r="396" hidden="1">
      <c r="C396" s="15">
        <v>3.0</v>
      </c>
      <c r="E396" s="16" t="s">
        <v>2106</v>
      </c>
      <c r="G396" s="103"/>
      <c r="H396" s="103"/>
    </row>
    <row r="397" hidden="1">
      <c r="A397" s="16" t="s">
        <v>2107</v>
      </c>
      <c r="C397" s="15">
        <v>3.0</v>
      </c>
      <c r="D397" s="16" t="s">
        <v>2108</v>
      </c>
      <c r="E397" s="16" t="s">
        <v>2109</v>
      </c>
      <c r="G397" s="103"/>
      <c r="H397" s="103"/>
    </row>
    <row r="398" hidden="1">
      <c r="C398" s="15">
        <v>3.0</v>
      </c>
      <c r="E398" s="105" t="s">
        <v>2110</v>
      </c>
      <c r="G398" s="103"/>
      <c r="H398" s="103"/>
    </row>
    <row r="399" hidden="1">
      <c r="A399" s="16" t="s">
        <v>2111</v>
      </c>
      <c r="C399" s="15">
        <v>3.0</v>
      </c>
      <c r="D399" s="16" t="s">
        <v>2112</v>
      </c>
      <c r="E399" s="16" t="s">
        <v>2113</v>
      </c>
      <c r="G399" s="103"/>
      <c r="H399" s="103"/>
    </row>
    <row r="400" hidden="1">
      <c r="A400" s="16" t="s">
        <v>2114</v>
      </c>
      <c r="C400" s="15">
        <v>3.0</v>
      </c>
      <c r="D400" s="16" t="s">
        <v>2112</v>
      </c>
      <c r="E400" s="16" t="s">
        <v>2115</v>
      </c>
      <c r="G400" s="103"/>
      <c r="H400" s="103"/>
    </row>
    <row r="401" hidden="1">
      <c r="A401" s="16" t="s">
        <v>2116</v>
      </c>
      <c r="C401" s="15">
        <v>3.0</v>
      </c>
      <c r="D401" s="16" t="s">
        <v>2112</v>
      </c>
      <c r="E401" s="16" t="s">
        <v>2117</v>
      </c>
      <c r="G401" s="103"/>
      <c r="H401" s="103"/>
    </row>
    <row r="402" hidden="1">
      <c r="A402" s="16" t="s">
        <v>2118</v>
      </c>
      <c r="C402" s="15">
        <v>3.0</v>
      </c>
      <c r="D402" s="16" t="s">
        <v>2112</v>
      </c>
      <c r="E402" s="16" t="s">
        <v>2119</v>
      </c>
      <c r="G402" s="103"/>
      <c r="H402" s="103"/>
    </row>
    <row r="403" hidden="1">
      <c r="A403" s="16" t="s">
        <v>2120</v>
      </c>
      <c r="C403" s="15">
        <v>3.0</v>
      </c>
      <c r="D403" s="16" t="s">
        <v>2112</v>
      </c>
      <c r="E403" s="16" t="s">
        <v>2121</v>
      </c>
      <c r="G403" s="103"/>
      <c r="H403" s="103"/>
    </row>
    <row r="404" hidden="1">
      <c r="A404" s="16" t="s">
        <v>2122</v>
      </c>
      <c r="B404" s="16" t="s">
        <v>391</v>
      </c>
      <c r="C404" s="15">
        <v>3.0</v>
      </c>
      <c r="E404" s="16" t="s">
        <v>2123</v>
      </c>
      <c r="G404" s="103"/>
      <c r="H404" s="15" t="s">
        <v>475</v>
      </c>
      <c r="I404" s="16" t="s">
        <v>70</v>
      </c>
    </row>
    <row r="405" hidden="1">
      <c r="C405" s="16">
        <v>3.0</v>
      </c>
      <c r="E405" s="16" t="s">
        <v>2124</v>
      </c>
      <c r="G405" s="103"/>
      <c r="H405" s="103"/>
    </row>
    <row r="406" hidden="1">
      <c r="A406" s="16" t="s">
        <v>2125</v>
      </c>
      <c r="B406" s="16" t="s">
        <v>418</v>
      </c>
      <c r="C406" s="15">
        <v>3.0</v>
      </c>
      <c r="E406" s="16" t="s">
        <v>2126</v>
      </c>
      <c r="G406" s="103"/>
      <c r="H406" s="103"/>
    </row>
    <row r="407">
      <c r="A407" s="7" t="s">
        <v>2127</v>
      </c>
      <c r="B407" s="7" t="s">
        <v>1770</v>
      </c>
      <c r="C407" s="9">
        <v>1.0</v>
      </c>
      <c r="D407" s="9" t="s">
        <v>1748</v>
      </c>
      <c r="E407" s="7" t="s">
        <v>2128</v>
      </c>
      <c r="F407" s="10" t="s">
        <v>2129</v>
      </c>
      <c r="G407" s="9">
        <v>1.0</v>
      </c>
      <c r="H407" s="9" t="s">
        <v>1795</v>
      </c>
      <c r="I407" s="9" t="s">
        <v>26</v>
      </c>
    </row>
    <row r="408">
      <c r="A408" s="24" t="s">
        <v>2130</v>
      </c>
      <c r="B408" s="7" t="s">
        <v>1770</v>
      </c>
      <c r="C408" s="9">
        <v>1.0</v>
      </c>
      <c r="D408" s="9" t="s">
        <v>979</v>
      </c>
      <c r="E408" s="7" t="s">
        <v>636</v>
      </c>
      <c r="F408" s="17" t="s">
        <v>2131</v>
      </c>
      <c r="G408" s="21">
        <v>3.0</v>
      </c>
      <c r="H408" s="9" t="s">
        <v>1791</v>
      </c>
      <c r="I408" s="21" t="s">
        <v>26</v>
      </c>
    </row>
    <row r="409">
      <c r="A409" s="24" t="s">
        <v>2132</v>
      </c>
      <c r="B409" s="7" t="s">
        <v>1770</v>
      </c>
      <c r="C409" s="9">
        <v>1.0</v>
      </c>
      <c r="D409" s="9" t="s">
        <v>979</v>
      </c>
      <c r="E409" s="7" t="s">
        <v>2133</v>
      </c>
      <c r="F409" s="17" t="s">
        <v>2134</v>
      </c>
      <c r="G409" s="21">
        <v>4.0</v>
      </c>
      <c r="H409" s="9" t="s">
        <v>1841</v>
      </c>
      <c r="I409" s="21" t="s">
        <v>26</v>
      </c>
    </row>
    <row r="410">
      <c r="A410" s="7" t="s">
        <v>2135</v>
      </c>
      <c r="B410" s="7" t="s">
        <v>1770</v>
      </c>
      <c r="C410" s="9">
        <v>1.0</v>
      </c>
      <c r="D410" s="9" t="s">
        <v>1778</v>
      </c>
      <c r="E410" s="7" t="s">
        <v>2136</v>
      </c>
      <c r="F410" s="10" t="s">
        <v>2137</v>
      </c>
      <c r="G410" s="9">
        <v>4.0</v>
      </c>
      <c r="H410" s="9" t="s">
        <v>1841</v>
      </c>
      <c r="I410" s="9" t="s">
        <v>26</v>
      </c>
    </row>
    <row r="411">
      <c r="A411" s="22" t="s">
        <v>2138</v>
      </c>
      <c r="B411" s="7" t="s">
        <v>1770</v>
      </c>
      <c r="C411" s="9">
        <v>1.0</v>
      </c>
      <c r="D411" s="9" t="s">
        <v>201</v>
      </c>
      <c r="E411" s="7" t="s">
        <v>2139</v>
      </c>
      <c r="F411" s="10" t="s">
        <v>2140</v>
      </c>
      <c r="G411" s="9">
        <v>5.0</v>
      </c>
      <c r="H411" s="9" t="s">
        <v>1781</v>
      </c>
      <c r="I411" s="9" t="s">
        <v>70</v>
      </c>
      <c r="K411" s="13" t="s">
        <v>2141</v>
      </c>
    </row>
    <row r="412">
      <c r="A412" s="24" t="s">
        <v>2142</v>
      </c>
      <c r="B412" s="7" t="s">
        <v>1770</v>
      </c>
      <c r="C412" s="9">
        <v>1.0</v>
      </c>
      <c r="D412" s="9" t="s">
        <v>124</v>
      </c>
      <c r="E412" s="7" t="s">
        <v>2143</v>
      </c>
      <c r="F412" s="10" t="s">
        <v>2144</v>
      </c>
      <c r="G412" s="9">
        <v>1.0</v>
      </c>
      <c r="H412" s="9" t="s">
        <v>1791</v>
      </c>
      <c r="I412" s="21" t="s">
        <v>70</v>
      </c>
    </row>
    <row r="413">
      <c r="A413" s="22" t="s">
        <v>2145</v>
      </c>
      <c r="B413" s="7" t="s">
        <v>1770</v>
      </c>
      <c r="C413" s="9">
        <v>1.0</v>
      </c>
      <c r="D413" s="9" t="s">
        <v>2146</v>
      </c>
      <c r="E413" s="7" t="s">
        <v>2147</v>
      </c>
      <c r="F413" s="10" t="s">
        <v>2148</v>
      </c>
      <c r="G413" s="9">
        <v>2.0</v>
      </c>
      <c r="H413" s="9" t="s">
        <v>1795</v>
      </c>
      <c r="I413" s="9" t="s">
        <v>26</v>
      </c>
    </row>
    <row r="414">
      <c r="A414" s="24" t="s">
        <v>2149</v>
      </c>
      <c r="B414" s="7" t="s">
        <v>1770</v>
      </c>
      <c r="C414" s="9">
        <v>1.0</v>
      </c>
      <c r="D414" s="9" t="s">
        <v>651</v>
      </c>
      <c r="E414" s="7" t="s">
        <v>2150</v>
      </c>
      <c r="F414" s="17" t="s">
        <v>2151</v>
      </c>
      <c r="G414" s="9">
        <v>10.0</v>
      </c>
      <c r="H414" s="9" t="s">
        <v>1841</v>
      </c>
      <c r="I414" s="21" t="s">
        <v>32</v>
      </c>
    </row>
    <row r="415">
      <c r="A415" s="7" t="s">
        <v>2152</v>
      </c>
      <c r="B415" s="7" t="s">
        <v>1770</v>
      </c>
      <c r="C415" s="9">
        <v>1.0</v>
      </c>
      <c r="D415" s="9" t="s">
        <v>2153</v>
      </c>
      <c r="E415" s="7" t="s">
        <v>2154</v>
      </c>
      <c r="F415" s="10" t="s">
        <v>2155</v>
      </c>
      <c r="G415" s="9">
        <v>6.0</v>
      </c>
      <c r="H415" s="9" t="s">
        <v>1835</v>
      </c>
      <c r="I415" s="9" t="s">
        <v>32</v>
      </c>
    </row>
    <row r="416">
      <c r="A416" s="69" t="s">
        <v>2156</v>
      </c>
      <c r="B416" s="106" t="s">
        <v>1770</v>
      </c>
      <c r="C416" s="71">
        <v>1.0</v>
      </c>
      <c r="D416" s="71" t="s">
        <v>1935</v>
      </c>
      <c r="E416" s="29" t="s">
        <v>2157</v>
      </c>
      <c r="F416" s="69"/>
      <c r="G416" s="71">
        <v>6.0</v>
      </c>
      <c r="H416" s="71" t="s">
        <v>1786</v>
      </c>
      <c r="I416" s="71" t="s">
        <v>32</v>
      </c>
      <c r="J416" s="28"/>
      <c r="K416" s="28"/>
      <c r="L416" s="28"/>
      <c r="M416" s="28"/>
      <c r="N416" s="28"/>
      <c r="O416" s="28"/>
      <c r="P416" s="28"/>
      <c r="Q416" s="28"/>
      <c r="R416" s="28"/>
      <c r="S416" s="28"/>
      <c r="T416" s="28"/>
    </row>
    <row r="417">
      <c r="A417" s="7" t="s">
        <v>2158</v>
      </c>
      <c r="B417" s="7" t="s">
        <v>1770</v>
      </c>
      <c r="C417" s="9">
        <v>1.0</v>
      </c>
      <c r="D417" s="9" t="s">
        <v>1446</v>
      </c>
      <c r="F417" s="10" t="s">
        <v>2159</v>
      </c>
      <c r="G417" s="9">
        <v>1.0</v>
      </c>
      <c r="H417" s="9" t="s">
        <v>1773</v>
      </c>
      <c r="I417" s="9" t="s">
        <v>26</v>
      </c>
    </row>
    <row r="418">
      <c r="A418" s="16" t="s">
        <v>2160</v>
      </c>
      <c r="B418" s="16" t="s">
        <v>1770</v>
      </c>
      <c r="C418" s="15">
        <v>1.0</v>
      </c>
      <c r="D418" s="15" t="s">
        <v>1524</v>
      </c>
      <c r="F418" s="34"/>
      <c r="G418" s="15">
        <v>2.0</v>
      </c>
      <c r="H418" s="15" t="s">
        <v>1795</v>
      </c>
      <c r="I418" s="15" t="s">
        <v>26</v>
      </c>
    </row>
    <row r="419">
      <c r="A419" s="24" t="s">
        <v>2161</v>
      </c>
      <c r="B419" s="7" t="s">
        <v>1770</v>
      </c>
      <c r="C419" s="9">
        <v>1.0</v>
      </c>
      <c r="D419" s="9" t="s">
        <v>1931</v>
      </c>
      <c r="F419" s="10" t="s">
        <v>2162</v>
      </c>
      <c r="G419" s="9">
        <v>5.0</v>
      </c>
      <c r="H419" s="9" t="s">
        <v>1841</v>
      </c>
      <c r="I419" s="21" t="s">
        <v>26</v>
      </c>
    </row>
    <row r="420">
      <c r="A420" s="7" t="s">
        <v>2163</v>
      </c>
      <c r="B420" s="7" t="s">
        <v>1770</v>
      </c>
      <c r="C420" s="9">
        <v>1.0</v>
      </c>
      <c r="D420" s="9" t="s">
        <v>1783</v>
      </c>
      <c r="F420" s="10" t="s">
        <v>2164</v>
      </c>
      <c r="G420" s="9">
        <v>6.0</v>
      </c>
      <c r="H420" s="50" t="s">
        <v>1781</v>
      </c>
      <c r="I420" s="9" t="s">
        <v>26</v>
      </c>
    </row>
    <row r="421">
      <c r="A421" s="16" t="s">
        <v>2165</v>
      </c>
      <c r="B421" s="16" t="s">
        <v>1770</v>
      </c>
      <c r="C421" s="15">
        <v>1.0</v>
      </c>
      <c r="D421" s="15" t="s">
        <v>266</v>
      </c>
      <c r="F421" s="17" t="s">
        <v>2166</v>
      </c>
      <c r="G421" s="15">
        <v>4.0</v>
      </c>
      <c r="H421" s="15" t="s">
        <v>1892</v>
      </c>
      <c r="I421" s="15" t="s">
        <v>26</v>
      </c>
    </row>
    <row r="422">
      <c r="A422" s="16" t="s">
        <v>2167</v>
      </c>
      <c r="B422" s="16" t="s">
        <v>1770</v>
      </c>
      <c r="C422" s="15">
        <v>1.0</v>
      </c>
      <c r="D422" s="15" t="s">
        <v>302</v>
      </c>
      <c r="F422" s="34"/>
      <c r="G422" s="15">
        <v>3.0</v>
      </c>
      <c r="H422" s="9" t="s">
        <v>1791</v>
      </c>
      <c r="I422" s="15" t="s">
        <v>26</v>
      </c>
    </row>
    <row r="423">
      <c r="A423" s="16" t="s">
        <v>2168</v>
      </c>
      <c r="B423" s="16" t="s">
        <v>1770</v>
      </c>
      <c r="C423" s="15">
        <v>1.0</v>
      </c>
      <c r="D423" s="15" t="s">
        <v>2169</v>
      </c>
      <c r="E423" s="16" t="s">
        <v>60</v>
      </c>
      <c r="F423" s="34"/>
      <c r="G423" s="15">
        <v>5.0</v>
      </c>
      <c r="H423" s="9" t="s">
        <v>2170</v>
      </c>
      <c r="I423" s="15" t="s">
        <v>26</v>
      </c>
    </row>
    <row r="424">
      <c r="A424" s="31" t="s">
        <v>2171</v>
      </c>
      <c r="B424" s="16" t="s">
        <v>1770</v>
      </c>
      <c r="C424" s="15">
        <v>1.0</v>
      </c>
      <c r="D424" s="15" t="s">
        <v>813</v>
      </c>
      <c r="E424" s="31" t="s">
        <v>2172</v>
      </c>
      <c r="F424" s="34"/>
      <c r="G424" s="15">
        <v>3.0</v>
      </c>
      <c r="H424" s="16" t="s">
        <v>1781</v>
      </c>
      <c r="I424" s="9" t="s">
        <v>70</v>
      </c>
    </row>
    <row r="425">
      <c r="A425" s="16" t="s">
        <v>2173</v>
      </c>
      <c r="B425" s="16" t="s">
        <v>1770</v>
      </c>
      <c r="C425" s="15">
        <v>1.0</v>
      </c>
      <c r="D425" s="15" t="s">
        <v>1748</v>
      </c>
      <c r="E425" s="16" t="s">
        <v>2174</v>
      </c>
      <c r="F425" s="34"/>
      <c r="G425" s="15">
        <v>3.0</v>
      </c>
      <c r="H425" s="15" t="s">
        <v>1992</v>
      </c>
      <c r="I425" s="9" t="s">
        <v>70</v>
      </c>
    </row>
    <row r="426">
      <c r="A426" s="79" t="s">
        <v>2175</v>
      </c>
      <c r="B426" s="7" t="s">
        <v>1770</v>
      </c>
      <c r="C426" s="9">
        <v>1.0</v>
      </c>
      <c r="D426" s="9" t="s">
        <v>1942</v>
      </c>
      <c r="E426" s="16" t="s">
        <v>2176</v>
      </c>
      <c r="F426" s="10" t="s">
        <v>2177</v>
      </c>
      <c r="G426" s="9">
        <v>3.0</v>
      </c>
      <c r="H426" s="9" t="s">
        <v>1807</v>
      </c>
      <c r="I426" s="9" t="s">
        <v>32</v>
      </c>
    </row>
    <row r="427">
      <c r="A427" s="31" t="s">
        <v>2178</v>
      </c>
      <c r="B427" s="16" t="s">
        <v>1770</v>
      </c>
      <c r="C427" s="15">
        <v>1.0</v>
      </c>
      <c r="D427" s="15" t="s">
        <v>1365</v>
      </c>
      <c r="E427" s="16" t="s">
        <v>2179</v>
      </c>
      <c r="F427" s="34"/>
      <c r="G427" s="15">
        <v>4.0</v>
      </c>
      <c r="H427" s="9" t="s">
        <v>1892</v>
      </c>
      <c r="I427" s="9" t="s">
        <v>32</v>
      </c>
    </row>
    <row r="428">
      <c r="A428" s="31" t="s">
        <v>2180</v>
      </c>
      <c r="B428" s="16" t="s">
        <v>1770</v>
      </c>
      <c r="C428" s="15">
        <v>1.0</v>
      </c>
      <c r="D428" s="15" t="s">
        <v>360</v>
      </c>
      <c r="E428" s="16" t="s">
        <v>2181</v>
      </c>
      <c r="F428" s="17" t="s">
        <v>2182</v>
      </c>
      <c r="G428" s="15">
        <v>3.0</v>
      </c>
      <c r="H428" s="15" t="s">
        <v>1795</v>
      </c>
      <c r="I428" s="15" t="s">
        <v>32</v>
      </c>
      <c r="J428" s="16" t="s">
        <v>2183</v>
      </c>
      <c r="K428" s="13" t="s">
        <v>2184</v>
      </c>
      <c r="L428" s="13" t="s">
        <v>2185</v>
      </c>
      <c r="M428" s="13" t="s">
        <v>2186</v>
      </c>
    </row>
    <row r="429">
      <c r="A429" s="16" t="s">
        <v>2187</v>
      </c>
      <c r="B429" s="16" t="s">
        <v>1770</v>
      </c>
      <c r="C429" s="15">
        <v>1.0</v>
      </c>
      <c r="D429" s="15" t="s">
        <v>1743</v>
      </c>
      <c r="E429" s="16" t="s">
        <v>2188</v>
      </c>
      <c r="F429" s="34"/>
      <c r="G429" s="15">
        <v>2.0</v>
      </c>
      <c r="H429" s="15" t="s">
        <v>1992</v>
      </c>
      <c r="I429" s="15" t="s">
        <v>32</v>
      </c>
      <c r="J429" s="16" t="s">
        <v>2189</v>
      </c>
      <c r="K429" s="13" t="s">
        <v>2190</v>
      </c>
      <c r="L429" s="13" t="s">
        <v>2191</v>
      </c>
      <c r="M429" s="13" t="s">
        <v>2192</v>
      </c>
    </row>
    <row r="430">
      <c r="A430" s="16" t="s">
        <v>2193</v>
      </c>
      <c r="B430" s="91" t="s">
        <v>1770</v>
      </c>
      <c r="C430" s="15">
        <v>1.0</v>
      </c>
      <c r="D430" s="15" t="s">
        <v>651</v>
      </c>
      <c r="E430" s="16" t="s">
        <v>2194</v>
      </c>
      <c r="F430" s="17" t="s">
        <v>2195</v>
      </c>
      <c r="G430" s="15">
        <v>3.0</v>
      </c>
      <c r="H430" s="9" t="s">
        <v>1791</v>
      </c>
      <c r="I430" s="15" t="s">
        <v>32</v>
      </c>
      <c r="J430" s="16" t="s">
        <v>2196</v>
      </c>
      <c r="K430" s="13" t="s">
        <v>2197</v>
      </c>
      <c r="L430" s="13" t="s">
        <v>2198</v>
      </c>
      <c r="M430" s="13" t="s">
        <v>2199</v>
      </c>
      <c r="N430" s="13" t="s">
        <v>2200</v>
      </c>
      <c r="O430" s="13" t="s">
        <v>2201</v>
      </c>
    </row>
    <row r="431">
      <c r="A431" s="107" t="s">
        <v>2202</v>
      </c>
      <c r="B431" s="7"/>
      <c r="C431" s="9">
        <v>1.0</v>
      </c>
      <c r="D431" s="21" t="s">
        <v>80</v>
      </c>
      <c r="F431" s="10" t="s">
        <v>2203</v>
      </c>
      <c r="G431" s="9">
        <v>3.0</v>
      </c>
      <c r="H431" s="9" t="s">
        <v>1966</v>
      </c>
      <c r="I431" s="21" t="s">
        <v>26</v>
      </c>
      <c r="J431" s="16" t="s">
        <v>2204</v>
      </c>
      <c r="K431" s="13" t="s">
        <v>2205</v>
      </c>
      <c r="L431" s="13" t="s">
        <v>2206</v>
      </c>
      <c r="M431" s="13" t="s">
        <v>2207</v>
      </c>
    </row>
    <row r="432">
      <c r="A432" s="7" t="s">
        <v>2208</v>
      </c>
      <c r="B432" s="7"/>
      <c r="C432" s="9">
        <v>1.0</v>
      </c>
      <c r="D432" s="9" t="s">
        <v>59</v>
      </c>
      <c r="F432" s="10" t="s">
        <v>2209</v>
      </c>
      <c r="G432" s="9">
        <v>6.0</v>
      </c>
      <c r="H432" s="9" t="s">
        <v>2210</v>
      </c>
      <c r="I432" s="9" t="s">
        <v>26</v>
      </c>
      <c r="J432" s="16" t="s">
        <v>2211</v>
      </c>
      <c r="K432" s="13" t="s">
        <v>2212</v>
      </c>
      <c r="L432" s="13" t="s">
        <v>2213</v>
      </c>
    </row>
    <row r="433">
      <c r="A433" s="54" t="s">
        <v>2214</v>
      </c>
      <c r="B433" s="7" t="s">
        <v>21</v>
      </c>
      <c r="C433" s="9">
        <v>1.0</v>
      </c>
      <c r="D433" s="9" t="s">
        <v>242</v>
      </c>
      <c r="E433" s="16" t="s">
        <v>2215</v>
      </c>
      <c r="F433" s="10"/>
      <c r="G433" s="9">
        <v>4.0</v>
      </c>
      <c r="H433" s="9" t="s">
        <v>268</v>
      </c>
      <c r="I433" s="9" t="s">
        <v>26</v>
      </c>
      <c r="J433" s="16" t="s">
        <v>2216</v>
      </c>
      <c r="K433" s="13" t="s">
        <v>2217</v>
      </c>
      <c r="L433" s="13" t="s">
        <v>2218</v>
      </c>
      <c r="M433" s="13" t="s">
        <v>2219</v>
      </c>
      <c r="N433" s="13" t="s">
        <v>2220</v>
      </c>
      <c r="O433" s="13" t="s">
        <v>2221</v>
      </c>
      <c r="P433" s="13" t="s">
        <v>2222</v>
      </c>
      <c r="Q433" s="13" t="s">
        <v>2223</v>
      </c>
      <c r="R433" s="13" t="s">
        <v>2224</v>
      </c>
    </row>
    <row r="434">
      <c r="A434" s="16" t="s">
        <v>2225</v>
      </c>
      <c r="B434" s="7"/>
      <c r="C434" s="9">
        <v>1.0</v>
      </c>
      <c r="D434" s="15" t="s">
        <v>111</v>
      </c>
      <c r="E434" s="7" t="s">
        <v>2226</v>
      </c>
      <c r="F434" s="10" t="s">
        <v>2227</v>
      </c>
      <c r="G434" s="9">
        <v>3.0</v>
      </c>
      <c r="H434" s="9" t="s">
        <v>1966</v>
      </c>
      <c r="I434" s="9" t="s">
        <v>32</v>
      </c>
      <c r="J434" s="16" t="s">
        <v>2228</v>
      </c>
      <c r="K434" s="13" t="s">
        <v>2229</v>
      </c>
      <c r="L434" s="13" t="s">
        <v>2230</v>
      </c>
    </row>
    <row r="435">
      <c r="A435" s="7" t="s">
        <v>2231</v>
      </c>
      <c r="B435" s="7"/>
      <c r="C435" s="15">
        <v>1.0</v>
      </c>
      <c r="D435" s="9"/>
      <c r="E435" s="7" t="s">
        <v>2232</v>
      </c>
      <c r="F435" s="10" t="s">
        <v>2233</v>
      </c>
      <c r="G435" s="9">
        <v>2.0</v>
      </c>
      <c r="H435" s="9" t="s">
        <v>2234</v>
      </c>
      <c r="I435" s="9" t="s">
        <v>32</v>
      </c>
      <c r="J435" s="16" t="s">
        <v>2235</v>
      </c>
      <c r="K435" s="13" t="s">
        <v>2236</v>
      </c>
      <c r="L435" s="13" t="s">
        <v>2237</v>
      </c>
    </row>
    <row r="436">
      <c r="A436" s="7" t="s">
        <v>2238</v>
      </c>
      <c r="B436" s="16"/>
      <c r="C436" s="15">
        <v>1.0</v>
      </c>
      <c r="D436" s="9"/>
      <c r="E436" s="7" t="s">
        <v>2239</v>
      </c>
      <c r="F436" s="10" t="s">
        <v>2240</v>
      </c>
      <c r="G436" s="9">
        <v>2.0</v>
      </c>
      <c r="H436" s="9" t="s">
        <v>2234</v>
      </c>
      <c r="I436" s="9" t="s">
        <v>32</v>
      </c>
      <c r="J436" s="16" t="s">
        <v>2241</v>
      </c>
      <c r="K436" s="13" t="s">
        <v>2242</v>
      </c>
      <c r="L436" s="13" t="s">
        <v>2243</v>
      </c>
      <c r="M436" s="13" t="s">
        <v>2244</v>
      </c>
      <c r="N436" s="13" t="s">
        <v>2245</v>
      </c>
    </row>
    <row r="437" hidden="1">
      <c r="A437" s="16" t="s">
        <v>2246</v>
      </c>
      <c r="B437" s="16" t="s">
        <v>1501</v>
      </c>
      <c r="C437" s="15">
        <v>0.0</v>
      </c>
      <c r="D437" s="15" t="s">
        <v>387</v>
      </c>
      <c r="E437" s="16" t="s">
        <v>2247</v>
      </c>
      <c r="F437" s="34"/>
      <c r="G437" s="15">
        <v>6.0</v>
      </c>
      <c r="H437" s="15" t="s">
        <v>1535</v>
      </c>
      <c r="I437" s="15" t="s">
        <v>32</v>
      </c>
    </row>
    <row r="438" hidden="1">
      <c r="A438" s="16" t="s">
        <v>2248</v>
      </c>
      <c r="B438" s="16" t="s">
        <v>1501</v>
      </c>
      <c r="C438" s="15">
        <v>0.0</v>
      </c>
      <c r="D438" s="15" t="s">
        <v>387</v>
      </c>
      <c r="E438" s="16" t="s">
        <v>2249</v>
      </c>
      <c r="F438" s="34"/>
      <c r="G438" s="15">
        <v>4.0</v>
      </c>
      <c r="H438" s="15" t="s">
        <v>1667</v>
      </c>
      <c r="I438" s="15" t="s">
        <v>70</v>
      </c>
    </row>
    <row r="439" hidden="1">
      <c r="C439" s="103"/>
      <c r="D439" s="103"/>
      <c r="F439" s="34"/>
      <c r="G439" s="103"/>
      <c r="H439" s="103"/>
      <c r="I439" s="103"/>
    </row>
    <row r="440" hidden="1">
      <c r="C440" s="103"/>
      <c r="D440" s="103"/>
      <c r="F440" s="34"/>
      <c r="G440" s="103"/>
      <c r="H440" s="103"/>
      <c r="I440" s="103"/>
    </row>
    <row r="441" hidden="1">
      <c r="C441" s="103"/>
      <c r="D441" s="103"/>
      <c r="F441" s="34"/>
      <c r="G441" s="103"/>
      <c r="H441" s="103"/>
      <c r="I441" s="103"/>
    </row>
    <row r="442" hidden="1">
      <c r="C442" s="103"/>
      <c r="D442" s="103"/>
      <c r="F442" s="34"/>
      <c r="G442" s="103"/>
      <c r="H442" s="103"/>
      <c r="I442" s="103"/>
    </row>
    <row r="443" hidden="1">
      <c r="C443" s="103"/>
      <c r="D443" s="103"/>
      <c r="F443" s="34"/>
      <c r="G443" s="103"/>
      <c r="H443" s="103"/>
      <c r="I443" s="103"/>
    </row>
    <row r="444" hidden="1">
      <c r="C444" s="103"/>
      <c r="D444" s="103"/>
      <c r="F444" s="34"/>
      <c r="G444" s="103"/>
      <c r="H444" s="103"/>
      <c r="I444" s="103"/>
    </row>
    <row r="445" hidden="1">
      <c r="C445" s="103"/>
      <c r="D445" s="103"/>
      <c r="F445" s="34"/>
      <c r="G445" s="103"/>
      <c r="H445" s="103"/>
      <c r="I445" s="103"/>
    </row>
    <row r="446" hidden="1">
      <c r="C446" s="103"/>
      <c r="D446" s="103"/>
      <c r="F446" s="34"/>
      <c r="G446" s="103"/>
      <c r="H446" s="103"/>
      <c r="I446" s="103"/>
    </row>
    <row r="447" hidden="1">
      <c r="C447" s="103"/>
      <c r="D447" s="103"/>
      <c r="F447" s="34"/>
      <c r="G447" s="103"/>
      <c r="H447" s="103"/>
      <c r="I447" s="103"/>
    </row>
    <row r="448" hidden="1">
      <c r="C448" s="103"/>
      <c r="D448" s="103"/>
      <c r="F448" s="34"/>
      <c r="G448" s="103"/>
      <c r="H448" s="103"/>
      <c r="I448" s="103"/>
    </row>
    <row r="449" hidden="1">
      <c r="C449" s="103"/>
      <c r="D449" s="103"/>
      <c r="F449" s="34"/>
      <c r="G449" s="103"/>
      <c r="H449" s="103"/>
      <c r="I449" s="103"/>
    </row>
    <row r="450" hidden="1">
      <c r="C450" s="103"/>
      <c r="D450" s="103"/>
      <c r="F450" s="34"/>
      <c r="G450" s="103"/>
      <c r="H450" s="103"/>
      <c r="I450" s="103"/>
    </row>
    <row r="451" hidden="1">
      <c r="C451" s="103"/>
      <c r="D451" s="103"/>
      <c r="F451" s="34"/>
      <c r="G451" s="103"/>
      <c r="H451" s="103"/>
      <c r="I451" s="103"/>
    </row>
    <row r="452" hidden="1">
      <c r="C452" s="103"/>
      <c r="D452" s="103"/>
      <c r="F452" s="34"/>
      <c r="G452" s="103"/>
      <c r="H452" s="103"/>
      <c r="I452" s="103"/>
    </row>
    <row r="453" hidden="1">
      <c r="C453" s="103"/>
      <c r="D453" s="103"/>
      <c r="F453" s="34"/>
      <c r="G453" s="103"/>
      <c r="H453" s="103"/>
      <c r="I453" s="103"/>
    </row>
    <row r="454" hidden="1">
      <c r="C454" s="103"/>
      <c r="D454" s="103"/>
      <c r="F454" s="34"/>
      <c r="G454" s="103"/>
      <c r="H454" s="103"/>
      <c r="I454" s="103"/>
    </row>
    <row r="455" hidden="1">
      <c r="C455" s="103"/>
      <c r="D455" s="103"/>
      <c r="F455" s="34"/>
      <c r="G455" s="103"/>
      <c r="H455" s="103"/>
      <c r="I455" s="103"/>
    </row>
    <row r="456" hidden="1">
      <c r="C456" s="103"/>
      <c r="D456" s="103"/>
      <c r="F456" s="34"/>
      <c r="G456" s="103"/>
      <c r="H456" s="103"/>
      <c r="I456" s="103"/>
    </row>
    <row r="457" hidden="1">
      <c r="C457" s="103"/>
      <c r="D457" s="103"/>
      <c r="F457" s="34"/>
      <c r="G457" s="103"/>
      <c r="H457" s="103"/>
      <c r="I457" s="103"/>
    </row>
    <row r="458" hidden="1">
      <c r="C458" s="103"/>
      <c r="D458" s="103"/>
      <c r="F458" s="34"/>
      <c r="G458" s="103"/>
      <c r="H458" s="103"/>
      <c r="I458" s="103"/>
    </row>
    <row r="459" hidden="1">
      <c r="C459" s="103"/>
      <c r="D459" s="103"/>
      <c r="F459" s="34"/>
      <c r="G459" s="103"/>
      <c r="H459" s="103"/>
      <c r="I459" s="103"/>
    </row>
    <row r="460" hidden="1">
      <c r="C460" s="103"/>
      <c r="D460" s="103"/>
      <c r="F460" s="34"/>
      <c r="G460" s="103"/>
      <c r="H460" s="103"/>
      <c r="I460" s="103"/>
    </row>
    <row r="461" hidden="1">
      <c r="C461" s="103"/>
      <c r="D461" s="103"/>
      <c r="F461" s="34"/>
      <c r="G461" s="103"/>
      <c r="H461" s="103"/>
      <c r="I461" s="103"/>
    </row>
    <row r="462" hidden="1">
      <c r="C462" s="103"/>
      <c r="D462" s="103"/>
      <c r="F462" s="34"/>
      <c r="G462" s="103"/>
      <c r="H462" s="103"/>
      <c r="I462" s="103"/>
    </row>
    <row r="463" hidden="1">
      <c r="C463" s="103"/>
      <c r="D463" s="103"/>
      <c r="F463" s="34"/>
      <c r="G463" s="103"/>
      <c r="H463" s="103"/>
      <c r="I463" s="103"/>
    </row>
    <row r="464" hidden="1">
      <c r="C464" s="103"/>
      <c r="D464" s="103"/>
      <c r="F464" s="34"/>
      <c r="G464" s="103"/>
      <c r="H464" s="103"/>
      <c r="I464" s="103"/>
    </row>
    <row r="465" hidden="1">
      <c r="C465" s="103"/>
      <c r="D465" s="103"/>
      <c r="F465" s="34"/>
      <c r="G465" s="103"/>
      <c r="H465" s="103"/>
      <c r="I465" s="103"/>
    </row>
    <row r="466" hidden="1">
      <c r="C466" s="103"/>
      <c r="D466" s="103"/>
      <c r="F466" s="34"/>
      <c r="G466" s="103"/>
      <c r="H466" s="103"/>
      <c r="I466" s="103"/>
    </row>
    <row r="467" hidden="1">
      <c r="C467" s="103"/>
      <c r="D467" s="103"/>
      <c r="F467" s="34"/>
      <c r="G467" s="103"/>
      <c r="H467" s="103"/>
      <c r="I467" s="103"/>
    </row>
    <row r="468" hidden="1">
      <c r="C468" s="103"/>
      <c r="D468" s="103"/>
      <c r="F468" s="34"/>
      <c r="G468" s="103"/>
      <c r="H468" s="103"/>
      <c r="I468" s="103"/>
    </row>
    <row r="469" hidden="1">
      <c r="C469" s="103"/>
      <c r="D469" s="103"/>
      <c r="F469" s="34"/>
      <c r="G469" s="103"/>
      <c r="H469" s="103"/>
      <c r="I469" s="103"/>
    </row>
    <row r="470" hidden="1">
      <c r="C470" s="103"/>
      <c r="D470" s="103"/>
      <c r="F470" s="34"/>
      <c r="G470" s="103"/>
      <c r="H470" s="103"/>
      <c r="I470" s="103"/>
    </row>
    <row r="471" hidden="1">
      <c r="C471" s="103"/>
      <c r="D471" s="103"/>
      <c r="F471" s="34"/>
      <c r="G471" s="103"/>
      <c r="H471" s="103"/>
      <c r="I471" s="103"/>
    </row>
    <row r="472" hidden="1">
      <c r="C472" s="103"/>
      <c r="D472" s="103"/>
      <c r="F472" s="34"/>
      <c r="G472" s="103"/>
      <c r="H472" s="103"/>
      <c r="I472" s="103"/>
    </row>
    <row r="473" hidden="1">
      <c r="C473" s="103"/>
      <c r="D473" s="103"/>
      <c r="F473" s="34"/>
      <c r="G473" s="103"/>
      <c r="H473" s="103"/>
      <c r="I473" s="103"/>
    </row>
    <row r="474" hidden="1">
      <c r="C474" s="103"/>
      <c r="D474" s="103"/>
      <c r="F474" s="34"/>
      <c r="G474" s="103"/>
      <c r="H474" s="103"/>
      <c r="I474" s="103"/>
    </row>
    <row r="475" hidden="1">
      <c r="C475" s="103"/>
      <c r="D475" s="103"/>
      <c r="F475" s="34"/>
      <c r="G475" s="103"/>
      <c r="H475" s="103"/>
      <c r="I475" s="103"/>
    </row>
    <row r="476" hidden="1">
      <c r="C476" s="103"/>
      <c r="D476" s="103"/>
      <c r="F476" s="34"/>
      <c r="G476" s="103"/>
      <c r="H476" s="103"/>
      <c r="I476" s="103"/>
    </row>
    <row r="477" hidden="1">
      <c r="C477" s="103"/>
      <c r="D477" s="103"/>
      <c r="F477" s="34"/>
      <c r="G477" s="103"/>
      <c r="H477" s="103"/>
      <c r="I477" s="103"/>
    </row>
    <row r="478" hidden="1">
      <c r="C478" s="103"/>
      <c r="D478" s="103"/>
      <c r="F478" s="34"/>
      <c r="G478" s="103"/>
      <c r="H478" s="103"/>
      <c r="I478" s="103"/>
    </row>
    <row r="479" hidden="1">
      <c r="C479" s="103"/>
      <c r="D479" s="103"/>
      <c r="F479" s="34"/>
      <c r="G479" s="103"/>
      <c r="H479" s="103"/>
      <c r="I479" s="103"/>
    </row>
    <row r="480" hidden="1">
      <c r="C480" s="103"/>
      <c r="D480" s="103"/>
      <c r="F480" s="34"/>
      <c r="G480" s="103"/>
      <c r="H480" s="103"/>
      <c r="I480" s="103"/>
    </row>
    <row r="481" hidden="1">
      <c r="C481" s="103"/>
      <c r="D481" s="103"/>
      <c r="F481" s="34"/>
      <c r="G481" s="103"/>
      <c r="H481" s="103"/>
      <c r="I481" s="103"/>
    </row>
    <row r="482" hidden="1">
      <c r="C482" s="103"/>
      <c r="D482" s="103"/>
      <c r="F482" s="34"/>
      <c r="G482" s="103"/>
      <c r="H482" s="103"/>
      <c r="I482" s="103"/>
    </row>
    <row r="483" hidden="1">
      <c r="C483" s="103"/>
      <c r="D483" s="103"/>
      <c r="F483" s="34"/>
      <c r="G483" s="103"/>
      <c r="H483" s="103"/>
      <c r="I483" s="103"/>
    </row>
    <row r="484" hidden="1">
      <c r="C484" s="103"/>
      <c r="D484" s="103"/>
      <c r="F484" s="34"/>
      <c r="G484" s="103"/>
      <c r="H484" s="103"/>
      <c r="I484" s="103"/>
    </row>
    <row r="485" hidden="1">
      <c r="C485" s="103"/>
      <c r="D485" s="103"/>
      <c r="F485" s="34"/>
      <c r="G485" s="103"/>
      <c r="H485" s="103"/>
      <c r="I485" s="103"/>
    </row>
    <row r="486" hidden="1">
      <c r="C486" s="103"/>
      <c r="D486" s="103"/>
      <c r="F486" s="34"/>
      <c r="G486" s="103"/>
      <c r="H486" s="103"/>
      <c r="I486" s="103"/>
    </row>
    <row r="487" hidden="1">
      <c r="C487" s="103"/>
      <c r="D487" s="103"/>
      <c r="F487" s="34"/>
      <c r="G487" s="103"/>
      <c r="H487" s="103"/>
      <c r="I487" s="103"/>
    </row>
    <row r="488" hidden="1">
      <c r="C488" s="103"/>
      <c r="D488" s="103"/>
      <c r="F488" s="34"/>
      <c r="G488" s="103"/>
      <c r="H488" s="103"/>
      <c r="I488" s="103"/>
    </row>
    <row r="489" hidden="1">
      <c r="C489" s="103"/>
      <c r="D489" s="103"/>
      <c r="F489" s="34"/>
      <c r="G489" s="103"/>
      <c r="H489" s="103"/>
      <c r="I489" s="103"/>
    </row>
    <row r="490" hidden="1">
      <c r="C490" s="103"/>
      <c r="D490" s="103"/>
      <c r="F490" s="34"/>
      <c r="G490" s="103"/>
      <c r="H490" s="103"/>
      <c r="I490" s="103"/>
    </row>
    <row r="491" hidden="1">
      <c r="C491" s="103"/>
      <c r="D491" s="103"/>
      <c r="F491" s="34"/>
      <c r="G491" s="103"/>
      <c r="H491" s="103"/>
      <c r="I491" s="103"/>
    </row>
    <row r="492" hidden="1">
      <c r="C492" s="103"/>
      <c r="D492" s="103"/>
      <c r="F492" s="34"/>
      <c r="G492" s="103"/>
      <c r="H492" s="103"/>
      <c r="I492" s="103"/>
    </row>
    <row r="493" hidden="1">
      <c r="C493" s="103"/>
      <c r="D493" s="103"/>
      <c r="F493" s="34"/>
      <c r="G493" s="103"/>
      <c r="H493" s="103"/>
      <c r="I493" s="103"/>
    </row>
    <row r="494" hidden="1">
      <c r="C494" s="103"/>
      <c r="D494" s="103"/>
      <c r="F494" s="34"/>
      <c r="G494" s="103"/>
      <c r="H494" s="103"/>
      <c r="I494" s="103"/>
    </row>
    <row r="495" hidden="1">
      <c r="C495" s="103"/>
      <c r="D495" s="103"/>
      <c r="F495" s="34"/>
      <c r="G495" s="103"/>
      <c r="H495" s="103"/>
      <c r="I495" s="103"/>
    </row>
    <row r="496" hidden="1">
      <c r="C496" s="103"/>
      <c r="D496" s="103"/>
      <c r="F496" s="34"/>
      <c r="G496" s="103"/>
      <c r="H496" s="103"/>
      <c r="I496" s="103"/>
    </row>
    <row r="497" hidden="1">
      <c r="C497" s="103"/>
      <c r="D497" s="103"/>
      <c r="F497" s="34"/>
      <c r="G497" s="103"/>
      <c r="H497" s="103"/>
      <c r="I497" s="103"/>
    </row>
    <row r="498" hidden="1">
      <c r="C498" s="103"/>
      <c r="D498" s="103"/>
      <c r="F498" s="34"/>
      <c r="G498" s="103"/>
      <c r="H498" s="103"/>
      <c r="I498" s="103"/>
    </row>
    <row r="499" hidden="1">
      <c r="C499" s="103"/>
      <c r="D499" s="103"/>
      <c r="F499" s="34"/>
      <c r="G499" s="103"/>
      <c r="H499" s="103"/>
      <c r="I499" s="103"/>
    </row>
    <row r="500" hidden="1">
      <c r="C500" s="103"/>
      <c r="D500" s="103"/>
      <c r="F500" s="34"/>
      <c r="G500" s="103"/>
      <c r="H500" s="103"/>
      <c r="I500" s="103"/>
    </row>
    <row r="501" hidden="1">
      <c r="C501" s="103"/>
      <c r="D501" s="103"/>
      <c r="F501" s="34"/>
      <c r="G501" s="103"/>
      <c r="H501" s="103"/>
      <c r="I501" s="103"/>
    </row>
    <row r="502" hidden="1">
      <c r="C502" s="103"/>
      <c r="D502" s="103"/>
      <c r="F502" s="34"/>
      <c r="G502" s="103"/>
      <c r="H502" s="103"/>
      <c r="I502" s="103"/>
    </row>
    <row r="503" hidden="1">
      <c r="C503" s="103"/>
      <c r="D503" s="103"/>
      <c r="F503" s="34"/>
      <c r="G503" s="103"/>
      <c r="H503" s="103"/>
      <c r="I503" s="103"/>
    </row>
    <row r="504" hidden="1">
      <c r="C504" s="103"/>
      <c r="D504" s="103"/>
      <c r="F504" s="34"/>
      <c r="G504" s="103"/>
      <c r="H504" s="103"/>
      <c r="I504" s="103"/>
    </row>
    <row r="505" hidden="1">
      <c r="C505" s="103"/>
      <c r="D505" s="103"/>
      <c r="F505" s="34"/>
      <c r="G505" s="103"/>
      <c r="H505" s="103"/>
      <c r="I505" s="103"/>
    </row>
    <row r="506" hidden="1">
      <c r="C506" s="103"/>
      <c r="D506" s="103"/>
      <c r="F506" s="34"/>
      <c r="G506" s="103"/>
      <c r="H506" s="103"/>
      <c r="I506" s="103"/>
    </row>
    <row r="507" hidden="1">
      <c r="C507" s="103"/>
      <c r="D507" s="103"/>
      <c r="F507" s="34"/>
      <c r="G507" s="103"/>
      <c r="H507" s="103"/>
      <c r="I507" s="103"/>
    </row>
    <row r="508" hidden="1">
      <c r="C508" s="103"/>
      <c r="D508" s="103"/>
      <c r="F508" s="34"/>
      <c r="G508" s="103"/>
      <c r="H508" s="103"/>
      <c r="I508" s="103"/>
    </row>
    <row r="509" hidden="1">
      <c r="C509" s="103"/>
      <c r="D509" s="103"/>
      <c r="F509" s="34"/>
      <c r="G509" s="103"/>
      <c r="H509" s="103"/>
      <c r="I509" s="103"/>
    </row>
    <row r="510" hidden="1">
      <c r="C510" s="103"/>
      <c r="D510" s="103"/>
      <c r="F510" s="34"/>
      <c r="G510" s="103"/>
      <c r="H510" s="103"/>
      <c r="I510" s="103"/>
    </row>
    <row r="511" hidden="1">
      <c r="C511" s="103"/>
      <c r="D511" s="103"/>
      <c r="F511" s="34"/>
      <c r="G511" s="103"/>
      <c r="H511" s="103"/>
      <c r="I511" s="103"/>
    </row>
    <row r="512" hidden="1">
      <c r="C512" s="103"/>
      <c r="D512" s="103"/>
      <c r="F512" s="34"/>
      <c r="G512" s="103"/>
      <c r="H512" s="103"/>
      <c r="I512" s="103"/>
    </row>
    <row r="513" hidden="1">
      <c r="C513" s="103"/>
      <c r="D513" s="103"/>
      <c r="F513" s="34"/>
      <c r="G513" s="103"/>
      <c r="H513" s="103"/>
      <c r="I513" s="103"/>
    </row>
    <row r="514" hidden="1">
      <c r="C514" s="103"/>
      <c r="D514" s="103"/>
      <c r="F514" s="34"/>
      <c r="G514" s="103"/>
      <c r="H514" s="103"/>
      <c r="I514" s="103"/>
    </row>
    <row r="515" hidden="1">
      <c r="C515" s="103"/>
      <c r="D515" s="103"/>
      <c r="F515" s="34"/>
      <c r="G515" s="103"/>
      <c r="H515" s="103"/>
      <c r="I515" s="103"/>
    </row>
    <row r="516" hidden="1">
      <c r="C516" s="103"/>
      <c r="D516" s="103"/>
      <c r="F516" s="34"/>
      <c r="G516" s="103"/>
      <c r="H516" s="103"/>
      <c r="I516" s="103"/>
    </row>
    <row r="517" hidden="1">
      <c r="C517" s="103"/>
      <c r="D517" s="103"/>
      <c r="F517" s="34"/>
      <c r="G517" s="103"/>
      <c r="H517" s="103"/>
      <c r="I517" s="103"/>
    </row>
    <row r="518" hidden="1">
      <c r="C518" s="103"/>
      <c r="D518" s="103"/>
      <c r="F518" s="34"/>
      <c r="G518" s="103"/>
      <c r="H518" s="103"/>
      <c r="I518" s="103"/>
    </row>
    <row r="519" hidden="1">
      <c r="C519" s="103"/>
      <c r="D519" s="103"/>
      <c r="F519" s="34"/>
      <c r="G519" s="103"/>
      <c r="H519" s="103"/>
      <c r="I519" s="103"/>
    </row>
    <row r="520" hidden="1">
      <c r="C520" s="103"/>
      <c r="D520" s="103"/>
      <c r="F520" s="34"/>
      <c r="G520" s="103"/>
      <c r="H520" s="103"/>
      <c r="I520" s="103"/>
    </row>
    <row r="521" hidden="1">
      <c r="C521" s="103"/>
      <c r="D521" s="103"/>
      <c r="F521" s="34"/>
      <c r="G521" s="103"/>
      <c r="H521" s="103"/>
      <c r="I521" s="103"/>
    </row>
    <row r="522" hidden="1">
      <c r="C522" s="103"/>
      <c r="D522" s="103"/>
      <c r="F522" s="34"/>
      <c r="G522" s="103"/>
      <c r="H522" s="103"/>
      <c r="I522" s="103"/>
    </row>
    <row r="523" hidden="1">
      <c r="C523" s="103"/>
      <c r="D523" s="103"/>
      <c r="F523" s="34"/>
      <c r="G523" s="103"/>
      <c r="H523" s="103"/>
      <c r="I523" s="103"/>
    </row>
    <row r="524" hidden="1">
      <c r="C524" s="103"/>
      <c r="D524" s="103"/>
      <c r="F524" s="34"/>
      <c r="G524" s="103"/>
      <c r="H524" s="103"/>
      <c r="I524" s="103"/>
    </row>
    <row r="525" hidden="1">
      <c r="C525" s="103"/>
      <c r="D525" s="103"/>
      <c r="F525" s="34"/>
      <c r="G525" s="103"/>
      <c r="H525" s="103"/>
      <c r="I525" s="103"/>
    </row>
    <row r="526" hidden="1">
      <c r="C526" s="103"/>
      <c r="D526" s="103"/>
      <c r="F526" s="34"/>
      <c r="G526" s="103"/>
      <c r="H526" s="103"/>
      <c r="I526" s="103"/>
    </row>
    <row r="527" hidden="1">
      <c r="C527" s="103"/>
      <c r="D527" s="103"/>
      <c r="F527" s="34"/>
      <c r="G527" s="103"/>
      <c r="H527" s="103"/>
      <c r="I527" s="103"/>
    </row>
    <row r="528" hidden="1">
      <c r="C528" s="103"/>
      <c r="D528" s="103"/>
      <c r="F528" s="34"/>
      <c r="G528" s="103"/>
      <c r="H528" s="103"/>
      <c r="I528" s="103"/>
    </row>
    <row r="529" hidden="1">
      <c r="C529" s="103"/>
      <c r="D529" s="103"/>
      <c r="F529" s="34"/>
      <c r="G529" s="103"/>
      <c r="H529" s="103"/>
      <c r="I529" s="103"/>
    </row>
    <row r="530" hidden="1">
      <c r="C530" s="103"/>
      <c r="D530" s="103"/>
      <c r="F530" s="34"/>
      <c r="G530" s="103"/>
      <c r="H530" s="103"/>
      <c r="I530" s="103"/>
    </row>
    <row r="531" hidden="1">
      <c r="C531" s="103"/>
      <c r="D531" s="103"/>
      <c r="F531" s="34"/>
      <c r="G531" s="103"/>
      <c r="H531" s="103"/>
      <c r="I531" s="103"/>
    </row>
    <row r="532" hidden="1">
      <c r="C532" s="103"/>
      <c r="D532" s="103"/>
      <c r="F532" s="34"/>
      <c r="G532" s="103"/>
      <c r="H532" s="103"/>
      <c r="I532" s="103"/>
    </row>
    <row r="533" hidden="1">
      <c r="C533" s="103"/>
      <c r="D533" s="103"/>
      <c r="F533" s="34"/>
      <c r="G533" s="103"/>
      <c r="H533" s="103"/>
      <c r="I533" s="103"/>
    </row>
    <row r="534" hidden="1">
      <c r="C534" s="103"/>
      <c r="D534" s="103"/>
      <c r="F534" s="34"/>
      <c r="G534" s="103"/>
      <c r="H534" s="103"/>
      <c r="I534" s="103"/>
    </row>
    <row r="535" hidden="1">
      <c r="C535" s="103"/>
      <c r="D535" s="103"/>
      <c r="F535" s="34"/>
      <c r="G535" s="103"/>
      <c r="H535" s="103"/>
      <c r="I535" s="103"/>
    </row>
    <row r="536" hidden="1">
      <c r="C536" s="103"/>
      <c r="D536" s="103"/>
      <c r="F536" s="34"/>
      <c r="G536" s="103"/>
      <c r="H536" s="103"/>
      <c r="I536" s="103"/>
    </row>
    <row r="537" hidden="1">
      <c r="C537" s="103"/>
      <c r="D537" s="103"/>
      <c r="F537" s="34"/>
      <c r="G537" s="103"/>
      <c r="H537" s="103"/>
      <c r="I537" s="103"/>
    </row>
    <row r="538" hidden="1">
      <c r="C538" s="103"/>
      <c r="D538" s="103"/>
      <c r="F538" s="34"/>
      <c r="G538" s="103"/>
      <c r="H538" s="103"/>
      <c r="I538" s="103"/>
    </row>
    <row r="539" hidden="1">
      <c r="C539" s="103"/>
      <c r="D539" s="103"/>
      <c r="F539" s="34"/>
      <c r="G539" s="103"/>
      <c r="H539" s="103"/>
      <c r="I539" s="103"/>
    </row>
    <row r="540" hidden="1">
      <c r="C540" s="103"/>
      <c r="D540" s="103"/>
      <c r="F540" s="34"/>
      <c r="G540" s="103"/>
      <c r="H540" s="103"/>
      <c r="I540" s="103"/>
    </row>
    <row r="541" hidden="1">
      <c r="C541" s="103"/>
      <c r="D541" s="103"/>
      <c r="F541" s="34"/>
      <c r="G541" s="103"/>
      <c r="H541" s="103"/>
      <c r="I541" s="103"/>
    </row>
    <row r="542" hidden="1">
      <c r="C542" s="103"/>
      <c r="D542" s="103"/>
      <c r="F542" s="34"/>
      <c r="G542" s="103"/>
      <c r="H542" s="103"/>
      <c r="I542" s="103"/>
    </row>
    <row r="543" hidden="1">
      <c r="C543" s="103"/>
      <c r="D543" s="103"/>
      <c r="F543" s="34"/>
      <c r="G543" s="103"/>
      <c r="H543" s="103"/>
      <c r="I543" s="103"/>
    </row>
    <row r="544" hidden="1">
      <c r="C544" s="103"/>
      <c r="D544" s="103"/>
      <c r="F544" s="34"/>
      <c r="G544" s="103"/>
      <c r="H544" s="103"/>
      <c r="I544" s="103"/>
    </row>
    <row r="545" hidden="1">
      <c r="C545" s="103"/>
      <c r="D545" s="103"/>
      <c r="F545" s="34"/>
      <c r="G545" s="103"/>
      <c r="H545" s="103"/>
      <c r="I545" s="103"/>
    </row>
    <row r="546" hidden="1">
      <c r="C546" s="103"/>
      <c r="D546" s="103"/>
      <c r="F546" s="34"/>
      <c r="G546" s="103"/>
      <c r="H546" s="103"/>
      <c r="I546" s="103"/>
    </row>
    <row r="547" hidden="1">
      <c r="C547" s="103"/>
      <c r="D547" s="103"/>
      <c r="F547" s="34"/>
      <c r="G547" s="103"/>
      <c r="H547" s="103"/>
      <c r="I547" s="103"/>
    </row>
    <row r="548" hidden="1">
      <c r="C548" s="103"/>
      <c r="D548" s="103"/>
      <c r="F548" s="34"/>
      <c r="G548" s="103"/>
      <c r="H548" s="103"/>
      <c r="I548" s="103"/>
    </row>
    <row r="549" hidden="1">
      <c r="C549" s="103"/>
      <c r="D549" s="103"/>
      <c r="F549" s="34"/>
      <c r="G549" s="103"/>
      <c r="H549" s="103"/>
      <c r="I549" s="103"/>
    </row>
    <row r="550" hidden="1">
      <c r="C550" s="103"/>
      <c r="D550" s="103"/>
      <c r="F550" s="34"/>
      <c r="G550" s="103"/>
      <c r="H550" s="103"/>
      <c r="I550" s="103"/>
    </row>
    <row r="551" hidden="1">
      <c r="C551" s="103"/>
      <c r="D551" s="103"/>
      <c r="F551" s="34"/>
      <c r="G551" s="103"/>
      <c r="H551" s="103"/>
      <c r="I551" s="103"/>
    </row>
    <row r="552" hidden="1">
      <c r="C552" s="103"/>
      <c r="D552" s="103"/>
      <c r="F552" s="34"/>
      <c r="G552" s="103"/>
      <c r="H552" s="103"/>
      <c r="I552" s="103"/>
    </row>
    <row r="553" hidden="1">
      <c r="C553" s="103"/>
      <c r="D553" s="103"/>
      <c r="F553" s="34"/>
      <c r="G553" s="103"/>
      <c r="H553" s="103"/>
      <c r="I553" s="103"/>
    </row>
    <row r="554" hidden="1">
      <c r="C554" s="103"/>
      <c r="D554" s="103"/>
      <c r="F554" s="34"/>
      <c r="G554" s="103"/>
      <c r="H554" s="103"/>
      <c r="I554" s="103"/>
    </row>
    <row r="555" hidden="1">
      <c r="C555" s="103"/>
      <c r="D555" s="103"/>
      <c r="F555" s="34"/>
      <c r="G555" s="103"/>
      <c r="H555" s="103"/>
      <c r="I555" s="103"/>
    </row>
    <row r="556" hidden="1">
      <c r="C556" s="103"/>
      <c r="D556" s="103"/>
      <c r="F556" s="34"/>
      <c r="G556" s="103"/>
      <c r="H556" s="103"/>
      <c r="I556" s="103"/>
    </row>
    <row r="557" hidden="1">
      <c r="C557" s="103"/>
      <c r="D557" s="103"/>
      <c r="F557" s="34"/>
      <c r="G557" s="103"/>
      <c r="H557" s="103"/>
      <c r="I557" s="103"/>
    </row>
    <row r="558" hidden="1">
      <c r="C558" s="103"/>
      <c r="D558" s="103"/>
      <c r="F558" s="34"/>
      <c r="G558" s="103"/>
      <c r="H558" s="103"/>
      <c r="I558" s="103"/>
    </row>
    <row r="559" hidden="1">
      <c r="C559" s="103"/>
      <c r="D559" s="103"/>
      <c r="F559" s="34"/>
      <c r="G559" s="103"/>
      <c r="H559" s="103"/>
      <c r="I559" s="103"/>
    </row>
    <row r="560" hidden="1">
      <c r="C560" s="103"/>
      <c r="D560" s="103"/>
      <c r="F560" s="34"/>
      <c r="G560" s="103"/>
      <c r="H560" s="103"/>
      <c r="I560" s="103"/>
    </row>
    <row r="561" hidden="1">
      <c r="C561" s="103"/>
      <c r="D561" s="103"/>
      <c r="F561" s="34"/>
      <c r="G561" s="103"/>
      <c r="H561" s="103"/>
      <c r="I561" s="103"/>
    </row>
    <row r="562" hidden="1">
      <c r="C562" s="103"/>
      <c r="D562" s="103"/>
      <c r="F562" s="34"/>
      <c r="G562" s="103"/>
      <c r="H562" s="103"/>
      <c r="I562" s="103"/>
    </row>
    <row r="563" hidden="1">
      <c r="C563" s="103"/>
      <c r="D563" s="103"/>
      <c r="F563" s="34"/>
      <c r="G563" s="103"/>
      <c r="H563" s="103"/>
      <c r="I563" s="103"/>
    </row>
    <row r="564" hidden="1">
      <c r="C564" s="103"/>
      <c r="D564" s="103"/>
      <c r="F564" s="34"/>
      <c r="G564" s="103"/>
      <c r="H564" s="103"/>
      <c r="I564" s="103"/>
    </row>
    <row r="565" hidden="1">
      <c r="C565" s="103"/>
      <c r="D565" s="103"/>
      <c r="F565" s="34"/>
      <c r="G565" s="103"/>
      <c r="H565" s="103"/>
      <c r="I565" s="103"/>
    </row>
    <row r="566" hidden="1">
      <c r="C566" s="103"/>
      <c r="D566" s="103"/>
      <c r="F566" s="34"/>
      <c r="G566" s="103"/>
      <c r="H566" s="103"/>
      <c r="I566" s="103"/>
    </row>
    <row r="567" hidden="1">
      <c r="C567" s="103"/>
      <c r="D567" s="103"/>
      <c r="F567" s="34"/>
      <c r="G567" s="103"/>
      <c r="H567" s="103"/>
      <c r="I567" s="103"/>
    </row>
    <row r="568" hidden="1">
      <c r="C568" s="103"/>
      <c r="D568" s="103"/>
      <c r="F568" s="34"/>
      <c r="G568" s="103"/>
      <c r="H568" s="103"/>
      <c r="I568" s="103"/>
    </row>
    <row r="569" hidden="1">
      <c r="C569" s="103"/>
      <c r="D569" s="103"/>
      <c r="F569" s="34"/>
      <c r="G569" s="103"/>
      <c r="H569" s="103"/>
      <c r="I569" s="103"/>
    </row>
    <row r="570" hidden="1">
      <c r="C570" s="103"/>
      <c r="D570" s="103"/>
      <c r="F570" s="34"/>
      <c r="G570" s="103"/>
      <c r="H570" s="103"/>
      <c r="I570" s="103"/>
    </row>
    <row r="571" hidden="1">
      <c r="C571" s="103"/>
      <c r="D571" s="103"/>
      <c r="F571" s="34"/>
      <c r="G571" s="103"/>
      <c r="H571" s="103"/>
      <c r="I571" s="103"/>
    </row>
    <row r="572" hidden="1">
      <c r="C572" s="103"/>
      <c r="D572" s="103"/>
      <c r="F572" s="34"/>
      <c r="G572" s="103"/>
      <c r="H572" s="103"/>
      <c r="I572" s="103"/>
    </row>
    <row r="573" hidden="1">
      <c r="C573" s="103"/>
      <c r="D573" s="103"/>
      <c r="F573" s="34"/>
      <c r="G573" s="103"/>
      <c r="H573" s="103"/>
      <c r="I573" s="103"/>
    </row>
    <row r="574" hidden="1">
      <c r="C574" s="103"/>
      <c r="D574" s="103"/>
      <c r="F574" s="34"/>
      <c r="G574" s="103"/>
      <c r="H574" s="103"/>
      <c r="I574" s="103"/>
    </row>
    <row r="575" hidden="1">
      <c r="C575" s="103"/>
      <c r="D575" s="103"/>
      <c r="F575" s="34"/>
      <c r="G575" s="103"/>
      <c r="H575" s="103"/>
      <c r="I575" s="103"/>
    </row>
    <row r="576" hidden="1">
      <c r="C576" s="103"/>
      <c r="D576" s="103"/>
      <c r="F576" s="34"/>
      <c r="G576" s="103"/>
      <c r="H576" s="103"/>
      <c r="I576" s="103"/>
    </row>
    <row r="577" hidden="1">
      <c r="C577" s="103"/>
      <c r="D577" s="103"/>
      <c r="F577" s="34"/>
      <c r="G577" s="103"/>
      <c r="H577" s="103"/>
      <c r="I577" s="103"/>
    </row>
    <row r="578" hidden="1">
      <c r="C578" s="103"/>
      <c r="D578" s="103"/>
      <c r="F578" s="34"/>
      <c r="G578" s="103"/>
      <c r="H578" s="103"/>
      <c r="I578" s="103"/>
    </row>
    <row r="579" hidden="1">
      <c r="C579" s="103"/>
      <c r="D579" s="103"/>
      <c r="F579" s="34"/>
      <c r="G579" s="103"/>
      <c r="H579" s="103"/>
      <c r="I579" s="103"/>
    </row>
    <row r="580" hidden="1">
      <c r="C580" s="103"/>
      <c r="D580" s="103"/>
      <c r="F580" s="34"/>
      <c r="G580" s="103"/>
      <c r="H580" s="103"/>
      <c r="I580" s="103"/>
    </row>
    <row r="581" hidden="1">
      <c r="C581" s="103"/>
      <c r="D581" s="103"/>
      <c r="F581" s="34"/>
      <c r="G581" s="103"/>
      <c r="H581" s="103"/>
      <c r="I581" s="103"/>
    </row>
    <row r="582" hidden="1">
      <c r="C582" s="103"/>
      <c r="D582" s="103"/>
      <c r="F582" s="34"/>
      <c r="G582" s="103"/>
      <c r="H582" s="103"/>
      <c r="I582" s="103"/>
    </row>
    <row r="583" hidden="1">
      <c r="C583" s="103"/>
      <c r="D583" s="103"/>
      <c r="F583" s="34"/>
      <c r="G583" s="103"/>
      <c r="H583" s="103"/>
      <c r="I583" s="103"/>
    </row>
    <row r="584" hidden="1">
      <c r="C584" s="103"/>
      <c r="D584" s="103"/>
      <c r="F584" s="34"/>
      <c r="G584" s="103"/>
      <c r="H584" s="103"/>
      <c r="I584" s="103"/>
    </row>
    <row r="585" hidden="1">
      <c r="C585" s="103"/>
      <c r="D585" s="103"/>
      <c r="F585" s="34"/>
      <c r="G585" s="103"/>
      <c r="H585" s="103"/>
      <c r="I585" s="103"/>
    </row>
    <row r="586" hidden="1">
      <c r="C586" s="103"/>
      <c r="D586" s="103"/>
      <c r="F586" s="34"/>
      <c r="G586" s="103"/>
      <c r="H586" s="103"/>
      <c r="I586" s="103"/>
    </row>
    <row r="587" hidden="1">
      <c r="C587" s="103"/>
      <c r="D587" s="103"/>
      <c r="F587" s="34"/>
      <c r="G587" s="103"/>
      <c r="H587" s="103"/>
      <c r="I587" s="103"/>
    </row>
    <row r="588" hidden="1">
      <c r="C588" s="103"/>
      <c r="D588" s="103"/>
      <c r="F588" s="34"/>
      <c r="G588" s="103"/>
      <c r="H588" s="103"/>
      <c r="I588" s="103"/>
    </row>
    <row r="589" hidden="1">
      <c r="C589" s="103"/>
      <c r="D589" s="103"/>
      <c r="F589" s="34"/>
      <c r="G589" s="103"/>
      <c r="H589" s="103"/>
      <c r="I589" s="103"/>
    </row>
    <row r="590" hidden="1">
      <c r="C590" s="103"/>
      <c r="D590" s="103"/>
      <c r="F590" s="34"/>
      <c r="G590" s="103"/>
      <c r="H590" s="103"/>
      <c r="I590" s="103"/>
    </row>
    <row r="591" hidden="1">
      <c r="C591" s="103"/>
      <c r="D591" s="103"/>
      <c r="F591" s="34"/>
      <c r="G591" s="103"/>
      <c r="H591" s="103"/>
      <c r="I591" s="103"/>
    </row>
    <row r="592" hidden="1">
      <c r="C592" s="103"/>
      <c r="D592" s="103"/>
      <c r="F592" s="34"/>
      <c r="G592" s="103"/>
      <c r="H592" s="103"/>
      <c r="I592" s="103"/>
    </row>
    <row r="593" hidden="1">
      <c r="C593" s="103"/>
      <c r="D593" s="103"/>
      <c r="F593" s="34"/>
      <c r="G593" s="103"/>
      <c r="H593" s="103"/>
      <c r="I593" s="103"/>
    </row>
    <row r="594" hidden="1">
      <c r="C594" s="103"/>
      <c r="D594" s="103"/>
      <c r="F594" s="34"/>
      <c r="G594" s="103"/>
      <c r="H594" s="103"/>
      <c r="I594" s="103"/>
    </row>
    <row r="595" hidden="1">
      <c r="C595" s="103"/>
      <c r="D595" s="103"/>
      <c r="F595" s="34"/>
      <c r="G595" s="103"/>
      <c r="H595" s="103"/>
      <c r="I595" s="103"/>
    </row>
    <row r="596" hidden="1">
      <c r="C596" s="103"/>
      <c r="D596" s="103"/>
      <c r="F596" s="34"/>
      <c r="G596" s="103"/>
      <c r="H596" s="103"/>
      <c r="I596" s="103"/>
    </row>
    <row r="597" hidden="1">
      <c r="C597" s="103"/>
      <c r="D597" s="103"/>
      <c r="F597" s="34"/>
      <c r="G597" s="103"/>
      <c r="H597" s="103"/>
      <c r="I597" s="103"/>
    </row>
    <row r="598" hidden="1">
      <c r="C598" s="103"/>
      <c r="D598" s="103"/>
      <c r="F598" s="34"/>
      <c r="G598" s="103"/>
      <c r="H598" s="103"/>
      <c r="I598" s="103"/>
    </row>
    <row r="599" hidden="1">
      <c r="C599" s="103"/>
      <c r="D599" s="103"/>
      <c r="F599" s="34"/>
      <c r="G599" s="103"/>
      <c r="H599" s="103"/>
      <c r="I599" s="103"/>
    </row>
    <row r="600" hidden="1">
      <c r="C600" s="103"/>
      <c r="D600" s="103"/>
      <c r="F600" s="34"/>
      <c r="G600" s="103"/>
      <c r="H600" s="103"/>
      <c r="I600" s="103"/>
    </row>
    <row r="601" hidden="1">
      <c r="C601" s="103"/>
      <c r="D601" s="103"/>
      <c r="F601" s="34"/>
      <c r="G601" s="103"/>
      <c r="H601" s="103"/>
      <c r="I601" s="103"/>
    </row>
    <row r="602" hidden="1">
      <c r="C602" s="103"/>
      <c r="D602" s="103"/>
      <c r="F602" s="34"/>
      <c r="G602" s="103"/>
      <c r="H602" s="103"/>
      <c r="I602" s="103"/>
    </row>
    <row r="603" hidden="1">
      <c r="C603" s="103"/>
      <c r="D603" s="103"/>
      <c r="F603" s="34"/>
      <c r="G603" s="103"/>
      <c r="H603" s="103"/>
      <c r="I603" s="103"/>
    </row>
    <row r="604" hidden="1">
      <c r="C604" s="103"/>
      <c r="D604" s="103"/>
      <c r="F604" s="34"/>
      <c r="G604" s="103"/>
      <c r="H604" s="103"/>
      <c r="I604" s="103"/>
    </row>
    <row r="605" hidden="1">
      <c r="C605" s="103"/>
      <c r="D605" s="103"/>
      <c r="F605" s="34"/>
      <c r="G605" s="103"/>
      <c r="H605" s="103"/>
      <c r="I605" s="103"/>
    </row>
    <row r="606" hidden="1">
      <c r="C606" s="103"/>
      <c r="D606" s="103"/>
      <c r="F606" s="34"/>
      <c r="G606" s="103"/>
      <c r="H606" s="103"/>
      <c r="I606" s="103"/>
    </row>
    <row r="607" hidden="1">
      <c r="C607" s="103"/>
      <c r="D607" s="103"/>
      <c r="F607" s="34"/>
      <c r="G607" s="103"/>
      <c r="H607" s="103"/>
      <c r="I607" s="103"/>
    </row>
    <row r="608" hidden="1">
      <c r="C608" s="103"/>
      <c r="D608" s="103"/>
      <c r="F608" s="34"/>
      <c r="G608" s="103"/>
      <c r="H608" s="103"/>
      <c r="I608" s="103"/>
    </row>
    <row r="609" hidden="1">
      <c r="C609" s="103"/>
      <c r="D609" s="103"/>
      <c r="F609" s="34"/>
      <c r="G609" s="103"/>
      <c r="H609" s="103"/>
      <c r="I609" s="103"/>
    </row>
    <row r="610" hidden="1">
      <c r="C610" s="103"/>
      <c r="D610" s="103"/>
      <c r="F610" s="34"/>
      <c r="G610" s="103"/>
      <c r="H610" s="103"/>
      <c r="I610" s="103"/>
    </row>
    <row r="611" hidden="1">
      <c r="C611" s="103"/>
      <c r="D611" s="103"/>
      <c r="F611" s="34"/>
      <c r="G611" s="103"/>
      <c r="H611" s="103"/>
      <c r="I611" s="103"/>
    </row>
    <row r="612" hidden="1">
      <c r="C612" s="103"/>
      <c r="D612" s="103"/>
      <c r="F612" s="34"/>
      <c r="G612" s="103"/>
      <c r="H612" s="103"/>
      <c r="I612" s="103"/>
    </row>
    <row r="613" hidden="1">
      <c r="C613" s="103"/>
      <c r="D613" s="103"/>
      <c r="F613" s="34"/>
      <c r="G613" s="103"/>
      <c r="H613" s="103"/>
      <c r="I613" s="103"/>
    </row>
    <row r="614" hidden="1">
      <c r="C614" s="103"/>
      <c r="D614" s="103"/>
      <c r="F614" s="34"/>
      <c r="G614" s="103"/>
      <c r="H614" s="103"/>
      <c r="I614" s="103"/>
    </row>
    <row r="615" hidden="1">
      <c r="C615" s="103"/>
      <c r="D615" s="103"/>
      <c r="F615" s="34"/>
      <c r="G615" s="103"/>
      <c r="H615" s="103"/>
      <c r="I615" s="103"/>
    </row>
    <row r="616" hidden="1">
      <c r="C616" s="103"/>
      <c r="D616" s="103"/>
      <c r="F616" s="34"/>
      <c r="G616" s="103"/>
      <c r="H616" s="103"/>
      <c r="I616" s="103"/>
    </row>
    <row r="617" hidden="1">
      <c r="C617" s="103"/>
      <c r="D617" s="103"/>
      <c r="F617" s="34"/>
      <c r="G617" s="103"/>
      <c r="H617" s="103"/>
      <c r="I617" s="103"/>
    </row>
    <row r="618" hidden="1">
      <c r="C618" s="103"/>
      <c r="D618" s="103"/>
      <c r="F618" s="34"/>
      <c r="G618" s="103"/>
      <c r="H618" s="103"/>
      <c r="I618" s="103"/>
    </row>
    <row r="619" hidden="1">
      <c r="C619" s="103"/>
      <c r="D619" s="103"/>
      <c r="F619" s="34"/>
      <c r="G619" s="103"/>
      <c r="H619" s="103"/>
      <c r="I619" s="103"/>
    </row>
    <row r="620" hidden="1">
      <c r="C620" s="103"/>
      <c r="D620" s="103"/>
      <c r="F620" s="34"/>
      <c r="G620" s="103"/>
      <c r="H620" s="103"/>
      <c r="I620" s="103"/>
    </row>
    <row r="621" hidden="1">
      <c r="C621" s="103"/>
      <c r="D621" s="103"/>
      <c r="F621" s="34"/>
      <c r="G621" s="103"/>
      <c r="H621" s="103"/>
      <c r="I621" s="103"/>
    </row>
    <row r="622" hidden="1">
      <c r="C622" s="103"/>
      <c r="D622" s="103"/>
      <c r="F622" s="34"/>
      <c r="G622" s="103"/>
      <c r="H622" s="103"/>
      <c r="I622" s="103"/>
    </row>
    <row r="623" hidden="1">
      <c r="C623" s="103"/>
      <c r="D623" s="103"/>
      <c r="F623" s="34"/>
      <c r="G623" s="103"/>
      <c r="H623" s="103"/>
      <c r="I623" s="103"/>
    </row>
    <row r="624" hidden="1">
      <c r="C624" s="103"/>
      <c r="D624" s="103"/>
      <c r="F624" s="34"/>
      <c r="G624" s="103"/>
      <c r="H624" s="103"/>
      <c r="I624" s="103"/>
    </row>
    <row r="625" hidden="1">
      <c r="C625" s="103"/>
      <c r="D625" s="103"/>
      <c r="F625" s="34"/>
      <c r="G625" s="103"/>
      <c r="H625" s="103"/>
      <c r="I625" s="103"/>
    </row>
    <row r="626" hidden="1">
      <c r="C626" s="103"/>
      <c r="D626" s="103"/>
      <c r="F626" s="34"/>
      <c r="G626" s="103"/>
      <c r="H626" s="103"/>
      <c r="I626" s="103"/>
    </row>
    <row r="627" hidden="1">
      <c r="C627" s="103"/>
      <c r="D627" s="103"/>
      <c r="F627" s="34"/>
      <c r="G627" s="103"/>
      <c r="H627" s="103"/>
      <c r="I627" s="103"/>
    </row>
    <row r="628" hidden="1">
      <c r="C628" s="103"/>
      <c r="D628" s="103"/>
      <c r="F628" s="34"/>
      <c r="G628" s="103"/>
      <c r="H628" s="103"/>
      <c r="I628" s="103"/>
    </row>
    <row r="629" hidden="1">
      <c r="C629" s="103"/>
      <c r="D629" s="103"/>
      <c r="F629" s="34"/>
      <c r="G629" s="103"/>
      <c r="H629" s="103"/>
      <c r="I629" s="103"/>
    </row>
    <row r="630" hidden="1">
      <c r="C630" s="103"/>
      <c r="D630" s="103"/>
      <c r="F630" s="34"/>
      <c r="G630" s="103"/>
      <c r="H630" s="103"/>
      <c r="I630" s="103"/>
    </row>
    <row r="631" hidden="1">
      <c r="C631" s="103"/>
      <c r="D631" s="103"/>
      <c r="F631" s="34"/>
      <c r="G631" s="103"/>
      <c r="H631" s="103"/>
      <c r="I631" s="103"/>
    </row>
    <row r="632" hidden="1">
      <c r="C632" s="103"/>
      <c r="D632" s="103"/>
      <c r="F632" s="34"/>
      <c r="G632" s="103"/>
      <c r="H632" s="103"/>
      <c r="I632" s="103"/>
    </row>
    <row r="633" hidden="1">
      <c r="C633" s="103"/>
      <c r="D633" s="103"/>
      <c r="F633" s="34"/>
      <c r="G633" s="103"/>
      <c r="H633" s="103"/>
      <c r="I633" s="103"/>
    </row>
    <row r="634" hidden="1">
      <c r="C634" s="103"/>
      <c r="D634" s="103"/>
      <c r="F634" s="34"/>
      <c r="G634" s="103"/>
      <c r="H634" s="103"/>
      <c r="I634" s="103"/>
    </row>
    <row r="635" hidden="1">
      <c r="C635" s="103"/>
      <c r="D635" s="103"/>
      <c r="F635" s="34"/>
      <c r="G635" s="103"/>
      <c r="H635" s="103"/>
      <c r="I635" s="103"/>
    </row>
    <row r="636" hidden="1">
      <c r="C636" s="103"/>
      <c r="D636" s="103"/>
      <c r="F636" s="34"/>
      <c r="G636" s="103"/>
      <c r="H636" s="103"/>
      <c r="I636" s="103"/>
    </row>
    <row r="637" hidden="1">
      <c r="C637" s="103"/>
      <c r="D637" s="103"/>
      <c r="F637" s="34"/>
      <c r="G637" s="103"/>
      <c r="H637" s="103"/>
      <c r="I637" s="103"/>
    </row>
    <row r="638" hidden="1">
      <c r="C638" s="103"/>
      <c r="D638" s="103"/>
      <c r="F638" s="34"/>
      <c r="G638" s="103"/>
      <c r="H638" s="103"/>
      <c r="I638" s="103"/>
    </row>
    <row r="639" hidden="1">
      <c r="C639" s="103"/>
      <c r="D639" s="103"/>
      <c r="F639" s="34"/>
      <c r="G639" s="103"/>
      <c r="H639" s="103"/>
      <c r="I639" s="103"/>
    </row>
    <row r="640" hidden="1">
      <c r="C640" s="103"/>
      <c r="D640" s="103"/>
      <c r="F640" s="34"/>
      <c r="G640" s="103"/>
      <c r="H640" s="103"/>
      <c r="I640" s="103"/>
    </row>
    <row r="641" hidden="1">
      <c r="C641" s="103"/>
      <c r="D641" s="103"/>
      <c r="F641" s="34"/>
      <c r="G641" s="103"/>
      <c r="H641" s="103"/>
      <c r="I641" s="103"/>
    </row>
    <row r="642" hidden="1">
      <c r="C642" s="103"/>
      <c r="D642" s="103"/>
      <c r="F642" s="34"/>
      <c r="G642" s="103"/>
      <c r="H642" s="103"/>
      <c r="I642" s="103"/>
    </row>
    <row r="643" hidden="1">
      <c r="C643" s="103"/>
      <c r="D643" s="103"/>
      <c r="F643" s="34"/>
      <c r="G643" s="103"/>
      <c r="H643" s="103"/>
      <c r="I643" s="103"/>
    </row>
    <row r="644" hidden="1">
      <c r="C644" s="103"/>
      <c r="D644" s="103"/>
      <c r="F644" s="34"/>
      <c r="G644" s="103"/>
      <c r="H644" s="103"/>
      <c r="I644" s="103"/>
    </row>
    <row r="645" hidden="1">
      <c r="C645" s="103"/>
      <c r="D645" s="103"/>
      <c r="F645" s="34"/>
      <c r="G645" s="103"/>
      <c r="H645" s="103"/>
      <c r="I645" s="103"/>
    </row>
    <row r="646" hidden="1">
      <c r="C646" s="103"/>
      <c r="D646" s="103"/>
      <c r="F646" s="34"/>
      <c r="G646" s="103"/>
      <c r="H646" s="103"/>
      <c r="I646" s="103"/>
    </row>
    <row r="647" hidden="1">
      <c r="C647" s="103"/>
      <c r="D647" s="103"/>
      <c r="F647" s="34"/>
      <c r="G647" s="103"/>
      <c r="H647" s="103"/>
      <c r="I647" s="103"/>
    </row>
    <row r="648" hidden="1">
      <c r="C648" s="103"/>
      <c r="D648" s="103"/>
      <c r="F648" s="34"/>
      <c r="G648" s="103"/>
      <c r="H648" s="103"/>
      <c r="I648" s="103"/>
    </row>
    <row r="649" hidden="1">
      <c r="C649" s="103"/>
      <c r="D649" s="103"/>
      <c r="F649" s="34"/>
      <c r="G649" s="103"/>
      <c r="H649" s="103"/>
      <c r="I649" s="103"/>
    </row>
    <row r="650" hidden="1">
      <c r="C650" s="103"/>
      <c r="D650" s="103"/>
      <c r="F650" s="34"/>
      <c r="G650" s="103"/>
      <c r="H650" s="103"/>
      <c r="I650" s="103"/>
    </row>
    <row r="651" hidden="1">
      <c r="C651" s="103"/>
      <c r="D651" s="103"/>
      <c r="F651" s="34"/>
      <c r="G651" s="103"/>
      <c r="H651" s="103"/>
      <c r="I651" s="103"/>
    </row>
    <row r="652" hidden="1">
      <c r="C652" s="103"/>
      <c r="D652" s="103"/>
      <c r="F652" s="34"/>
      <c r="G652" s="103"/>
      <c r="H652" s="103"/>
      <c r="I652" s="103"/>
    </row>
    <row r="653" hidden="1">
      <c r="C653" s="103"/>
      <c r="D653" s="103"/>
      <c r="F653" s="34"/>
      <c r="G653" s="103"/>
      <c r="H653" s="103"/>
      <c r="I653" s="103"/>
    </row>
    <row r="654" hidden="1">
      <c r="C654" s="103"/>
      <c r="D654" s="103"/>
      <c r="F654" s="34"/>
      <c r="G654" s="103"/>
      <c r="H654" s="103"/>
      <c r="I654" s="103"/>
    </row>
    <row r="655" hidden="1">
      <c r="C655" s="103"/>
      <c r="D655" s="103"/>
      <c r="F655" s="34"/>
      <c r="G655" s="103"/>
      <c r="H655" s="103"/>
      <c r="I655" s="103"/>
    </row>
    <row r="656" hidden="1">
      <c r="C656" s="103"/>
      <c r="D656" s="103"/>
      <c r="F656" s="34"/>
      <c r="G656" s="103"/>
      <c r="H656" s="103"/>
      <c r="I656" s="103"/>
    </row>
    <row r="657" hidden="1">
      <c r="C657" s="103"/>
      <c r="D657" s="103"/>
      <c r="F657" s="34"/>
      <c r="G657" s="103"/>
      <c r="H657" s="103"/>
      <c r="I657" s="103"/>
    </row>
    <row r="658" hidden="1">
      <c r="C658" s="103"/>
      <c r="D658" s="103"/>
      <c r="F658" s="34"/>
      <c r="G658" s="103"/>
      <c r="H658" s="103"/>
      <c r="I658" s="103"/>
    </row>
    <row r="659" hidden="1">
      <c r="C659" s="103"/>
      <c r="D659" s="103"/>
      <c r="F659" s="34"/>
      <c r="G659" s="103"/>
      <c r="H659" s="103"/>
      <c r="I659" s="103"/>
    </row>
    <row r="660" hidden="1">
      <c r="C660" s="103"/>
      <c r="D660" s="103"/>
      <c r="F660" s="34"/>
      <c r="G660" s="103"/>
      <c r="H660" s="103"/>
      <c r="I660" s="103"/>
    </row>
    <row r="661" hidden="1">
      <c r="C661" s="103"/>
      <c r="D661" s="103"/>
      <c r="F661" s="34"/>
      <c r="G661" s="103"/>
      <c r="H661" s="103"/>
      <c r="I661" s="103"/>
    </row>
    <row r="662" hidden="1">
      <c r="C662" s="103"/>
      <c r="D662" s="103"/>
      <c r="F662" s="34"/>
      <c r="G662" s="103"/>
      <c r="H662" s="103"/>
      <c r="I662" s="103"/>
    </row>
    <row r="663" hidden="1">
      <c r="C663" s="103"/>
      <c r="D663" s="103"/>
      <c r="F663" s="34"/>
      <c r="G663" s="103"/>
      <c r="H663" s="103"/>
      <c r="I663" s="103"/>
    </row>
    <row r="664" hidden="1">
      <c r="C664" s="103"/>
      <c r="D664" s="103"/>
      <c r="F664" s="34"/>
      <c r="G664" s="103"/>
      <c r="H664" s="103"/>
      <c r="I664" s="103"/>
    </row>
    <row r="665" hidden="1">
      <c r="C665" s="103"/>
      <c r="D665" s="103"/>
      <c r="F665" s="34"/>
      <c r="G665" s="103"/>
      <c r="H665" s="103"/>
      <c r="I665" s="103"/>
    </row>
    <row r="666" hidden="1">
      <c r="C666" s="103"/>
      <c r="D666" s="103"/>
      <c r="F666" s="34"/>
      <c r="G666" s="103"/>
      <c r="H666" s="103"/>
      <c r="I666" s="103"/>
    </row>
    <row r="667" hidden="1">
      <c r="C667" s="103"/>
      <c r="D667" s="103"/>
      <c r="F667" s="34"/>
      <c r="G667" s="103"/>
      <c r="H667" s="103"/>
      <c r="I667" s="103"/>
    </row>
    <row r="668" hidden="1">
      <c r="C668" s="103"/>
      <c r="D668" s="103"/>
      <c r="F668" s="34"/>
      <c r="G668" s="103"/>
      <c r="H668" s="103"/>
      <c r="I668" s="103"/>
    </row>
    <row r="669" hidden="1">
      <c r="C669" s="103"/>
      <c r="D669" s="103"/>
      <c r="F669" s="34"/>
      <c r="G669" s="103"/>
      <c r="H669" s="103"/>
      <c r="I669" s="103"/>
    </row>
    <row r="670" hidden="1">
      <c r="C670" s="103"/>
      <c r="D670" s="103"/>
      <c r="F670" s="34"/>
      <c r="G670" s="103"/>
      <c r="H670" s="103"/>
      <c r="I670" s="103"/>
    </row>
    <row r="671" hidden="1">
      <c r="C671" s="103"/>
      <c r="D671" s="103"/>
      <c r="F671" s="34"/>
      <c r="G671" s="103"/>
      <c r="H671" s="103"/>
      <c r="I671" s="103"/>
    </row>
    <row r="672" hidden="1">
      <c r="C672" s="103"/>
      <c r="D672" s="103"/>
      <c r="F672" s="34"/>
      <c r="G672" s="103"/>
      <c r="H672" s="103"/>
      <c r="I672" s="103"/>
    </row>
    <row r="673" hidden="1">
      <c r="C673" s="103"/>
      <c r="D673" s="103"/>
      <c r="F673" s="34"/>
      <c r="G673" s="103"/>
      <c r="H673" s="103"/>
      <c r="I673" s="103"/>
    </row>
    <row r="674" hidden="1">
      <c r="C674" s="103"/>
      <c r="D674" s="103"/>
      <c r="F674" s="34"/>
      <c r="G674" s="103"/>
      <c r="H674" s="103"/>
      <c r="I674" s="103"/>
    </row>
    <row r="675" hidden="1">
      <c r="C675" s="103"/>
      <c r="D675" s="103"/>
      <c r="F675" s="34"/>
      <c r="G675" s="103"/>
      <c r="H675" s="103"/>
      <c r="I675" s="103"/>
    </row>
    <row r="676" hidden="1">
      <c r="C676" s="103"/>
      <c r="D676" s="103"/>
      <c r="F676" s="34"/>
      <c r="G676" s="103"/>
      <c r="H676" s="103"/>
      <c r="I676" s="103"/>
    </row>
    <row r="677" hidden="1">
      <c r="C677" s="103"/>
      <c r="D677" s="103"/>
      <c r="F677" s="34"/>
      <c r="G677" s="103"/>
      <c r="H677" s="103"/>
      <c r="I677" s="103"/>
    </row>
    <row r="678" hidden="1">
      <c r="C678" s="103"/>
      <c r="D678" s="103"/>
      <c r="F678" s="34"/>
      <c r="G678" s="103"/>
      <c r="H678" s="103"/>
      <c r="I678" s="103"/>
    </row>
    <row r="679" hidden="1">
      <c r="C679" s="103"/>
      <c r="D679" s="103"/>
      <c r="F679" s="34"/>
      <c r="G679" s="103"/>
      <c r="H679" s="103"/>
      <c r="I679" s="103"/>
    </row>
    <row r="680" hidden="1">
      <c r="C680" s="103"/>
      <c r="D680" s="103"/>
      <c r="F680" s="34"/>
      <c r="G680" s="103"/>
      <c r="H680" s="103"/>
      <c r="I680" s="103"/>
    </row>
    <row r="681" hidden="1">
      <c r="C681" s="103"/>
      <c r="D681" s="103"/>
      <c r="F681" s="34"/>
      <c r="G681" s="103"/>
      <c r="H681" s="103"/>
      <c r="I681" s="103"/>
    </row>
    <row r="682" hidden="1">
      <c r="C682" s="103"/>
      <c r="D682" s="103"/>
      <c r="F682" s="34"/>
      <c r="G682" s="103"/>
      <c r="H682" s="103"/>
      <c r="I682" s="103"/>
    </row>
    <row r="683" hidden="1">
      <c r="C683" s="103"/>
      <c r="D683" s="103"/>
      <c r="F683" s="34"/>
      <c r="G683" s="103"/>
      <c r="H683" s="103"/>
      <c r="I683" s="103"/>
    </row>
    <row r="684" hidden="1">
      <c r="C684" s="103"/>
      <c r="D684" s="103"/>
      <c r="F684" s="34"/>
      <c r="G684" s="103"/>
      <c r="H684" s="103"/>
      <c r="I684" s="103"/>
    </row>
    <row r="685" hidden="1">
      <c r="C685" s="103"/>
      <c r="D685" s="103"/>
      <c r="F685" s="34"/>
      <c r="G685" s="103"/>
      <c r="H685" s="103"/>
      <c r="I685" s="103"/>
    </row>
    <row r="686" hidden="1">
      <c r="C686" s="103"/>
      <c r="D686" s="103"/>
      <c r="F686" s="34"/>
      <c r="G686" s="103"/>
      <c r="H686" s="103"/>
      <c r="I686" s="103"/>
    </row>
    <row r="687" hidden="1">
      <c r="C687" s="103"/>
      <c r="D687" s="103"/>
      <c r="F687" s="34"/>
      <c r="G687" s="103"/>
      <c r="H687" s="103"/>
      <c r="I687" s="103"/>
    </row>
    <row r="688" hidden="1">
      <c r="C688" s="103"/>
      <c r="D688" s="103"/>
      <c r="F688" s="34"/>
      <c r="G688" s="103"/>
      <c r="H688" s="103"/>
      <c r="I688" s="103"/>
    </row>
    <row r="689" hidden="1">
      <c r="C689" s="103"/>
      <c r="D689" s="103"/>
      <c r="F689" s="34"/>
      <c r="G689" s="103"/>
      <c r="H689" s="103"/>
      <c r="I689" s="103"/>
    </row>
    <row r="690" hidden="1">
      <c r="C690" s="103"/>
      <c r="D690" s="103"/>
      <c r="F690" s="34"/>
      <c r="G690" s="103"/>
      <c r="H690" s="103"/>
      <c r="I690" s="103"/>
    </row>
    <row r="691" hidden="1">
      <c r="C691" s="103"/>
      <c r="D691" s="103"/>
      <c r="F691" s="34"/>
      <c r="G691" s="103"/>
      <c r="H691" s="103"/>
      <c r="I691" s="103"/>
    </row>
    <row r="692" hidden="1">
      <c r="C692" s="103"/>
      <c r="D692" s="103"/>
      <c r="F692" s="34"/>
      <c r="G692" s="103"/>
      <c r="H692" s="103"/>
      <c r="I692" s="103"/>
    </row>
    <row r="693" hidden="1">
      <c r="C693" s="103"/>
      <c r="D693" s="103"/>
      <c r="F693" s="34"/>
      <c r="G693" s="103"/>
      <c r="H693" s="103"/>
      <c r="I693" s="103"/>
    </row>
    <row r="694" hidden="1">
      <c r="C694" s="103"/>
      <c r="D694" s="103"/>
      <c r="F694" s="34"/>
      <c r="G694" s="103"/>
      <c r="H694" s="103"/>
      <c r="I694" s="103"/>
    </row>
    <row r="695" hidden="1">
      <c r="C695" s="103"/>
      <c r="D695" s="103"/>
      <c r="F695" s="34"/>
      <c r="G695" s="103"/>
      <c r="H695" s="103"/>
      <c r="I695" s="103"/>
    </row>
    <row r="696" hidden="1">
      <c r="C696" s="103"/>
      <c r="D696" s="103"/>
      <c r="F696" s="34"/>
      <c r="G696" s="103"/>
      <c r="H696" s="103"/>
      <c r="I696" s="103"/>
    </row>
    <row r="697" hidden="1">
      <c r="C697" s="103"/>
      <c r="D697" s="103"/>
      <c r="F697" s="34"/>
      <c r="G697" s="103"/>
      <c r="H697" s="103"/>
      <c r="I697" s="103"/>
    </row>
    <row r="698" hidden="1">
      <c r="C698" s="103"/>
      <c r="D698" s="103"/>
      <c r="F698" s="34"/>
      <c r="G698" s="103"/>
      <c r="H698" s="103"/>
      <c r="I698" s="103"/>
    </row>
    <row r="699" hidden="1">
      <c r="C699" s="103"/>
      <c r="D699" s="103"/>
      <c r="F699" s="34"/>
      <c r="G699" s="103"/>
      <c r="H699" s="103"/>
      <c r="I699" s="103"/>
    </row>
    <row r="700" hidden="1">
      <c r="C700" s="103"/>
      <c r="D700" s="103"/>
      <c r="F700" s="34"/>
      <c r="G700" s="103"/>
      <c r="H700" s="103"/>
      <c r="I700" s="103"/>
    </row>
    <row r="701" hidden="1">
      <c r="C701" s="103"/>
      <c r="D701" s="103"/>
      <c r="F701" s="34"/>
      <c r="G701" s="103"/>
      <c r="H701" s="103"/>
      <c r="I701" s="103"/>
    </row>
    <row r="702" hidden="1">
      <c r="C702" s="103"/>
      <c r="D702" s="103"/>
      <c r="F702" s="34"/>
      <c r="G702" s="103"/>
      <c r="H702" s="103"/>
      <c r="I702" s="103"/>
    </row>
    <row r="703" hidden="1">
      <c r="C703" s="103"/>
      <c r="D703" s="103"/>
      <c r="F703" s="34"/>
      <c r="G703" s="103"/>
      <c r="H703" s="103"/>
      <c r="I703" s="103"/>
    </row>
    <row r="704" hidden="1">
      <c r="C704" s="103"/>
      <c r="D704" s="103"/>
      <c r="F704" s="34"/>
      <c r="G704" s="103"/>
      <c r="H704" s="103"/>
      <c r="I704" s="103"/>
    </row>
    <row r="705" hidden="1">
      <c r="C705" s="103"/>
      <c r="D705" s="103"/>
      <c r="F705" s="34"/>
      <c r="G705" s="103"/>
      <c r="H705" s="103"/>
      <c r="I705" s="103"/>
    </row>
    <row r="706" hidden="1">
      <c r="C706" s="103"/>
      <c r="D706" s="103"/>
      <c r="F706" s="34"/>
      <c r="G706" s="103"/>
      <c r="H706" s="103"/>
      <c r="I706" s="103"/>
    </row>
    <row r="707" hidden="1">
      <c r="C707" s="103"/>
      <c r="D707" s="103"/>
      <c r="F707" s="34"/>
      <c r="G707" s="103"/>
      <c r="H707" s="103"/>
      <c r="I707" s="103"/>
    </row>
    <row r="708" hidden="1">
      <c r="C708" s="103"/>
      <c r="D708" s="103"/>
      <c r="F708" s="34"/>
      <c r="G708" s="103"/>
      <c r="H708" s="103"/>
      <c r="I708" s="103"/>
    </row>
    <row r="709" hidden="1">
      <c r="C709" s="103"/>
      <c r="D709" s="103"/>
      <c r="F709" s="34"/>
      <c r="G709" s="103"/>
      <c r="H709" s="103"/>
      <c r="I709" s="103"/>
    </row>
    <row r="710" hidden="1">
      <c r="C710" s="103"/>
      <c r="D710" s="103"/>
      <c r="F710" s="34"/>
      <c r="G710" s="103"/>
      <c r="H710" s="103"/>
      <c r="I710" s="103"/>
    </row>
    <row r="711" hidden="1">
      <c r="C711" s="103"/>
      <c r="D711" s="103"/>
      <c r="F711" s="34"/>
      <c r="G711" s="103"/>
      <c r="H711" s="103"/>
      <c r="I711" s="103"/>
    </row>
    <row r="712" hidden="1">
      <c r="C712" s="103"/>
      <c r="D712" s="103"/>
      <c r="F712" s="34"/>
      <c r="G712" s="103"/>
      <c r="H712" s="103"/>
      <c r="I712" s="103"/>
    </row>
    <row r="713" hidden="1">
      <c r="C713" s="103"/>
      <c r="D713" s="103"/>
      <c r="F713" s="34"/>
      <c r="G713" s="103"/>
      <c r="H713" s="103"/>
      <c r="I713" s="103"/>
    </row>
    <row r="714" hidden="1">
      <c r="C714" s="103"/>
      <c r="D714" s="103"/>
      <c r="F714" s="34"/>
      <c r="G714" s="103"/>
      <c r="H714" s="103"/>
      <c r="I714" s="103"/>
    </row>
    <row r="715" hidden="1">
      <c r="C715" s="103"/>
      <c r="D715" s="103"/>
      <c r="F715" s="34"/>
      <c r="G715" s="103"/>
      <c r="H715" s="103"/>
      <c r="I715" s="103"/>
    </row>
    <row r="716" hidden="1">
      <c r="C716" s="103"/>
      <c r="D716" s="103"/>
      <c r="F716" s="34"/>
      <c r="G716" s="103"/>
      <c r="H716" s="103"/>
      <c r="I716" s="103"/>
    </row>
    <row r="717" hidden="1">
      <c r="C717" s="103"/>
      <c r="D717" s="103"/>
      <c r="F717" s="34"/>
      <c r="G717" s="103"/>
      <c r="H717" s="103"/>
      <c r="I717" s="103"/>
    </row>
    <row r="718" hidden="1">
      <c r="C718" s="103"/>
      <c r="D718" s="103"/>
      <c r="F718" s="34"/>
      <c r="G718" s="103"/>
      <c r="H718" s="103"/>
      <c r="I718" s="103"/>
    </row>
    <row r="719" hidden="1">
      <c r="C719" s="103"/>
      <c r="D719" s="103"/>
      <c r="F719" s="34"/>
      <c r="G719" s="103"/>
      <c r="H719" s="103"/>
      <c r="I719" s="103"/>
    </row>
    <row r="720" hidden="1">
      <c r="C720" s="103"/>
      <c r="D720" s="103"/>
      <c r="F720" s="34"/>
      <c r="G720" s="103"/>
      <c r="H720" s="103"/>
      <c r="I720" s="103"/>
    </row>
    <row r="721" hidden="1">
      <c r="C721" s="103"/>
      <c r="D721" s="103"/>
      <c r="F721" s="34"/>
      <c r="G721" s="103"/>
      <c r="H721" s="103"/>
      <c r="I721" s="103"/>
    </row>
    <row r="722" hidden="1">
      <c r="C722" s="103"/>
      <c r="D722" s="103"/>
      <c r="F722" s="34"/>
      <c r="G722" s="103"/>
      <c r="H722" s="103"/>
      <c r="I722" s="103"/>
    </row>
    <row r="723" hidden="1">
      <c r="C723" s="103"/>
      <c r="D723" s="103"/>
      <c r="F723" s="34"/>
      <c r="G723" s="103"/>
      <c r="H723" s="103"/>
      <c r="I723" s="103"/>
    </row>
    <row r="724" hidden="1">
      <c r="C724" s="103"/>
      <c r="D724" s="103"/>
      <c r="F724" s="34"/>
      <c r="G724" s="103"/>
      <c r="H724" s="103"/>
      <c r="I724" s="103"/>
    </row>
    <row r="725" hidden="1">
      <c r="C725" s="103"/>
      <c r="D725" s="103"/>
      <c r="F725" s="34"/>
      <c r="G725" s="103"/>
      <c r="H725" s="103"/>
      <c r="I725" s="103"/>
    </row>
    <row r="726" hidden="1">
      <c r="C726" s="103"/>
      <c r="D726" s="103"/>
      <c r="F726" s="34"/>
      <c r="G726" s="103"/>
      <c r="H726" s="103"/>
      <c r="I726" s="103"/>
    </row>
    <row r="727" hidden="1">
      <c r="C727" s="103"/>
      <c r="D727" s="103"/>
      <c r="F727" s="34"/>
      <c r="G727" s="103"/>
      <c r="H727" s="103"/>
      <c r="I727" s="103"/>
    </row>
    <row r="728" hidden="1">
      <c r="C728" s="103"/>
      <c r="D728" s="103"/>
      <c r="F728" s="34"/>
      <c r="G728" s="103"/>
      <c r="H728" s="103"/>
      <c r="I728" s="103"/>
    </row>
    <row r="729" hidden="1">
      <c r="C729" s="103"/>
      <c r="D729" s="103"/>
      <c r="F729" s="34"/>
      <c r="G729" s="103"/>
      <c r="H729" s="103"/>
      <c r="I729" s="103"/>
    </row>
    <row r="730" hidden="1">
      <c r="C730" s="103"/>
      <c r="D730" s="103"/>
      <c r="F730" s="34"/>
      <c r="G730" s="103"/>
      <c r="H730" s="103"/>
      <c r="I730" s="103"/>
    </row>
    <row r="731" hidden="1">
      <c r="C731" s="103"/>
      <c r="D731" s="103"/>
      <c r="F731" s="34"/>
      <c r="G731" s="103"/>
      <c r="H731" s="103"/>
      <c r="I731" s="103"/>
    </row>
    <row r="732" hidden="1">
      <c r="C732" s="103"/>
      <c r="D732" s="103"/>
      <c r="F732" s="34"/>
      <c r="G732" s="103"/>
      <c r="H732" s="103"/>
      <c r="I732" s="103"/>
    </row>
    <row r="733" hidden="1">
      <c r="C733" s="103"/>
      <c r="D733" s="103"/>
      <c r="F733" s="34"/>
      <c r="G733" s="103"/>
      <c r="H733" s="103"/>
      <c r="I733" s="103"/>
    </row>
    <row r="734" hidden="1">
      <c r="C734" s="103"/>
      <c r="D734" s="103"/>
      <c r="F734" s="34"/>
      <c r="G734" s="103"/>
      <c r="H734" s="103"/>
      <c r="I734" s="103"/>
    </row>
    <row r="735" hidden="1">
      <c r="C735" s="103"/>
      <c r="D735" s="103"/>
      <c r="F735" s="34"/>
      <c r="G735" s="103"/>
      <c r="H735" s="103"/>
      <c r="I735" s="103"/>
    </row>
    <row r="736" hidden="1">
      <c r="C736" s="103"/>
      <c r="D736" s="103"/>
      <c r="F736" s="34"/>
      <c r="G736" s="103"/>
      <c r="H736" s="103"/>
      <c r="I736" s="103"/>
    </row>
    <row r="737" hidden="1">
      <c r="C737" s="103"/>
      <c r="D737" s="103"/>
      <c r="F737" s="34"/>
      <c r="G737" s="103"/>
      <c r="H737" s="103"/>
      <c r="I737" s="103"/>
    </row>
    <row r="738" hidden="1">
      <c r="C738" s="103"/>
      <c r="D738" s="103"/>
      <c r="F738" s="34"/>
      <c r="G738" s="103"/>
      <c r="H738" s="103"/>
      <c r="I738" s="103"/>
    </row>
    <row r="739" hidden="1">
      <c r="C739" s="103"/>
      <c r="D739" s="103"/>
      <c r="F739" s="34"/>
      <c r="G739" s="103"/>
      <c r="H739" s="103"/>
      <c r="I739" s="103"/>
    </row>
    <row r="740" hidden="1">
      <c r="C740" s="103"/>
      <c r="D740" s="103"/>
      <c r="F740" s="34"/>
      <c r="G740" s="103"/>
      <c r="H740" s="103"/>
      <c r="I740" s="103"/>
    </row>
    <row r="741" hidden="1">
      <c r="C741" s="103"/>
      <c r="D741" s="103"/>
      <c r="F741" s="34"/>
      <c r="G741" s="103"/>
      <c r="H741" s="103"/>
      <c r="I741" s="103"/>
    </row>
    <row r="742" hidden="1">
      <c r="C742" s="103"/>
      <c r="D742" s="103"/>
      <c r="F742" s="34"/>
      <c r="G742" s="103"/>
      <c r="H742" s="103"/>
      <c r="I742" s="103"/>
    </row>
    <row r="743" hidden="1">
      <c r="C743" s="103"/>
      <c r="D743" s="103"/>
      <c r="F743" s="34"/>
      <c r="G743" s="103"/>
      <c r="H743" s="103"/>
      <c r="I743" s="103"/>
    </row>
    <row r="744" hidden="1">
      <c r="C744" s="103"/>
      <c r="D744" s="103"/>
      <c r="F744" s="34"/>
      <c r="G744" s="103"/>
      <c r="H744" s="103"/>
      <c r="I744" s="103"/>
    </row>
    <row r="745" hidden="1">
      <c r="C745" s="103"/>
      <c r="D745" s="103"/>
      <c r="F745" s="34"/>
      <c r="G745" s="103"/>
      <c r="H745" s="103"/>
      <c r="I745" s="103"/>
    </row>
    <row r="746" hidden="1">
      <c r="C746" s="103"/>
      <c r="D746" s="103"/>
      <c r="F746" s="34"/>
      <c r="G746" s="103"/>
      <c r="H746" s="103"/>
      <c r="I746" s="103"/>
    </row>
    <row r="747" hidden="1">
      <c r="C747" s="103"/>
      <c r="D747" s="103"/>
      <c r="F747" s="34"/>
      <c r="G747" s="103"/>
      <c r="H747" s="103"/>
      <c r="I747" s="103"/>
    </row>
    <row r="748" hidden="1">
      <c r="C748" s="103"/>
      <c r="D748" s="103"/>
      <c r="F748" s="34"/>
      <c r="G748" s="103"/>
      <c r="H748" s="103"/>
      <c r="I748" s="103"/>
    </row>
    <row r="749" hidden="1">
      <c r="C749" s="103"/>
      <c r="D749" s="103"/>
      <c r="F749" s="34"/>
      <c r="G749" s="103"/>
      <c r="H749" s="103"/>
      <c r="I749" s="103"/>
    </row>
    <row r="750" hidden="1">
      <c r="C750" s="103"/>
      <c r="D750" s="103"/>
      <c r="F750" s="34"/>
      <c r="G750" s="103"/>
      <c r="H750" s="103"/>
      <c r="I750" s="103"/>
    </row>
    <row r="751" hidden="1">
      <c r="C751" s="103"/>
      <c r="D751" s="103"/>
      <c r="F751" s="34"/>
      <c r="G751" s="103"/>
      <c r="H751" s="103"/>
      <c r="I751" s="103"/>
    </row>
    <row r="752" hidden="1">
      <c r="C752" s="103"/>
      <c r="D752" s="103"/>
      <c r="F752" s="34"/>
      <c r="G752" s="103"/>
      <c r="H752" s="103"/>
      <c r="I752" s="103"/>
    </row>
    <row r="753" hidden="1">
      <c r="C753" s="103"/>
      <c r="D753" s="103"/>
      <c r="F753" s="34"/>
      <c r="G753" s="103"/>
      <c r="H753" s="103"/>
      <c r="I753" s="103"/>
    </row>
    <row r="754" hidden="1">
      <c r="C754" s="103"/>
      <c r="D754" s="103"/>
      <c r="F754" s="34"/>
      <c r="G754" s="103"/>
      <c r="H754" s="103"/>
      <c r="I754" s="103"/>
    </row>
    <row r="755" hidden="1">
      <c r="C755" s="103"/>
      <c r="D755" s="103"/>
      <c r="F755" s="34"/>
      <c r="G755" s="103"/>
      <c r="H755" s="103"/>
      <c r="I755" s="103"/>
    </row>
    <row r="756" hidden="1">
      <c r="C756" s="103"/>
      <c r="D756" s="103"/>
      <c r="F756" s="34"/>
      <c r="G756" s="103"/>
      <c r="H756" s="103"/>
      <c r="I756" s="103"/>
    </row>
    <row r="757" hidden="1">
      <c r="C757" s="103"/>
      <c r="D757" s="103"/>
      <c r="F757" s="34"/>
      <c r="G757" s="103"/>
      <c r="H757" s="103"/>
      <c r="I757" s="103"/>
    </row>
    <row r="758" hidden="1">
      <c r="C758" s="103"/>
      <c r="D758" s="103"/>
      <c r="F758" s="34"/>
      <c r="G758" s="103"/>
      <c r="H758" s="103"/>
      <c r="I758" s="103"/>
    </row>
    <row r="759" hidden="1">
      <c r="C759" s="103"/>
      <c r="D759" s="103"/>
      <c r="F759" s="34"/>
      <c r="G759" s="103"/>
      <c r="H759" s="103"/>
      <c r="I759" s="103"/>
    </row>
    <row r="760" hidden="1">
      <c r="C760" s="103"/>
      <c r="D760" s="103"/>
      <c r="F760" s="34"/>
      <c r="G760" s="103"/>
      <c r="H760" s="103"/>
      <c r="I760" s="103"/>
    </row>
    <row r="761" hidden="1">
      <c r="C761" s="103"/>
      <c r="D761" s="103"/>
      <c r="F761" s="34"/>
      <c r="G761" s="103"/>
      <c r="H761" s="103"/>
      <c r="I761" s="103"/>
    </row>
    <row r="762" hidden="1">
      <c r="C762" s="103"/>
      <c r="D762" s="103"/>
      <c r="F762" s="34"/>
      <c r="G762" s="103"/>
      <c r="H762" s="103"/>
      <c r="I762" s="103"/>
    </row>
    <row r="763" hidden="1">
      <c r="C763" s="103"/>
      <c r="D763" s="103"/>
      <c r="F763" s="34"/>
      <c r="G763" s="103"/>
      <c r="H763" s="103"/>
      <c r="I763" s="103"/>
    </row>
    <row r="764" hidden="1">
      <c r="C764" s="103"/>
      <c r="D764" s="103"/>
      <c r="F764" s="34"/>
      <c r="G764" s="103"/>
      <c r="H764" s="103"/>
      <c r="I764" s="103"/>
    </row>
    <row r="765" hidden="1">
      <c r="C765" s="103"/>
      <c r="D765" s="103"/>
      <c r="F765" s="34"/>
      <c r="G765" s="103"/>
      <c r="H765" s="103"/>
      <c r="I765" s="103"/>
    </row>
    <row r="766" hidden="1">
      <c r="C766" s="103"/>
      <c r="D766" s="103"/>
      <c r="F766" s="34"/>
      <c r="G766" s="103"/>
      <c r="H766" s="103"/>
      <c r="I766" s="103"/>
    </row>
    <row r="767" hidden="1">
      <c r="C767" s="103"/>
      <c r="D767" s="103"/>
      <c r="F767" s="34"/>
      <c r="G767" s="103"/>
      <c r="H767" s="103"/>
      <c r="I767" s="103"/>
    </row>
    <row r="768" hidden="1">
      <c r="C768" s="103"/>
      <c r="D768" s="103"/>
      <c r="F768" s="34"/>
      <c r="G768" s="103"/>
      <c r="H768" s="103"/>
      <c r="I768" s="103"/>
    </row>
    <row r="769" hidden="1">
      <c r="C769" s="103"/>
      <c r="D769" s="103"/>
      <c r="F769" s="34"/>
      <c r="G769" s="103"/>
      <c r="H769" s="103"/>
      <c r="I769" s="103"/>
    </row>
    <row r="770" hidden="1">
      <c r="C770" s="103"/>
      <c r="D770" s="103"/>
      <c r="F770" s="34"/>
      <c r="G770" s="103"/>
      <c r="H770" s="103"/>
      <c r="I770" s="103"/>
    </row>
    <row r="771" hidden="1">
      <c r="C771" s="103"/>
      <c r="D771" s="103"/>
      <c r="F771" s="34"/>
      <c r="G771" s="103"/>
      <c r="H771" s="103"/>
      <c r="I771" s="103"/>
    </row>
    <row r="772" hidden="1">
      <c r="C772" s="103"/>
      <c r="D772" s="103"/>
      <c r="F772" s="34"/>
      <c r="G772" s="103"/>
      <c r="H772" s="103"/>
      <c r="I772" s="103"/>
    </row>
    <row r="773" hidden="1">
      <c r="C773" s="103"/>
      <c r="D773" s="103"/>
      <c r="F773" s="34"/>
      <c r="G773" s="103"/>
      <c r="H773" s="103"/>
      <c r="I773" s="103"/>
    </row>
    <row r="774" hidden="1">
      <c r="C774" s="103"/>
      <c r="D774" s="103"/>
      <c r="F774" s="34"/>
      <c r="G774" s="103"/>
      <c r="H774" s="103"/>
      <c r="I774" s="103"/>
    </row>
    <row r="775" hidden="1">
      <c r="C775" s="103"/>
      <c r="D775" s="103"/>
      <c r="F775" s="34"/>
      <c r="G775" s="103"/>
      <c r="H775" s="103"/>
      <c r="I775" s="103"/>
    </row>
    <row r="776" hidden="1">
      <c r="C776" s="103"/>
      <c r="D776" s="103"/>
      <c r="F776" s="34"/>
      <c r="G776" s="103"/>
      <c r="H776" s="103"/>
      <c r="I776" s="103"/>
    </row>
    <row r="777" hidden="1">
      <c r="C777" s="103"/>
      <c r="D777" s="103"/>
      <c r="F777" s="34"/>
      <c r="G777" s="103"/>
      <c r="H777" s="103"/>
      <c r="I777" s="103"/>
    </row>
    <row r="778" hidden="1">
      <c r="C778" s="103"/>
      <c r="D778" s="103"/>
      <c r="F778" s="34"/>
      <c r="G778" s="103"/>
      <c r="H778" s="103"/>
      <c r="I778" s="103"/>
    </row>
    <row r="779" hidden="1">
      <c r="C779" s="103"/>
      <c r="D779" s="103"/>
      <c r="F779" s="34"/>
      <c r="G779" s="103"/>
      <c r="H779" s="103"/>
      <c r="I779" s="103"/>
    </row>
    <row r="780" hidden="1">
      <c r="C780" s="103"/>
      <c r="D780" s="103"/>
      <c r="F780" s="34"/>
      <c r="G780" s="103"/>
      <c r="H780" s="103"/>
      <c r="I780" s="103"/>
    </row>
    <row r="781" hidden="1">
      <c r="C781" s="103"/>
      <c r="D781" s="103"/>
      <c r="F781" s="34"/>
      <c r="G781" s="103"/>
      <c r="H781" s="103"/>
      <c r="I781" s="103"/>
    </row>
    <row r="782" hidden="1">
      <c r="C782" s="103"/>
      <c r="D782" s="103"/>
      <c r="F782" s="34"/>
      <c r="G782" s="103"/>
      <c r="H782" s="103"/>
      <c r="I782" s="103"/>
    </row>
    <row r="783" hidden="1">
      <c r="C783" s="103"/>
      <c r="D783" s="103"/>
      <c r="F783" s="34"/>
      <c r="G783" s="103"/>
      <c r="H783" s="103"/>
      <c r="I783" s="103"/>
    </row>
    <row r="784" hidden="1">
      <c r="C784" s="103"/>
      <c r="D784" s="103"/>
      <c r="F784" s="34"/>
      <c r="G784" s="103"/>
      <c r="H784" s="103"/>
      <c r="I784" s="103"/>
    </row>
    <row r="785" hidden="1">
      <c r="C785" s="103"/>
      <c r="D785" s="103"/>
      <c r="F785" s="34"/>
      <c r="G785" s="103"/>
      <c r="H785" s="103"/>
      <c r="I785" s="103"/>
    </row>
    <row r="786" hidden="1">
      <c r="C786" s="103"/>
      <c r="D786" s="103"/>
      <c r="F786" s="34"/>
      <c r="G786" s="103"/>
      <c r="H786" s="103"/>
      <c r="I786" s="103"/>
    </row>
    <row r="787" hidden="1">
      <c r="C787" s="103"/>
      <c r="D787" s="103"/>
      <c r="F787" s="34"/>
      <c r="G787" s="103"/>
      <c r="H787" s="103"/>
      <c r="I787" s="103"/>
    </row>
    <row r="788" hidden="1">
      <c r="C788" s="103"/>
      <c r="D788" s="103"/>
      <c r="F788" s="34"/>
      <c r="G788" s="103"/>
      <c r="H788" s="103"/>
      <c r="I788" s="103"/>
    </row>
    <row r="789" hidden="1">
      <c r="C789" s="103"/>
      <c r="D789" s="103"/>
      <c r="F789" s="34"/>
      <c r="G789" s="103"/>
      <c r="H789" s="103"/>
      <c r="I789" s="103"/>
    </row>
    <row r="790" hidden="1">
      <c r="C790" s="103"/>
      <c r="D790" s="103"/>
      <c r="F790" s="34"/>
      <c r="G790" s="103"/>
      <c r="H790" s="103"/>
      <c r="I790" s="103"/>
    </row>
    <row r="791" hidden="1">
      <c r="C791" s="103"/>
      <c r="D791" s="103"/>
      <c r="F791" s="34"/>
      <c r="G791" s="103"/>
      <c r="H791" s="103"/>
      <c r="I791" s="103"/>
    </row>
    <row r="792" hidden="1">
      <c r="C792" s="103"/>
      <c r="D792" s="103"/>
      <c r="F792" s="34"/>
      <c r="G792" s="103"/>
      <c r="H792" s="103"/>
      <c r="I792" s="103"/>
    </row>
    <row r="793" hidden="1">
      <c r="C793" s="103"/>
      <c r="D793" s="103"/>
      <c r="F793" s="34"/>
      <c r="G793" s="103"/>
      <c r="H793" s="103"/>
      <c r="I793" s="103"/>
    </row>
    <row r="794" hidden="1">
      <c r="C794" s="103"/>
      <c r="D794" s="103"/>
      <c r="F794" s="34"/>
      <c r="G794" s="103"/>
      <c r="H794" s="103"/>
      <c r="I794" s="103"/>
    </row>
    <row r="795" hidden="1">
      <c r="C795" s="103"/>
      <c r="D795" s="103"/>
      <c r="F795" s="34"/>
      <c r="G795" s="103"/>
      <c r="H795" s="103"/>
      <c r="I795" s="103"/>
    </row>
    <row r="796" hidden="1">
      <c r="C796" s="103"/>
      <c r="D796" s="103"/>
      <c r="F796" s="34"/>
      <c r="G796" s="103"/>
      <c r="H796" s="103"/>
      <c r="I796" s="103"/>
    </row>
    <row r="797" hidden="1">
      <c r="C797" s="103"/>
      <c r="D797" s="103"/>
      <c r="F797" s="34"/>
      <c r="G797" s="103"/>
      <c r="H797" s="103"/>
      <c r="I797" s="103"/>
    </row>
    <row r="798" hidden="1">
      <c r="C798" s="103"/>
      <c r="D798" s="103"/>
      <c r="F798" s="34"/>
      <c r="G798" s="103"/>
      <c r="H798" s="103"/>
      <c r="I798" s="103"/>
    </row>
    <row r="799" hidden="1">
      <c r="C799" s="103"/>
      <c r="D799" s="103"/>
      <c r="F799" s="34"/>
      <c r="G799" s="103"/>
      <c r="H799" s="103"/>
      <c r="I799" s="103"/>
    </row>
    <row r="800" hidden="1">
      <c r="C800" s="103"/>
      <c r="D800" s="103"/>
      <c r="F800" s="34"/>
      <c r="G800" s="103"/>
      <c r="H800" s="103"/>
      <c r="I800" s="103"/>
    </row>
    <row r="801" hidden="1">
      <c r="C801" s="103"/>
      <c r="D801" s="103"/>
      <c r="F801" s="34"/>
      <c r="G801" s="103"/>
      <c r="H801" s="103"/>
      <c r="I801" s="103"/>
    </row>
    <row r="802" hidden="1">
      <c r="C802" s="103"/>
      <c r="D802" s="103"/>
      <c r="F802" s="34"/>
      <c r="G802" s="103"/>
      <c r="H802" s="103"/>
      <c r="I802" s="103"/>
    </row>
    <row r="803" hidden="1">
      <c r="C803" s="103"/>
      <c r="D803" s="103"/>
      <c r="F803" s="34"/>
      <c r="G803" s="103"/>
      <c r="H803" s="103"/>
      <c r="I803" s="103"/>
    </row>
    <row r="804" hidden="1">
      <c r="C804" s="103"/>
      <c r="D804" s="103"/>
      <c r="F804" s="34"/>
      <c r="G804" s="103"/>
      <c r="H804" s="103"/>
      <c r="I804" s="103"/>
    </row>
    <row r="805" hidden="1">
      <c r="C805" s="103"/>
      <c r="D805" s="103"/>
      <c r="F805" s="34"/>
      <c r="G805" s="103"/>
      <c r="H805" s="103"/>
      <c r="I805" s="103"/>
    </row>
    <row r="806" hidden="1">
      <c r="C806" s="103"/>
      <c r="D806" s="103"/>
      <c r="F806" s="34"/>
      <c r="G806" s="103"/>
      <c r="H806" s="103"/>
      <c r="I806" s="103"/>
    </row>
    <row r="807" hidden="1">
      <c r="C807" s="103"/>
      <c r="D807" s="103"/>
      <c r="F807" s="34"/>
      <c r="G807" s="103"/>
      <c r="H807" s="103"/>
      <c r="I807" s="103"/>
    </row>
    <row r="808" hidden="1">
      <c r="C808" s="103"/>
      <c r="D808" s="103"/>
      <c r="F808" s="34"/>
      <c r="G808" s="103"/>
      <c r="H808" s="103"/>
      <c r="I808" s="103"/>
    </row>
    <row r="809" hidden="1">
      <c r="C809" s="103"/>
      <c r="D809" s="103"/>
      <c r="F809" s="34"/>
      <c r="G809" s="103"/>
      <c r="H809" s="103"/>
      <c r="I809" s="103"/>
    </row>
    <row r="810" hidden="1">
      <c r="C810" s="103"/>
      <c r="D810" s="103"/>
      <c r="F810" s="34"/>
      <c r="G810" s="103"/>
      <c r="H810" s="103"/>
      <c r="I810" s="103"/>
    </row>
    <row r="811" hidden="1">
      <c r="C811" s="103"/>
      <c r="D811" s="103"/>
      <c r="F811" s="34"/>
      <c r="G811" s="103"/>
      <c r="H811" s="103"/>
      <c r="I811" s="103"/>
    </row>
    <row r="812" hidden="1">
      <c r="C812" s="103"/>
      <c r="D812" s="103"/>
      <c r="F812" s="34"/>
      <c r="G812" s="103"/>
      <c r="H812" s="103"/>
      <c r="I812" s="103"/>
    </row>
    <row r="813" hidden="1">
      <c r="C813" s="103"/>
      <c r="D813" s="103"/>
      <c r="F813" s="34"/>
      <c r="G813" s="103"/>
      <c r="H813" s="103"/>
      <c r="I813" s="103"/>
    </row>
    <row r="814" hidden="1">
      <c r="C814" s="103"/>
      <c r="D814" s="103"/>
      <c r="F814" s="34"/>
      <c r="G814" s="103"/>
      <c r="H814" s="103"/>
      <c r="I814" s="103"/>
    </row>
    <row r="815" hidden="1">
      <c r="C815" s="103"/>
      <c r="D815" s="103"/>
      <c r="F815" s="34"/>
      <c r="G815" s="103"/>
      <c r="H815" s="103"/>
      <c r="I815" s="103"/>
    </row>
    <row r="816" hidden="1">
      <c r="C816" s="103"/>
      <c r="D816" s="103"/>
      <c r="F816" s="34"/>
      <c r="G816" s="103"/>
      <c r="H816" s="103"/>
      <c r="I816" s="103"/>
    </row>
    <row r="817" hidden="1">
      <c r="C817" s="103"/>
      <c r="D817" s="103"/>
      <c r="F817" s="34"/>
      <c r="G817" s="103"/>
      <c r="H817" s="103"/>
      <c r="I817" s="103"/>
    </row>
    <row r="818" hidden="1">
      <c r="C818" s="103"/>
      <c r="D818" s="103"/>
      <c r="F818" s="34"/>
      <c r="G818" s="103"/>
      <c r="H818" s="103"/>
      <c r="I818" s="103"/>
    </row>
    <row r="819" hidden="1">
      <c r="C819" s="103"/>
      <c r="D819" s="103"/>
      <c r="F819" s="34"/>
      <c r="G819" s="103"/>
      <c r="H819" s="103"/>
      <c r="I819" s="103"/>
    </row>
    <row r="820" hidden="1">
      <c r="C820" s="103"/>
      <c r="D820" s="103"/>
      <c r="F820" s="34"/>
      <c r="G820" s="103"/>
      <c r="H820" s="103"/>
      <c r="I820" s="103"/>
    </row>
    <row r="821" hidden="1">
      <c r="C821" s="103"/>
      <c r="D821" s="103"/>
      <c r="F821" s="34"/>
      <c r="G821" s="103"/>
      <c r="H821" s="103"/>
      <c r="I821" s="103"/>
    </row>
    <row r="822" hidden="1">
      <c r="C822" s="103"/>
      <c r="D822" s="103"/>
      <c r="F822" s="34"/>
      <c r="G822" s="103"/>
      <c r="H822" s="103"/>
      <c r="I822" s="103"/>
    </row>
    <row r="823" hidden="1">
      <c r="C823" s="103"/>
      <c r="D823" s="103"/>
      <c r="F823" s="34"/>
      <c r="G823" s="103"/>
      <c r="H823" s="103"/>
      <c r="I823" s="103"/>
    </row>
    <row r="824" hidden="1">
      <c r="C824" s="103"/>
      <c r="D824" s="103"/>
      <c r="F824" s="34"/>
      <c r="G824" s="103"/>
      <c r="H824" s="103"/>
      <c r="I824" s="103"/>
    </row>
    <row r="825" hidden="1">
      <c r="C825" s="103"/>
      <c r="D825" s="103"/>
      <c r="F825" s="34"/>
      <c r="G825" s="103"/>
      <c r="H825" s="103"/>
      <c r="I825" s="103"/>
    </row>
    <row r="826" hidden="1">
      <c r="C826" s="103"/>
      <c r="D826" s="103"/>
      <c r="F826" s="34"/>
      <c r="G826" s="103"/>
      <c r="H826" s="103"/>
      <c r="I826" s="103"/>
    </row>
    <row r="827" hidden="1">
      <c r="C827" s="103"/>
      <c r="D827" s="103"/>
      <c r="F827" s="34"/>
      <c r="G827" s="103"/>
      <c r="H827" s="103"/>
      <c r="I827" s="103"/>
    </row>
    <row r="828" hidden="1">
      <c r="C828" s="103"/>
      <c r="D828" s="103"/>
      <c r="F828" s="34"/>
      <c r="G828" s="103"/>
      <c r="H828" s="103"/>
      <c r="I828" s="103"/>
    </row>
    <row r="829" hidden="1">
      <c r="C829" s="103"/>
      <c r="D829" s="103"/>
      <c r="F829" s="34"/>
      <c r="G829" s="103"/>
      <c r="H829" s="103"/>
      <c r="I829" s="103"/>
    </row>
    <row r="830" hidden="1">
      <c r="C830" s="103"/>
      <c r="D830" s="103"/>
      <c r="F830" s="34"/>
      <c r="G830" s="103"/>
      <c r="H830" s="103"/>
      <c r="I830" s="103"/>
    </row>
    <row r="831" hidden="1">
      <c r="C831" s="103"/>
      <c r="D831" s="103"/>
      <c r="F831" s="34"/>
      <c r="G831" s="103"/>
      <c r="H831" s="103"/>
      <c r="I831" s="103"/>
    </row>
    <row r="832" hidden="1">
      <c r="C832" s="103"/>
      <c r="D832" s="103"/>
      <c r="F832" s="34"/>
      <c r="G832" s="103"/>
      <c r="H832" s="103"/>
      <c r="I832" s="103"/>
    </row>
    <row r="833" hidden="1">
      <c r="C833" s="103"/>
      <c r="D833" s="103"/>
      <c r="F833" s="34"/>
      <c r="G833" s="103"/>
      <c r="H833" s="103"/>
      <c r="I833" s="103"/>
    </row>
    <row r="834" hidden="1">
      <c r="C834" s="103"/>
      <c r="D834" s="103"/>
      <c r="F834" s="34"/>
      <c r="G834" s="103"/>
      <c r="H834" s="103"/>
      <c r="I834" s="103"/>
    </row>
    <row r="835" hidden="1">
      <c r="C835" s="103"/>
      <c r="D835" s="103"/>
      <c r="F835" s="34"/>
      <c r="G835" s="103"/>
      <c r="H835" s="103"/>
      <c r="I835" s="103"/>
    </row>
    <row r="836" hidden="1">
      <c r="C836" s="103"/>
      <c r="D836" s="103"/>
      <c r="F836" s="34"/>
      <c r="G836" s="103"/>
      <c r="H836" s="103"/>
      <c r="I836" s="103"/>
    </row>
    <row r="837" hidden="1">
      <c r="C837" s="103"/>
      <c r="D837" s="103"/>
      <c r="F837" s="34"/>
      <c r="G837" s="103"/>
      <c r="H837" s="103"/>
      <c r="I837" s="103"/>
    </row>
    <row r="838" hidden="1">
      <c r="C838" s="103"/>
      <c r="D838" s="103"/>
      <c r="F838" s="34"/>
      <c r="G838" s="103"/>
      <c r="H838" s="103"/>
      <c r="I838" s="103"/>
    </row>
    <row r="839" hidden="1">
      <c r="C839" s="103"/>
      <c r="D839" s="103"/>
      <c r="F839" s="34"/>
      <c r="G839" s="103"/>
      <c r="H839" s="103"/>
      <c r="I839" s="103"/>
    </row>
    <row r="840" hidden="1">
      <c r="C840" s="103"/>
      <c r="D840" s="103"/>
      <c r="F840" s="34"/>
      <c r="G840" s="103"/>
      <c r="H840" s="103"/>
      <c r="I840" s="103"/>
    </row>
    <row r="841" hidden="1">
      <c r="C841" s="103"/>
      <c r="D841" s="103"/>
      <c r="F841" s="34"/>
      <c r="G841" s="103"/>
      <c r="H841" s="103"/>
      <c r="I841" s="103"/>
    </row>
    <row r="842" hidden="1">
      <c r="C842" s="103"/>
      <c r="D842" s="103"/>
      <c r="F842" s="34"/>
      <c r="G842" s="103"/>
      <c r="H842" s="103"/>
      <c r="I842" s="103"/>
    </row>
    <row r="843" hidden="1">
      <c r="C843" s="103"/>
      <c r="D843" s="103"/>
      <c r="F843" s="34"/>
      <c r="G843" s="103"/>
      <c r="H843" s="103"/>
      <c r="I843" s="103"/>
    </row>
    <row r="844" hidden="1">
      <c r="C844" s="103"/>
      <c r="D844" s="103"/>
      <c r="F844" s="34"/>
      <c r="G844" s="103"/>
      <c r="H844" s="103"/>
      <c r="I844" s="103"/>
    </row>
    <row r="845" hidden="1">
      <c r="C845" s="103"/>
      <c r="D845" s="103"/>
      <c r="F845" s="34"/>
      <c r="G845" s="103"/>
      <c r="H845" s="103"/>
      <c r="I845" s="103"/>
    </row>
    <row r="846" hidden="1">
      <c r="C846" s="103"/>
      <c r="D846" s="103"/>
      <c r="F846" s="34"/>
      <c r="G846" s="103"/>
      <c r="H846" s="103"/>
      <c r="I846" s="103"/>
    </row>
    <row r="847" hidden="1">
      <c r="C847" s="103"/>
      <c r="D847" s="103"/>
      <c r="F847" s="34"/>
      <c r="G847" s="103"/>
      <c r="H847" s="103"/>
      <c r="I847" s="103"/>
    </row>
    <row r="848" hidden="1">
      <c r="C848" s="103"/>
      <c r="D848" s="103"/>
      <c r="F848" s="34"/>
      <c r="G848" s="103"/>
      <c r="H848" s="103"/>
      <c r="I848" s="103"/>
    </row>
    <row r="849" hidden="1">
      <c r="C849" s="103"/>
      <c r="D849" s="103"/>
      <c r="F849" s="34"/>
      <c r="G849" s="103"/>
      <c r="H849" s="103"/>
      <c r="I849" s="103"/>
    </row>
    <row r="850" hidden="1">
      <c r="C850" s="103"/>
      <c r="D850" s="103"/>
      <c r="F850" s="34"/>
      <c r="G850" s="103"/>
      <c r="H850" s="103"/>
      <c r="I850" s="103"/>
    </row>
    <row r="851" hidden="1">
      <c r="C851" s="103"/>
      <c r="D851" s="103"/>
      <c r="F851" s="34"/>
      <c r="G851" s="103"/>
      <c r="H851" s="103"/>
      <c r="I851" s="103"/>
    </row>
    <row r="852" hidden="1">
      <c r="C852" s="103"/>
      <c r="D852" s="103"/>
      <c r="F852" s="34"/>
      <c r="G852" s="103"/>
      <c r="H852" s="103"/>
      <c r="I852" s="103"/>
    </row>
    <row r="853" hidden="1">
      <c r="C853" s="103"/>
      <c r="D853" s="103"/>
      <c r="F853" s="34"/>
      <c r="G853" s="103"/>
      <c r="H853" s="103"/>
      <c r="I853" s="103"/>
    </row>
    <row r="854" hidden="1">
      <c r="C854" s="103"/>
      <c r="D854" s="103"/>
      <c r="F854" s="34"/>
      <c r="G854" s="103"/>
      <c r="H854" s="103"/>
      <c r="I854" s="103"/>
    </row>
    <row r="855" hidden="1">
      <c r="C855" s="103"/>
      <c r="D855" s="103"/>
      <c r="F855" s="34"/>
      <c r="G855" s="103"/>
      <c r="H855" s="103"/>
      <c r="I855" s="103"/>
    </row>
    <row r="856" hidden="1">
      <c r="C856" s="103"/>
      <c r="D856" s="103"/>
      <c r="F856" s="34"/>
      <c r="G856" s="103"/>
      <c r="H856" s="103"/>
      <c r="I856" s="103"/>
    </row>
    <row r="857" hidden="1">
      <c r="C857" s="103"/>
      <c r="D857" s="103"/>
      <c r="F857" s="34"/>
      <c r="G857" s="103"/>
      <c r="H857" s="103"/>
      <c r="I857" s="103"/>
    </row>
    <row r="858" hidden="1">
      <c r="C858" s="103"/>
      <c r="D858" s="103"/>
      <c r="F858" s="34"/>
      <c r="G858" s="103"/>
      <c r="H858" s="103"/>
      <c r="I858" s="103"/>
    </row>
    <row r="859" hidden="1">
      <c r="C859" s="103"/>
      <c r="D859" s="103"/>
      <c r="F859" s="34"/>
      <c r="G859" s="103"/>
      <c r="H859" s="103"/>
      <c r="I859" s="103"/>
    </row>
    <row r="860" hidden="1">
      <c r="C860" s="103"/>
      <c r="D860" s="103"/>
      <c r="F860" s="34"/>
      <c r="G860" s="103"/>
      <c r="H860" s="103"/>
      <c r="I860" s="103"/>
    </row>
    <row r="861" hidden="1">
      <c r="C861" s="103"/>
      <c r="D861" s="103"/>
      <c r="F861" s="34"/>
      <c r="G861" s="103"/>
      <c r="H861" s="103"/>
      <c r="I861" s="103"/>
    </row>
    <row r="862" hidden="1">
      <c r="C862" s="103"/>
      <c r="D862" s="103"/>
      <c r="F862" s="34"/>
      <c r="G862" s="103"/>
      <c r="H862" s="103"/>
      <c r="I862" s="103"/>
    </row>
    <row r="863" hidden="1">
      <c r="C863" s="103"/>
      <c r="D863" s="103"/>
      <c r="F863" s="34"/>
      <c r="G863" s="103"/>
      <c r="H863" s="103"/>
      <c r="I863" s="103"/>
    </row>
    <row r="864" hidden="1">
      <c r="C864" s="103"/>
      <c r="D864" s="103"/>
      <c r="F864" s="34"/>
      <c r="G864" s="103"/>
      <c r="H864" s="103"/>
      <c r="I864" s="103"/>
    </row>
    <row r="865" hidden="1">
      <c r="C865" s="103"/>
      <c r="D865" s="103"/>
      <c r="F865" s="34"/>
      <c r="G865" s="103"/>
      <c r="H865" s="103"/>
      <c r="I865" s="103"/>
    </row>
    <row r="866" hidden="1">
      <c r="C866" s="103"/>
      <c r="D866" s="103"/>
      <c r="F866" s="34"/>
      <c r="G866" s="103"/>
      <c r="H866" s="103"/>
      <c r="I866" s="103"/>
    </row>
    <row r="867" hidden="1">
      <c r="C867" s="103"/>
      <c r="D867" s="103"/>
      <c r="F867" s="34"/>
      <c r="G867" s="103"/>
      <c r="H867" s="103"/>
      <c r="I867" s="103"/>
    </row>
    <row r="868" hidden="1">
      <c r="C868" s="103"/>
      <c r="D868" s="103"/>
      <c r="F868" s="34"/>
      <c r="G868" s="103"/>
      <c r="H868" s="103"/>
      <c r="I868" s="103"/>
    </row>
    <row r="869" hidden="1">
      <c r="C869" s="103"/>
      <c r="D869" s="103"/>
      <c r="F869" s="34"/>
      <c r="G869" s="103"/>
      <c r="H869" s="103"/>
      <c r="I869" s="103"/>
    </row>
    <row r="870" hidden="1">
      <c r="C870" s="103"/>
      <c r="D870" s="103"/>
      <c r="F870" s="34"/>
      <c r="G870" s="103"/>
      <c r="H870" s="103"/>
      <c r="I870" s="103"/>
    </row>
    <row r="871" hidden="1">
      <c r="C871" s="103"/>
      <c r="D871" s="103"/>
      <c r="F871" s="34"/>
      <c r="G871" s="103"/>
      <c r="H871" s="103"/>
      <c r="I871" s="103"/>
    </row>
    <row r="872" hidden="1">
      <c r="C872" s="103"/>
      <c r="D872" s="103"/>
      <c r="F872" s="34"/>
      <c r="G872" s="103"/>
      <c r="H872" s="103"/>
      <c r="I872" s="103"/>
    </row>
    <row r="873" hidden="1">
      <c r="C873" s="103"/>
      <c r="D873" s="103"/>
      <c r="F873" s="34"/>
      <c r="G873" s="103"/>
      <c r="H873" s="103"/>
      <c r="I873" s="103"/>
    </row>
    <row r="874" hidden="1">
      <c r="C874" s="103"/>
      <c r="D874" s="103"/>
      <c r="F874" s="34"/>
      <c r="G874" s="103"/>
      <c r="H874" s="103"/>
      <c r="I874" s="103"/>
    </row>
    <row r="875" hidden="1">
      <c r="C875" s="103"/>
      <c r="D875" s="103"/>
      <c r="F875" s="34"/>
      <c r="G875" s="103"/>
      <c r="H875" s="103"/>
      <c r="I875" s="103"/>
    </row>
    <row r="876" hidden="1">
      <c r="C876" s="103"/>
      <c r="D876" s="103"/>
      <c r="F876" s="34"/>
      <c r="G876" s="103"/>
      <c r="H876" s="103"/>
      <c r="I876" s="103"/>
    </row>
    <row r="877" hidden="1">
      <c r="C877" s="103"/>
      <c r="D877" s="103"/>
      <c r="F877" s="34"/>
      <c r="G877" s="103"/>
      <c r="H877" s="103"/>
      <c r="I877" s="103"/>
    </row>
    <row r="878" hidden="1">
      <c r="C878" s="103"/>
      <c r="D878" s="103"/>
      <c r="F878" s="34"/>
      <c r="G878" s="103"/>
      <c r="H878" s="103"/>
      <c r="I878" s="103"/>
    </row>
    <row r="879" hidden="1">
      <c r="C879" s="103"/>
      <c r="D879" s="103"/>
      <c r="F879" s="34"/>
      <c r="G879" s="103"/>
      <c r="H879" s="103"/>
      <c r="I879" s="103"/>
    </row>
    <row r="880" hidden="1">
      <c r="C880" s="103"/>
      <c r="D880" s="103"/>
      <c r="F880" s="34"/>
      <c r="G880" s="103"/>
      <c r="H880" s="103"/>
      <c r="I880" s="103"/>
    </row>
    <row r="881" hidden="1">
      <c r="C881" s="103"/>
      <c r="D881" s="103"/>
      <c r="F881" s="34"/>
      <c r="G881" s="103"/>
      <c r="H881" s="103"/>
      <c r="I881" s="103"/>
    </row>
    <row r="882" hidden="1">
      <c r="C882" s="103"/>
      <c r="D882" s="103"/>
      <c r="F882" s="34"/>
      <c r="G882" s="103"/>
      <c r="H882" s="103"/>
      <c r="I882" s="103"/>
    </row>
    <row r="883" hidden="1">
      <c r="C883" s="103"/>
      <c r="D883" s="103"/>
      <c r="F883" s="34"/>
      <c r="G883" s="103"/>
      <c r="H883" s="103"/>
      <c r="I883" s="103"/>
    </row>
    <row r="884" hidden="1">
      <c r="C884" s="103"/>
      <c r="D884" s="103"/>
      <c r="F884" s="34"/>
      <c r="G884" s="103"/>
      <c r="H884" s="103"/>
      <c r="I884" s="103"/>
    </row>
    <row r="885" hidden="1">
      <c r="C885" s="103"/>
      <c r="D885" s="103"/>
      <c r="F885" s="34"/>
      <c r="G885" s="103"/>
      <c r="H885" s="103"/>
      <c r="I885" s="103"/>
    </row>
    <row r="886" hidden="1">
      <c r="C886" s="103"/>
      <c r="D886" s="103"/>
      <c r="F886" s="34"/>
      <c r="G886" s="103"/>
      <c r="H886" s="103"/>
      <c r="I886" s="103"/>
    </row>
    <row r="887" hidden="1">
      <c r="C887" s="103"/>
      <c r="D887" s="103"/>
      <c r="F887" s="34"/>
      <c r="G887" s="103"/>
      <c r="H887" s="103"/>
      <c r="I887" s="103"/>
    </row>
    <row r="888" hidden="1">
      <c r="C888" s="103"/>
      <c r="D888" s="103"/>
      <c r="F888" s="34"/>
      <c r="G888" s="103"/>
      <c r="H888" s="103"/>
      <c r="I888" s="103"/>
    </row>
    <row r="889" hidden="1">
      <c r="C889" s="103"/>
      <c r="D889" s="103"/>
      <c r="F889" s="34"/>
      <c r="G889" s="103"/>
      <c r="H889" s="103"/>
      <c r="I889" s="103"/>
    </row>
    <row r="890" hidden="1">
      <c r="C890" s="103"/>
      <c r="D890" s="103"/>
      <c r="F890" s="34"/>
      <c r="G890" s="103"/>
      <c r="H890" s="103"/>
      <c r="I890" s="103"/>
    </row>
    <row r="891" hidden="1">
      <c r="C891" s="103"/>
      <c r="D891" s="103"/>
      <c r="F891" s="34"/>
      <c r="G891" s="103"/>
      <c r="H891" s="103"/>
      <c r="I891" s="103"/>
    </row>
    <row r="892" hidden="1">
      <c r="C892" s="103"/>
      <c r="D892" s="103"/>
      <c r="F892" s="34"/>
      <c r="G892" s="103"/>
      <c r="H892" s="103"/>
      <c r="I892" s="103"/>
    </row>
    <row r="893" hidden="1">
      <c r="C893" s="103"/>
      <c r="D893" s="103"/>
      <c r="F893" s="34"/>
      <c r="G893" s="103"/>
      <c r="H893" s="103"/>
      <c r="I893" s="103"/>
    </row>
    <row r="894" hidden="1">
      <c r="C894" s="103"/>
      <c r="D894" s="103"/>
      <c r="F894" s="34"/>
      <c r="G894" s="103"/>
      <c r="H894" s="103"/>
      <c r="I894" s="103"/>
    </row>
    <row r="895" hidden="1">
      <c r="C895" s="103"/>
      <c r="D895" s="103"/>
      <c r="F895" s="34"/>
      <c r="G895" s="103"/>
      <c r="H895" s="103"/>
      <c r="I895" s="103"/>
    </row>
    <row r="896" hidden="1">
      <c r="C896" s="103"/>
      <c r="D896" s="103"/>
      <c r="F896" s="34"/>
      <c r="G896" s="103"/>
      <c r="H896" s="103"/>
      <c r="I896" s="103"/>
    </row>
    <row r="897" hidden="1">
      <c r="C897" s="103"/>
      <c r="D897" s="103"/>
      <c r="F897" s="34"/>
      <c r="G897" s="103"/>
      <c r="H897" s="103"/>
      <c r="I897" s="103"/>
    </row>
    <row r="898" hidden="1">
      <c r="C898" s="103"/>
      <c r="D898" s="103"/>
      <c r="F898" s="34"/>
      <c r="G898" s="103"/>
      <c r="H898" s="103"/>
      <c r="I898" s="103"/>
    </row>
    <row r="899" hidden="1">
      <c r="C899" s="103"/>
      <c r="D899" s="103"/>
      <c r="F899" s="34"/>
      <c r="G899" s="103"/>
      <c r="H899" s="103"/>
      <c r="I899" s="103"/>
    </row>
    <row r="900" hidden="1">
      <c r="C900" s="103"/>
      <c r="D900" s="103"/>
      <c r="F900" s="34"/>
      <c r="G900" s="103"/>
      <c r="H900" s="103"/>
      <c r="I900" s="103"/>
    </row>
    <row r="901" hidden="1">
      <c r="C901" s="103"/>
      <c r="D901" s="103"/>
      <c r="F901" s="34"/>
      <c r="G901" s="103"/>
      <c r="H901" s="103"/>
      <c r="I901" s="103"/>
    </row>
    <row r="902" hidden="1">
      <c r="C902" s="103"/>
      <c r="D902" s="103"/>
      <c r="F902" s="34"/>
      <c r="G902" s="103"/>
      <c r="H902" s="103"/>
      <c r="I902" s="103"/>
    </row>
    <row r="903" hidden="1">
      <c r="C903" s="103"/>
      <c r="D903" s="103"/>
      <c r="F903" s="34"/>
      <c r="G903" s="103"/>
      <c r="H903" s="103"/>
      <c r="I903" s="103"/>
    </row>
    <row r="904" hidden="1">
      <c r="C904" s="103"/>
      <c r="D904" s="103"/>
      <c r="F904" s="34"/>
      <c r="G904" s="103"/>
      <c r="H904" s="103"/>
      <c r="I904" s="103"/>
    </row>
    <row r="905" hidden="1">
      <c r="C905" s="103"/>
      <c r="D905" s="103"/>
      <c r="F905" s="34"/>
      <c r="G905" s="103"/>
      <c r="H905" s="103"/>
      <c r="I905" s="103"/>
    </row>
    <row r="906" hidden="1">
      <c r="C906" s="103"/>
      <c r="D906" s="103"/>
      <c r="F906" s="34"/>
      <c r="G906" s="103"/>
      <c r="H906" s="103"/>
      <c r="I906" s="103"/>
    </row>
    <row r="907" hidden="1">
      <c r="C907" s="103"/>
      <c r="D907" s="103"/>
      <c r="F907" s="34"/>
      <c r="G907" s="103"/>
      <c r="H907" s="103"/>
      <c r="I907" s="103"/>
    </row>
    <row r="908" hidden="1">
      <c r="C908" s="103"/>
      <c r="D908" s="103"/>
      <c r="F908" s="34"/>
      <c r="G908" s="103"/>
      <c r="H908" s="103"/>
      <c r="I908" s="103"/>
    </row>
    <row r="909" hidden="1">
      <c r="C909" s="103"/>
      <c r="D909" s="103"/>
      <c r="F909" s="34"/>
      <c r="G909" s="103"/>
      <c r="H909" s="103"/>
      <c r="I909" s="103"/>
    </row>
    <row r="910" hidden="1">
      <c r="C910" s="103"/>
      <c r="D910" s="103"/>
      <c r="F910" s="34"/>
      <c r="G910" s="103"/>
      <c r="H910" s="103"/>
      <c r="I910" s="103"/>
    </row>
    <row r="911" hidden="1">
      <c r="C911" s="103"/>
      <c r="D911" s="103"/>
      <c r="F911" s="34"/>
      <c r="G911" s="103"/>
      <c r="H911" s="103"/>
      <c r="I911" s="103"/>
    </row>
    <row r="912" hidden="1">
      <c r="C912" s="103"/>
      <c r="D912" s="103"/>
      <c r="F912" s="34"/>
      <c r="G912" s="103"/>
      <c r="H912" s="103"/>
      <c r="I912" s="103"/>
    </row>
    <row r="913" hidden="1">
      <c r="C913" s="103"/>
      <c r="D913" s="103"/>
      <c r="F913" s="34"/>
      <c r="G913" s="103"/>
      <c r="H913" s="103"/>
      <c r="I913" s="103"/>
    </row>
    <row r="914" hidden="1">
      <c r="C914" s="103"/>
      <c r="D914" s="103"/>
      <c r="F914" s="34"/>
      <c r="G914" s="103"/>
      <c r="H914" s="103"/>
      <c r="I914" s="103"/>
    </row>
    <row r="915" hidden="1">
      <c r="C915" s="103"/>
      <c r="D915" s="103"/>
      <c r="F915" s="34"/>
      <c r="G915" s="103"/>
      <c r="H915" s="103"/>
      <c r="I915" s="103"/>
    </row>
    <row r="916" hidden="1">
      <c r="C916" s="103"/>
      <c r="D916" s="103"/>
      <c r="F916" s="34"/>
      <c r="G916" s="103"/>
      <c r="H916" s="103"/>
      <c r="I916" s="103"/>
    </row>
    <row r="917" hidden="1">
      <c r="C917" s="103"/>
      <c r="D917" s="103"/>
      <c r="F917" s="34"/>
      <c r="G917" s="103"/>
      <c r="H917" s="103"/>
      <c r="I917" s="103"/>
    </row>
    <row r="918" hidden="1">
      <c r="C918" s="103"/>
      <c r="D918" s="103"/>
      <c r="F918" s="34"/>
      <c r="G918" s="103"/>
      <c r="H918" s="103"/>
      <c r="I918" s="103"/>
    </row>
    <row r="919" hidden="1">
      <c r="C919" s="103"/>
      <c r="D919" s="103"/>
      <c r="F919" s="34"/>
      <c r="G919" s="103"/>
      <c r="H919" s="103"/>
      <c r="I919" s="103"/>
    </row>
    <row r="920" hidden="1">
      <c r="C920" s="103"/>
      <c r="D920" s="103"/>
      <c r="F920" s="34"/>
      <c r="G920" s="103"/>
      <c r="H920" s="103"/>
      <c r="I920" s="103"/>
    </row>
    <row r="921" hidden="1">
      <c r="C921" s="103"/>
      <c r="D921" s="103"/>
      <c r="F921" s="34"/>
      <c r="G921" s="103"/>
      <c r="H921" s="103"/>
      <c r="I921" s="103"/>
    </row>
    <row r="922" hidden="1">
      <c r="C922" s="103"/>
      <c r="D922" s="103"/>
      <c r="F922" s="34"/>
      <c r="G922" s="103"/>
      <c r="H922" s="103"/>
      <c r="I922" s="103"/>
    </row>
    <row r="923" hidden="1">
      <c r="C923" s="103"/>
      <c r="D923" s="103"/>
      <c r="F923" s="34"/>
      <c r="G923" s="103"/>
      <c r="H923" s="103"/>
      <c r="I923" s="103"/>
    </row>
    <row r="924" hidden="1">
      <c r="C924" s="103"/>
      <c r="D924" s="103"/>
      <c r="F924" s="34"/>
      <c r="G924" s="103"/>
      <c r="H924" s="103"/>
      <c r="I924" s="103"/>
    </row>
    <row r="925" hidden="1">
      <c r="C925" s="103"/>
      <c r="D925" s="103"/>
      <c r="F925" s="34"/>
      <c r="G925" s="103"/>
      <c r="H925" s="103"/>
      <c r="I925" s="103"/>
    </row>
    <row r="926" hidden="1">
      <c r="C926" s="103"/>
      <c r="D926" s="103"/>
      <c r="F926" s="34"/>
      <c r="G926" s="103"/>
      <c r="H926" s="103"/>
      <c r="I926" s="103"/>
    </row>
    <row r="927" hidden="1">
      <c r="C927" s="103"/>
      <c r="D927" s="103"/>
      <c r="F927" s="34"/>
      <c r="G927" s="103"/>
      <c r="H927" s="103"/>
      <c r="I927" s="103"/>
    </row>
    <row r="928" hidden="1">
      <c r="C928" s="103"/>
      <c r="D928" s="103"/>
      <c r="F928" s="34"/>
      <c r="G928" s="103"/>
      <c r="H928" s="103"/>
      <c r="I928" s="103"/>
    </row>
    <row r="929" hidden="1">
      <c r="C929" s="103"/>
      <c r="D929" s="103"/>
      <c r="F929" s="34"/>
      <c r="G929" s="103"/>
      <c r="H929" s="103"/>
      <c r="I929" s="103"/>
    </row>
    <row r="930" hidden="1">
      <c r="C930" s="103"/>
      <c r="D930" s="103"/>
      <c r="F930" s="34"/>
      <c r="G930" s="103"/>
      <c r="H930" s="103"/>
      <c r="I930" s="103"/>
    </row>
    <row r="931" hidden="1">
      <c r="C931" s="103"/>
      <c r="D931" s="103"/>
      <c r="F931" s="34"/>
      <c r="G931" s="103"/>
      <c r="H931" s="103"/>
      <c r="I931" s="103"/>
    </row>
    <row r="932" hidden="1">
      <c r="C932" s="103"/>
      <c r="D932" s="103"/>
      <c r="F932" s="34"/>
      <c r="G932" s="103"/>
      <c r="H932" s="103"/>
      <c r="I932" s="103"/>
    </row>
    <row r="933" hidden="1">
      <c r="C933" s="103"/>
      <c r="D933" s="103"/>
      <c r="F933" s="34"/>
      <c r="G933" s="103"/>
      <c r="H933" s="103"/>
      <c r="I933" s="103"/>
    </row>
    <row r="934" hidden="1">
      <c r="C934" s="103"/>
      <c r="D934" s="103"/>
      <c r="F934" s="34"/>
      <c r="G934" s="103"/>
      <c r="H934" s="103"/>
      <c r="I934" s="103"/>
    </row>
    <row r="935" hidden="1">
      <c r="C935" s="103"/>
      <c r="D935" s="103"/>
      <c r="F935" s="34"/>
      <c r="G935" s="103"/>
      <c r="H935" s="103"/>
      <c r="I935" s="103"/>
    </row>
    <row r="936" hidden="1">
      <c r="C936" s="103"/>
      <c r="D936" s="103"/>
      <c r="F936" s="34"/>
      <c r="G936" s="103"/>
      <c r="H936" s="103"/>
      <c r="I936" s="103"/>
    </row>
    <row r="937" hidden="1">
      <c r="C937" s="103"/>
      <c r="D937" s="103"/>
      <c r="F937" s="34"/>
      <c r="G937" s="103"/>
      <c r="H937" s="103"/>
      <c r="I937" s="103"/>
    </row>
    <row r="938" hidden="1">
      <c r="C938" s="103"/>
      <c r="D938" s="103"/>
      <c r="F938" s="34"/>
      <c r="G938" s="103"/>
      <c r="H938" s="103"/>
      <c r="I938" s="103"/>
    </row>
    <row r="939" hidden="1">
      <c r="C939" s="103"/>
      <c r="D939" s="103"/>
      <c r="F939" s="34"/>
      <c r="G939" s="103"/>
      <c r="H939" s="103"/>
      <c r="I939" s="103"/>
    </row>
    <row r="940" hidden="1">
      <c r="C940" s="103"/>
      <c r="D940" s="103"/>
      <c r="F940" s="34"/>
      <c r="G940" s="103"/>
      <c r="H940" s="103"/>
      <c r="I940" s="103"/>
    </row>
    <row r="941" hidden="1">
      <c r="C941" s="103"/>
      <c r="D941" s="103"/>
      <c r="F941" s="34"/>
      <c r="G941" s="103"/>
      <c r="H941" s="103"/>
      <c r="I941" s="103"/>
    </row>
    <row r="942" hidden="1">
      <c r="C942" s="103"/>
      <c r="D942" s="103"/>
      <c r="F942" s="34"/>
      <c r="G942" s="103"/>
      <c r="H942" s="103"/>
      <c r="I942" s="103"/>
    </row>
    <row r="943" hidden="1">
      <c r="C943" s="103"/>
      <c r="D943" s="103"/>
      <c r="F943" s="34"/>
      <c r="G943" s="103"/>
      <c r="H943" s="103"/>
      <c r="I943" s="103"/>
    </row>
    <row r="944" hidden="1">
      <c r="C944" s="103"/>
      <c r="D944" s="103"/>
      <c r="F944" s="34"/>
      <c r="G944" s="103"/>
      <c r="H944" s="103"/>
      <c r="I944" s="103"/>
    </row>
    <row r="945" hidden="1">
      <c r="C945" s="103"/>
      <c r="D945" s="103"/>
      <c r="F945" s="34"/>
      <c r="G945" s="103"/>
      <c r="H945" s="103"/>
      <c r="I945" s="103"/>
    </row>
    <row r="946" hidden="1">
      <c r="C946" s="103"/>
      <c r="D946" s="103"/>
      <c r="F946" s="34"/>
      <c r="G946" s="103"/>
      <c r="H946" s="103"/>
      <c r="I946" s="103"/>
    </row>
    <row r="947" hidden="1">
      <c r="C947" s="103"/>
      <c r="D947" s="103"/>
      <c r="F947" s="34"/>
      <c r="G947" s="103"/>
      <c r="H947" s="103"/>
      <c r="I947" s="103"/>
    </row>
    <row r="948" hidden="1">
      <c r="C948" s="103"/>
      <c r="D948" s="103"/>
      <c r="F948" s="34"/>
      <c r="G948" s="103"/>
      <c r="H948" s="103"/>
      <c r="I948" s="103"/>
    </row>
    <row r="949" hidden="1">
      <c r="C949" s="103"/>
      <c r="D949" s="103"/>
      <c r="F949" s="34"/>
      <c r="G949" s="103"/>
      <c r="H949" s="103"/>
      <c r="I949" s="103"/>
    </row>
    <row r="950" hidden="1">
      <c r="C950" s="103"/>
      <c r="D950" s="103"/>
      <c r="F950" s="34"/>
      <c r="G950" s="103"/>
      <c r="H950" s="103"/>
      <c r="I950" s="103"/>
    </row>
    <row r="951" hidden="1">
      <c r="C951" s="103"/>
      <c r="D951" s="103"/>
      <c r="F951" s="34"/>
      <c r="G951" s="103"/>
      <c r="H951" s="103"/>
      <c r="I951" s="103"/>
    </row>
    <row r="952" hidden="1">
      <c r="C952" s="103"/>
      <c r="D952" s="103"/>
      <c r="F952" s="34"/>
      <c r="G952" s="103"/>
      <c r="H952" s="103"/>
      <c r="I952" s="103"/>
    </row>
    <row r="953" hidden="1">
      <c r="C953" s="103"/>
      <c r="D953" s="103"/>
      <c r="F953" s="34"/>
      <c r="G953" s="103"/>
      <c r="H953" s="103"/>
      <c r="I953" s="103"/>
    </row>
    <row r="954" hidden="1">
      <c r="C954" s="103"/>
      <c r="D954" s="103"/>
      <c r="F954" s="34"/>
      <c r="G954" s="103"/>
      <c r="H954" s="103"/>
      <c r="I954" s="103"/>
    </row>
    <row r="955" hidden="1">
      <c r="C955" s="103"/>
      <c r="D955" s="103"/>
      <c r="F955" s="34"/>
      <c r="G955" s="103"/>
      <c r="H955" s="103"/>
      <c r="I955" s="103"/>
    </row>
    <row r="956" hidden="1">
      <c r="C956" s="103"/>
      <c r="D956" s="103"/>
      <c r="F956" s="34"/>
      <c r="G956" s="103"/>
      <c r="H956" s="103"/>
      <c r="I956" s="103"/>
    </row>
    <row r="957" hidden="1">
      <c r="C957" s="103"/>
      <c r="D957" s="103"/>
      <c r="F957" s="34"/>
      <c r="G957" s="103"/>
      <c r="H957" s="103"/>
      <c r="I957" s="103"/>
    </row>
    <row r="958" hidden="1">
      <c r="C958" s="103"/>
      <c r="D958" s="103"/>
      <c r="F958" s="34"/>
      <c r="G958" s="103"/>
      <c r="H958" s="103"/>
      <c r="I958" s="103"/>
    </row>
    <row r="959" hidden="1">
      <c r="C959" s="103"/>
      <c r="D959" s="103"/>
      <c r="F959" s="34"/>
      <c r="G959" s="103"/>
      <c r="H959" s="103"/>
      <c r="I959" s="103"/>
    </row>
    <row r="960" hidden="1">
      <c r="C960" s="103"/>
      <c r="D960" s="103"/>
      <c r="F960" s="34"/>
      <c r="G960" s="103"/>
      <c r="H960" s="103"/>
      <c r="I960" s="103"/>
    </row>
    <row r="961" hidden="1">
      <c r="C961" s="103"/>
      <c r="D961" s="103"/>
      <c r="F961" s="34"/>
      <c r="G961" s="103"/>
      <c r="H961" s="103"/>
      <c r="I961" s="103"/>
    </row>
    <row r="962" hidden="1">
      <c r="C962" s="103"/>
      <c r="D962" s="103"/>
      <c r="F962" s="34"/>
      <c r="G962" s="103"/>
      <c r="H962" s="103"/>
      <c r="I962" s="103"/>
    </row>
    <row r="963" hidden="1">
      <c r="C963" s="103"/>
      <c r="D963" s="103"/>
      <c r="F963" s="34"/>
      <c r="G963" s="103"/>
      <c r="H963" s="103"/>
      <c r="I963" s="103"/>
    </row>
    <row r="964" hidden="1">
      <c r="C964" s="103"/>
      <c r="D964" s="103"/>
      <c r="F964" s="34"/>
      <c r="G964" s="103"/>
      <c r="H964" s="103"/>
      <c r="I964" s="103"/>
    </row>
    <row r="965" hidden="1">
      <c r="C965" s="103"/>
      <c r="D965" s="103"/>
      <c r="F965" s="34"/>
      <c r="G965" s="103"/>
      <c r="H965" s="103"/>
      <c r="I965" s="103"/>
    </row>
    <row r="966" hidden="1">
      <c r="C966" s="103"/>
      <c r="D966" s="103"/>
      <c r="F966" s="34"/>
      <c r="G966" s="103"/>
      <c r="H966" s="103"/>
      <c r="I966" s="103"/>
    </row>
    <row r="967" hidden="1">
      <c r="C967" s="103"/>
      <c r="D967" s="103"/>
      <c r="F967" s="34"/>
      <c r="G967" s="103"/>
      <c r="H967" s="103"/>
      <c r="I967" s="103"/>
    </row>
    <row r="968" hidden="1">
      <c r="C968" s="103"/>
      <c r="D968" s="103"/>
      <c r="F968" s="34"/>
      <c r="G968" s="103"/>
      <c r="H968" s="103"/>
      <c r="I968" s="103"/>
    </row>
    <row r="969" hidden="1">
      <c r="C969" s="103"/>
      <c r="D969" s="103"/>
      <c r="F969" s="34"/>
      <c r="G969" s="103"/>
      <c r="H969" s="103"/>
      <c r="I969" s="103"/>
    </row>
    <row r="970" hidden="1">
      <c r="C970" s="103"/>
      <c r="D970" s="103"/>
      <c r="F970" s="34"/>
      <c r="G970" s="103"/>
      <c r="H970" s="103"/>
      <c r="I970" s="103"/>
    </row>
    <row r="971" hidden="1">
      <c r="C971" s="103"/>
      <c r="D971" s="103"/>
      <c r="F971" s="34"/>
      <c r="G971" s="103"/>
      <c r="H971" s="103"/>
      <c r="I971" s="103"/>
    </row>
    <row r="972" hidden="1">
      <c r="C972" s="103"/>
      <c r="D972" s="103"/>
      <c r="F972" s="34"/>
      <c r="G972" s="103"/>
      <c r="H972" s="103"/>
      <c r="I972" s="103"/>
    </row>
    <row r="973" hidden="1">
      <c r="C973" s="103"/>
      <c r="D973" s="103"/>
      <c r="F973" s="34"/>
      <c r="G973" s="103"/>
      <c r="H973" s="103"/>
      <c r="I973" s="103"/>
    </row>
    <row r="974" hidden="1">
      <c r="C974" s="103"/>
      <c r="D974" s="103"/>
      <c r="F974" s="34"/>
      <c r="G974" s="103"/>
      <c r="H974" s="103"/>
      <c r="I974" s="103"/>
    </row>
    <row r="975" hidden="1">
      <c r="C975" s="103"/>
      <c r="D975" s="103"/>
      <c r="F975" s="34"/>
      <c r="G975" s="103"/>
      <c r="H975" s="103"/>
      <c r="I975" s="103"/>
    </row>
    <row r="976" hidden="1">
      <c r="C976" s="103"/>
      <c r="D976" s="103"/>
      <c r="F976" s="34"/>
      <c r="G976" s="103"/>
      <c r="H976" s="103"/>
      <c r="I976" s="103"/>
    </row>
    <row r="977" hidden="1">
      <c r="C977" s="103"/>
      <c r="D977" s="103"/>
      <c r="F977" s="34"/>
      <c r="G977" s="103"/>
      <c r="H977" s="103"/>
      <c r="I977" s="103"/>
    </row>
    <row r="978" hidden="1">
      <c r="C978" s="103"/>
      <c r="D978" s="103"/>
      <c r="F978" s="34"/>
      <c r="G978" s="103"/>
      <c r="H978" s="103"/>
      <c r="I978" s="103"/>
    </row>
    <row r="979" hidden="1">
      <c r="C979" s="103"/>
      <c r="D979" s="103"/>
      <c r="F979" s="34"/>
      <c r="G979" s="103"/>
      <c r="H979" s="103"/>
      <c r="I979" s="103"/>
    </row>
    <row r="980" hidden="1">
      <c r="C980" s="103"/>
      <c r="D980" s="103"/>
      <c r="F980" s="34"/>
      <c r="G980" s="103"/>
      <c r="H980" s="103"/>
      <c r="I980" s="103"/>
    </row>
    <row r="981" hidden="1">
      <c r="C981" s="103"/>
      <c r="D981" s="103"/>
      <c r="F981" s="34"/>
      <c r="G981" s="103"/>
      <c r="H981" s="103"/>
      <c r="I981" s="103"/>
    </row>
    <row r="982" hidden="1">
      <c r="C982" s="103"/>
      <c r="D982" s="103"/>
      <c r="F982" s="34"/>
      <c r="G982" s="103"/>
      <c r="H982" s="103"/>
      <c r="I982" s="103"/>
    </row>
    <row r="983" hidden="1">
      <c r="C983" s="103"/>
      <c r="D983" s="103"/>
      <c r="F983" s="34"/>
      <c r="G983" s="103"/>
      <c r="H983" s="103"/>
      <c r="I983" s="103"/>
    </row>
    <row r="984" hidden="1">
      <c r="C984" s="103"/>
      <c r="D984" s="103"/>
      <c r="F984" s="34"/>
      <c r="G984" s="103"/>
      <c r="H984" s="103"/>
      <c r="I984" s="103"/>
    </row>
    <row r="985" hidden="1">
      <c r="C985" s="103"/>
      <c r="D985" s="103"/>
      <c r="F985" s="34"/>
      <c r="G985" s="103"/>
      <c r="H985" s="103"/>
      <c r="I985" s="103"/>
    </row>
    <row r="986" hidden="1">
      <c r="C986" s="103"/>
      <c r="D986" s="103"/>
      <c r="F986" s="34"/>
      <c r="G986" s="103"/>
      <c r="H986" s="103"/>
      <c r="I986" s="103"/>
    </row>
    <row r="987" hidden="1">
      <c r="C987" s="103"/>
      <c r="D987" s="103"/>
      <c r="F987" s="34"/>
      <c r="G987" s="103"/>
      <c r="H987" s="103"/>
      <c r="I987" s="103"/>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45"/>
    <hyperlink r:id="rId59" ref="L45"/>
    <hyperlink r:id="rId60" ref="M45"/>
    <hyperlink r:id="rId61" ref="K48"/>
    <hyperlink r:id="rId62" ref="L48"/>
    <hyperlink r:id="rId63" ref="M48"/>
    <hyperlink r:id="rId64" ref="K52"/>
    <hyperlink r:id="rId65" ref="K53"/>
    <hyperlink r:id="rId66" ref="L53"/>
    <hyperlink r:id="rId67" ref="M53"/>
    <hyperlink r:id="rId68" ref="K57"/>
    <hyperlink r:id="rId69" ref="L57"/>
    <hyperlink r:id="rId70" ref="M57"/>
    <hyperlink r:id="rId71" ref="N57"/>
    <hyperlink r:id="rId72" ref="K58"/>
    <hyperlink r:id="rId73" ref="L58"/>
    <hyperlink r:id="rId74" ref="K59"/>
    <hyperlink r:id="rId75" ref="L59"/>
    <hyperlink r:id="rId76" ref="K64"/>
    <hyperlink r:id="rId77" ref="L64"/>
    <hyperlink r:id="rId78" ref="M64"/>
    <hyperlink r:id="rId79" ref="K66"/>
    <hyperlink r:id="rId80" ref="K70"/>
    <hyperlink r:id="rId81" ref="K71"/>
    <hyperlink r:id="rId82" ref="K73"/>
    <hyperlink r:id="rId83" ref="K75"/>
    <hyperlink r:id="rId84" ref="K79"/>
    <hyperlink r:id="rId85" ref="K81"/>
    <hyperlink r:id="rId86" ref="K82"/>
    <hyperlink r:id="rId87" ref="L82"/>
    <hyperlink r:id="rId88" ref="M82"/>
    <hyperlink r:id="rId89" ref="K83"/>
    <hyperlink r:id="rId90" ref="K84"/>
    <hyperlink r:id="rId91" ref="L84"/>
    <hyperlink r:id="rId92" ref="M84"/>
    <hyperlink r:id="rId93" ref="N84"/>
    <hyperlink r:id="rId94" ref="O84"/>
    <hyperlink r:id="rId95" ref="P84"/>
    <hyperlink r:id="rId96" ref="Q84"/>
    <hyperlink r:id="rId97" ref="K85"/>
    <hyperlink r:id="rId98" ref="L85"/>
    <hyperlink r:id="rId99" ref="M85"/>
    <hyperlink r:id="rId100" ref="N85"/>
    <hyperlink r:id="rId101" ref="O85"/>
    <hyperlink r:id="rId102" ref="P85"/>
    <hyperlink r:id="rId103" ref="Q85"/>
    <hyperlink r:id="rId104" ref="R85"/>
    <hyperlink r:id="rId105" ref="S85"/>
    <hyperlink r:id="rId106" ref="T85"/>
    <hyperlink r:id="rId107" ref="K86"/>
    <hyperlink r:id="rId108" ref="L86"/>
    <hyperlink r:id="rId109" ref="M86"/>
    <hyperlink r:id="rId110" ref="N86"/>
    <hyperlink r:id="rId111" ref="O86"/>
    <hyperlink r:id="rId112" ref="P86"/>
    <hyperlink r:id="rId113" ref="Q86"/>
    <hyperlink r:id="rId114" ref="R86"/>
    <hyperlink r:id="rId115" ref="S86"/>
    <hyperlink r:id="rId116" ref="T86"/>
    <hyperlink r:id="rId117" ref="K89"/>
    <hyperlink r:id="rId118" ref="L89"/>
    <hyperlink r:id="rId119" ref="M89"/>
    <hyperlink r:id="rId120" ref="N89"/>
    <hyperlink r:id="rId121" ref="O89"/>
    <hyperlink r:id="rId122" ref="P89"/>
    <hyperlink r:id="rId123" ref="Q89"/>
    <hyperlink r:id="rId124" ref="R89"/>
    <hyperlink r:id="rId125" ref="S89"/>
    <hyperlink r:id="rId126" ref="T89"/>
    <hyperlink r:id="rId127" ref="K90"/>
    <hyperlink r:id="rId128" ref="L90"/>
    <hyperlink r:id="rId129" ref="M90"/>
    <hyperlink r:id="rId130" ref="N90"/>
    <hyperlink r:id="rId131" ref="O90"/>
    <hyperlink r:id="rId132" ref="P90"/>
    <hyperlink r:id="rId133" ref="Q90"/>
    <hyperlink r:id="rId134" ref="R90"/>
    <hyperlink r:id="rId135" ref="S90"/>
    <hyperlink r:id="rId136" ref="T90"/>
    <hyperlink r:id="rId137" ref="K91"/>
    <hyperlink r:id="rId138" ref="L91"/>
    <hyperlink r:id="rId139" ref="M91"/>
    <hyperlink r:id="rId140" ref="N91"/>
    <hyperlink r:id="rId141" ref="O91"/>
    <hyperlink r:id="rId142" ref="P91"/>
    <hyperlink r:id="rId143" ref="Q91"/>
    <hyperlink r:id="rId144" ref="R91"/>
    <hyperlink r:id="rId145" ref="S91"/>
    <hyperlink r:id="rId146" ref="T91"/>
    <hyperlink r:id="rId147" ref="K92"/>
    <hyperlink r:id="rId148" ref="L92"/>
    <hyperlink r:id="rId149" ref="M92"/>
    <hyperlink r:id="rId150" ref="N92"/>
    <hyperlink r:id="rId151" ref="O92"/>
    <hyperlink r:id="rId152" ref="P92"/>
    <hyperlink r:id="rId153" ref="Q92"/>
    <hyperlink r:id="rId154" ref="R92"/>
    <hyperlink r:id="rId155" ref="S92"/>
    <hyperlink r:id="rId156" ref="T92"/>
    <hyperlink r:id="rId157" ref="K96"/>
    <hyperlink r:id="rId158" ref="L96"/>
    <hyperlink r:id="rId159" ref="M96"/>
    <hyperlink r:id="rId160" ref="N96"/>
    <hyperlink r:id="rId161" ref="O96"/>
    <hyperlink r:id="rId162" ref="P96"/>
    <hyperlink r:id="rId163" ref="Q96"/>
    <hyperlink r:id="rId164" ref="R96"/>
    <hyperlink r:id="rId165" ref="S96"/>
    <hyperlink r:id="rId166" ref="T96"/>
    <hyperlink r:id="rId167" ref="K97"/>
    <hyperlink r:id="rId168" ref="L97"/>
    <hyperlink r:id="rId169" ref="M97"/>
    <hyperlink r:id="rId170" ref="N97"/>
    <hyperlink r:id="rId171" ref="K98"/>
    <hyperlink r:id="rId172" ref="L98"/>
    <hyperlink r:id="rId173" ref="M98"/>
    <hyperlink r:id="rId174" ref="N98"/>
    <hyperlink r:id="rId175" ref="O98"/>
    <hyperlink r:id="rId176" ref="P98"/>
    <hyperlink r:id="rId177" ref="Q98"/>
    <hyperlink r:id="rId178" ref="R98"/>
    <hyperlink r:id="rId179" ref="S98"/>
    <hyperlink r:id="rId180" ref="T98"/>
    <hyperlink r:id="rId181" ref="K100"/>
    <hyperlink r:id="rId182" ref="L100"/>
    <hyperlink r:id="rId183" ref="M100"/>
    <hyperlink r:id="rId184" ref="N100"/>
    <hyperlink r:id="rId185" ref="O100"/>
    <hyperlink r:id="rId186" ref="P100"/>
    <hyperlink r:id="rId187" ref="Q100"/>
    <hyperlink r:id="rId188" ref="R100"/>
    <hyperlink r:id="rId189" ref="S100"/>
    <hyperlink r:id="rId190" ref="T100"/>
    <hyperlink r:id="rId191" ref="K107"/>
    <hyperlink r:id="rId192" ref="L107"/>
    <hyperlink r:id="rId193" ref="M107"/>
    <hyperlink r:id="rId194" ref="N107"/>
    <hyperlink r:id="rId195" ref="O107"/>
    <hyperlink r:id="rId196" ref="P107"/>
    <hyperlink r:id="rId197" ref="Q107"/>
    <hyperlink r:id="rId198" ref="R107"/>
    <hyperlink r:id="rId199" ref="S107"/>
    <hyperlink r:id="rId200" ref="T107"/>
    <hyperlink r:id="rId201" ref="K108"/>
    <hyperlink r:id="rId202" ref="L108"/>
    <hyperlink r:id="rId203" ref="M108"/>
    <hyperlink r:id="rId204" ref="N108"/>
    <hyperlink r:id="rId205" ref="O108"/>
    <hyperlink r:id="rId206" ref="P108"/>
    <hyperlink r:id="rId207" ref="Q108"/>
    <hyperlink r:id="rId208" ref="R108"/>
    <hyperlink r:id="rId209" ref="S108"/>
    <hyperlink r:id="rId210" ref="T108"/>
    <hyperlink r:id="rId211" ref="K110"/>
    <hyperlink r:id="rId212" ref="L110"/>
    <hyperlink r:id="rId213" ref="M110"/>
    <hyperlink r:id="rId214" ref="N110"/>
    <hyperlink r:id="rId215" ref="O110"/>
    <hyperlink r:id="rId216" ref="P110"/>
    <hyperlink r:id="rId217" ref="Q110"/>
    <hyperlink r:id="rId218" ref="R110"/>
    <hyperlink r:id="rId219" ref="S110"/>
    <hyperlink r:id="rId220" ref="T110"/>
    <hyperlink r:id="rId221" ref="K111"/>
    <hyperlink r:id="rId222" ref="L111"/>
    <hyperlink r:id="rId223" ref="M111"/>
    <hyperlink r:id="rId224" ref="N111"/>
    <hyperlink r:id="rId225" ref="O111"/>
    <hyperlink r:id="rId226" ref="P111"/>
    <hyperlink r:id="rId227" ref="Q111"/>
    <hyperlink r:id="rId228" ref="R111"/>
    <hyperlink r:id="rId229" ref="S111"/>
    <hyperlink r:id="rId230" ref="T111"/>
    <hyperlink r:id="rId231" ref="K114"/>
    <hyperlink r:id="rId232" ref="L114"/>
    <hyperlink r:id="rId233" ref="M114"/>
    <hyperlink r:id="rId234" ref="N114"/>
    <hyperlink r:id="rId235" ref="O114"/>
    <hyperlink r:id="rId236" ref="P114"/>
    <hyperlink r:id="rId237" ref="Q114"/>
    <hyperlink r:id="rId238" ref="R114"/>
    <hyperlink r:id="rId239" ref="S114"/>
    <hyperlink r:id="rId240" ref="T114"/>
    <hyperlink r:id="rId241" ref="K115"/>
    <hyperlink r:id="rId242" ref="L115"/>
    <hyperlink r:id="rId243" ref="M115"/>
    <hyperlink r:id="rId244" ref="N115"/>
    <hyperlink r:id="rId245" ref="O115"/>
    <hyperlink r:id="rId246" ref="P115"/>
    <hyperlink r:id="rId247" ref="Q115"/>
    <hyperlink r:id="rId248" ref="R115"/>
    <hyperlink r:id="rId249" ref="S115"/>
    <hyperlink r:id="rId250" ref="T115"/>
    <hyperlink r:id="rId251" ref="K116"/>
    <hyperlink r:id="rId252" ref="L116"/>
    <hyperlink r:id="rId253" ref="M116"/>
    <hyperlink r:id="rId254" ref="N116"/>
    <hyperlink r:id="rId255" ref="O116"/>
    <hyperlink r:id="rId256" ref="P116"/>
    <hyperlink r:id="rId257" ref="Q116"/>
    <hyperlink r:id="rId258" ref="R116"/>
    <hyperlink r:id="rId259" ref="S116"/>
    <hyperlink r:id="rId260" ref="T116"/>
    <hyperlink r:id="rId261" ref="K118"/>
    <hyperlink r:id="rId262" ref="L118"/>
    <hyperlink r:id="rId263" ref="M118"/>
    <hyperlink r:id="rId264" ref="N118"/>
    <hyperlink r:id="rId265" ref="O118"/>
    <hyperlink r:id="rId266" ref="P118"/>
    <hyperlink r:id="rId267" ref="Q118"/>
    <hyperlink r:id="rId268" ref="R118"/>
    <hyperlink r:id="rId269" ref="S118"/>
    <hyperlink r:id="rId270" ref="T118"/>
    <hyperlink r:id="rId271" ref="K122"/>
    <hyperlink r:id="rId272" ref="L122"/>
    <hyperlink r:id="rId273" ref="M122"/>
    <hyperlink r:id="rId274" ref="N122"/>
    <hyperlink r:id="rId275" ref="O122"/>
    <hyperlink r:id="rId276" ref="P122"/>
    <hyperlink r:id="rId277" ref="Q122"/>
    <hyperlink r:id="rId278" ref="R122"/>
    <hyperlink r:id="rId279" ref="S122"/>
    <hyperlink r:id="rId280" ref="T122"/>
    <hyperlink r:id="rId281" ref="K125"/>
    <hyperlink r:id="rId282" ref="L125"/>
    <hyperlink r:id="rId283" ref="M125"/>
    <hyperlink r:id="rId284" ref="N125"/>
    <hyperlink r:id="rId285" ref="O125"/>
    <hyperlink r:id="rId286" ref="P125"/>
    <hyperlink r:id="rId287" ref="Q125"/>
    <hyperlink r:id="rId288" ref="R125"/>
    <hyperlink r:id="rId289" ref="S125"/>
    <hyperlink r:id="rId290" ref="T125"/>
    <hyperlink r:id="rId291" ref="K128"/>
    <hyperlink r:id="rId292" ref="L128"/>
    <hyperlink r:id="rId293" ref="M128"/>
    <hyperlink r:id="rId294" ref="N128"/>
    <hyperlink r:id="rId295" ref="O128"/>
    <hyperlink r:id="rId296" ref="P128"/>
    <hyperlink r:id="rId297" ref="K129"/>
    <hyperlink r:id="rId298" ref="L129"/>
    <hyperlink r:id="rId299" ref="M129"/>
    <hyperlink r:id="rId300" ref="N129"/>
    <hyperlink r:id="rId301" ref="O129"/>
    <hyperlink r:id="rId302" ref="P129"/>
    <hyperlink r:id="rId303" ref="Q129"/>
    <hyperlink r:id="rId304" ref="R129"/>
    <hyperlink r:id="rId305" ref="S129"/>
    <hyperlink r:id="rId306" ref="T129"/>
    <hyperlink r:id="rId307" ref="K130"/>
    <hyperlink r:id="rId308" ref="L130"/>
    <hyperlink r:id="rId309" ref="M130"/>
    <hyperlink r:id="rId310" ref="N130"/>
    <hyperlink r:id="rId311" ref="O130"/>
    <hyperlink r:id="rId312" ref="P130"/>
    <hyperlink r:id="rId313" ref="K131"/>
    <hyperlink r:id="rId314" ref="L131"/>
    <hyperlink r:id="rId315" ref="M131"/>
    <hyperlink r:id="rId316" ref="N131"/>
    <hyperlink r:id="rId317" ref="O131"/>
    <hyperlink r:id="rId318" ref="P131"/>
    <hyperlink r:id="rId319" ref="Q131"/>
    <hyperlink r:id="rId320" ref="K132"/>
    <hyperlink r:id="rId321" ref="L132"/>
    <hyperlink r:id="rId322" ref="M132"/>
    <hyperlink r:id="rId323" ref="N132"/>
    <hyperlink r:id="rId324" ref="O132"/>
    <hyperlink r:id="rId325" ref="P132"/>
    <hyperlink r:id="rId326" ref="Q132"/>
    <hyperlink r:id="rId327" ref="R132"/>
    <hyperlink r:id="rId328" ref="S132"/>
    <hyperlink r:id="rId329" ref="T132"/>
    <hyperlink r:id="rId330" ref="K134"/>
    <hyperlink r:id="rId331" ref="L134"/>
    <hyperlink r:id="rId332" ref="M134"/>
    <hyperlink r:id="rId333" ref="N134"/>
    <hyperlink r:id="rId334" ref="O134"/>
    <hyperlink r:id="rId335" ref="P134"/>
    <hyperlink r:id="rId336" ref="Q134"/>
    <hyperlink r:id="rId337" ref="R134"/>
    <hyperlink r:id="rId338" ref="S134"/>
    <hyperlink r:id="rId339" ref="T134"/>
    <hyperlink r:id="rId340" ref="K137"/>
    <hyperlink r:id="rId341" ref="L137"/>
    <hyperlink r:id="rId342" ref="M137"/>
    <hyperlink r:id="rId343" ref="N137"/>
    <hyperlink r:id="rId344" ref="O137"/>
    <hyperlink r:id="rId345" ref="P137"/>
    <hyperlink r:id="rId346" ref="Q137"/>
    <hyperlink r:id="rId347" ref="R137"/>
    <hyperlink r:id="rId348" ref="S137"/>
    <hyperlink r:id="rId349" ref="T137"/>
    <hyperlink r:id="rId350" ref="K140"/>
    <hyperlink r:id="rId351" ref="L140"/>
    <hyperlink r:id="rId352" ref="M140"/>
    <hyperlink r:id="rId353" ref="N140"/>
    <hyperlink r:id="rId354" ref="O140"/>
    <hyperlink r:id="rId355" ref="P140"/>
    <hyperlink r:id="rId356" ref="Q140"/>
    <hyperlink r:id="rId357" ref="R140"/>
    <hyperlink r:id="rId358" ref="S140"/>
    <hyperlink r:id="rId359" ref="T140"/>
    <hyperlink r:id="rId360" ref="K148"/>
    <hyperlink r:id="rId361" ref="L148"/>
    <hyperlink r:id="rId362" ref="M148"/>
    <hyperlink r:id="rId363" ref="N148"/>
    <hyperlink r:id="rId364" ref="O148"/>
    <hyperlink r:id="rId365" ref="P148"/>
    <hyperlink r:id="rId366" ref="Q148"/>
    <hyperlink r:id="rId367" ref="R148"/>
    <hyperlink r:id="rId368" ref="S148"/>
    <hyperlink r:id="rId369" ref="T148"/>
    <hyperlink r:id="rId370" ref="K150"/>
    <hyperlink r:id="rId371" ref="L150"/>
    <hyperlink r:id="rId372" ref="M150"/>
    <hyperlink r:id="rId373" ref="N150"/>
    <hyperlink r:id="rId374" ref="O150"/>
    <hyperlink r:id="rId375" ref="P150"/>
    <hyperlink r:id="rId376" ref="Q150"/>
    <hyperlink r:id="rId377" ref="R150"/>
    <hyperlink r:id="rId378" ref="S150"/>
    <hyperlink r:id="rId379" ref="T150"/>
    <hyperlink r:id="rId380" ref="K151"/>
    <hyperlink r:id="rId381" ref="L151"/>
    <hyperlink r:id="rId382" ref="M151"/>
    <hyperlink r:id="rId383" ref="N151"/>
    <hyperlink r:id="rId384" ref="O151"/>
    <hyperlink r:id="rId385" ref="P151"/>
    <hyperlink r:id="rId386" ref="Q151"/>
    <hyperlink r:id="rId387" ref="R151"/>
    <hyperlink r:id="rId388" ref="S151"/>
    <hyperlink r:id="rId389" ref="T151"/>
    <hyperlink r:id="rId390" ref="K152"/>
    <hyperlink r:id="rId391" ref="L152"/>
    <hyperlink r:id="rId392" ref="M152"/>
    <hyperlink r:id="rId393" ref="N152"/>
    <hyperlink r:id="rId394" ref="O152"/>
    <hyperlink r:id="rId395" ref="K161"/>
    <hyperlink r:id="rId396" ref="L161"/>
    <hyperlink r:id="rId397" ref="M161"/>
    <hyperlink r:id="rId398" ref="N161"/>
    <hyperlink r:id="rId399" ref="O161"/>
    <hyperlink r:id="rId400" ref="P161"/>
    <hyperlink r:id="rId401" ref="Q161"/>
    <hyperlink r:id="rId402" ref="R161"/>
    <hyperlink r:id="rId403" ref="S161"/>
    <hyperlink r:id="rId404" ref="T161"/>
    <hyperlink r:id="rId405" ref="K162"/>
    <hyperlink r:id="rId406" ref="L162"/>
    <hyperlink r:id="rId407" ref="M162"/>
    <hyperlink r:id="rId408" ref="N162"/>
    <hyperlink r:id="rId409" ref="O162"/>
    <hyperlink r:id="rId410" ref="P162"/>
    <hyperlink r:id="rId411" ref="Q162"/>
    <hyperlink r:id="rId412" ref="R162"/>
    <hyperlink r:id="rId413" ref="K165"/>
    <hyperlink r:id="rId414" ref="L165"/>
    <hyperlink r:id="rId415" ref="M165"/>
    <hyperlink r:id="rId416" ref="N165"/>
    <hyperlink r:id="rId417" ref="O165"/>
    <hyperlink r:id="rId418" ref="P165"/>
    <hyperlink r:id="rId419" ref="Q165"/>
    <hyperlink r:id="rId420" ref="R165"/>
    <hyperlink r:id="rId421" ref="S165"/>
    <hyperlink r:id="rId422" ref="T165"/>
    <hyperlink r:id="rId423" ref="K166"/>
    <hyperlink r:id="rId424" ref="L166"/>
    <hyperlink r:id="rId425" ref="M166"/>
    <hyperlink r:id="rId426" ref="N166"/>
    <hyperlink r:id="rId427" ref="O166"/>
    <hyperlink r:id="rId428" ref="P166"/>
    <hyperlink r:id="rId429" ref="Q166"/>
    <hyperlink r:id="rId430" ref="R166"/>
    <hyperlink r:id="rId431" ref="S166"/>
    <hyperlink r:id="rId432" ref="T166"/>
    <hyperlink r:id="rId433" ref="K168"/>
    <hyperlink r:id="rId434" ref="L168"/>
    <hyperlink r:id="rId435" ref="M168"/>
    <hyperlink r:id="rId436" ref="N168"/>
    <hyperlink r:id="rId437" ref="O168"/>
    <hyperlink r:id="rId438" ref="P168"/>
    <hyperlink r:id="rId439" ref="Q168"/>
    <hyperlink r:id="rId440" ref="R168"/>
    <hyperlink r:id="rId441" ref="S168"/>
    <hyperlink r:id="rId442" ref="T168"/>
    <hyperlink r:id="rId443" ref="K169"/>
    <hyperlink r:id="rId444" ref="L169"/>
    <hyperlink r:id="rId445" ref="M169"/>
    <hyperlink r:id="rId446" ref="N169"/>
    <hyperlink r:id="rId447" ref="O169"/>
    <hyperlink r:id="rId448" ref="P169"/>
    <hyperlink r:id="rId449" ref="Q169"/>
    <hyperlink r:id="rId450" ref="R169"/>
    <hyperlink r:id="rId451" ref="K175"/>
    <hyperlink r:id="rId452" ref="L175"/>
    <hyperlink r:id="rId453" ref="M175"/>
    <hyperlink r:id="rId454" ref="N175"/>
    <hyperlink r:id="rId455" ref="O175"/>
    <hyperlink r:id="rId456" ref="P175"/>
    <hyperlink r:id="rId457" ref="K177"/>
    <hyperlink r:id="rId458" ref="L177"/>
    <hyperlink r:id="rId459" ref="M177"/>
    <hyperlink r:id="rId460" ref="K179"/>
    <hyperlink r:id="rId461" ref="L179"/>
    <hyperlink r:id="rId462" ref="M179"/>
    <hyperlink r:id="rId463" ref="N179"/>
    <hyperlink r:id="rId464" ref="O179"/>
    <hyperlink r:id="rId465" ref="P179"/>
    <hyperlink r:id="rId466" ref="Q179"/>
    <hyperlink r:id="rId467" ref="R179"/>
    <hyperlink r:id="rId468" ref="S179"/>
    <hyperlink r:id="rId469" ref="T179"/>
    <hyperlink r:id="rId470" ref="K180"/>
    <hyperlink r:id="rId471" ref="L180"/>
    <hyperlink r:id="rId472" ref="M180"/>
    <hyperlink r:id="rId473" ref="N180"/>
    <hyperlink r:id="rId474" ref="O180"/>
    <hyperlink r:id="rId475" ref="P180"/>
    <hyperlink r:id="rId476" ref="Q180"/>
    <hyperlink r:id="rId477" ref="K182"/>
    <hyperlink r:id="rId478" ref="L182"/>
    <hyperlink r:id="rId479" ref="M182"/>
    <hyperlink r:id="rId480" ref="N182"/>
    <hyperlink r:id="rId481" ref="O182"/>
    <hyperlink r:id="rId482" ref="P182"/>
    <hyperlink r:id="rId483" ref="Q182"/>
    <hyperlink r:id="rId484" ref="K186"/>
    <hyperlink r:id="rId485" ref="L186"/>
    <hyperlink r:id="rId486" ref="M186"/>
    <hyperlink r:id="rId487" ref="N186"/>
    <hyperlink r:id="rId488" ref="O186"/>
    <hyperlink r:id="rId489" ref="P186"/>
    <hyperlink r:id="rId490" ref="Q186"/>
    <hyperlink r:id="rId491" ref="R186"/>
    <hyperlink r:id="rId492" ref="S186"/>
    <hyperlink r:id="rId493" ref="K188"/>
    <hyperlink r:id="rId494" ref="L188"/>
    <hyperlink r:id="rId495" ref="M188"/>
    <hyperlink r:id="rId496" ref="N188"/>
    <hyperlink r:id="rId497" ref="O188"/>
    <hyperlink r:id="rId498" ref="K189"/>
    <hyperlink r:id="rId499" ref="L189"/>
    <hyperlink r:id="rId500" ref="M189"/>
    <hyperlink r:id="rId501" ref="N189"/>
    <hyperlink r:id="rId502" ref="O189"/>
    <hyperlink r:id="rId503" ref="P189"/>
    <hyperlink r:id="rId504" ref="Q189"/>
    <hyperlink r:id="rId505" ref="K190"/>
    <hyperlink r:id="rId506" ref="L190"/>
    <hyperlink r:id="rId507" ref="M190"/>
    <hyperlink r:id="rId508" ref="N190"/>
    <hyperlink r:id="rId509" ref="O190"/>
    <hyperlink r:id="rId510" ref="K191"/>
    <hyperlink r:id="rId511" ref="L191"/>
    <hyperlink r:id="rId512" ref="M191"/>
    <hyperlink r:id="rId513" ref="N191"/>
    <hyperlink r:id="rId514" ref="O191"/>
    <hyperlink r:id="rId515" ref="P191"/>
    <hyperlink r:id="rId516" ref="K194"/>
    <hyperlink r:id="rId517" ref="L194"/>
    <hyperlink r:id="rId518" ref="M194"/>
    <hyperlink r:id="rId519" ref="N194"/>
    <hyperlink r:id="rId520" ref="O194"/>
    <hyperlink r:id="rId521" ref="K196"/>
    <hyperlink r:id="rId522" ref="L196"/>
    <hyperlink r:id="rId523" ref="M196"/>
    <hyperlink r:id="rId524" ref="N196"/>
    <hyperlink r:id="rId525" ref="O196"/>
    <hyperlink r:id="rId526" ref="P196"/>
    <hyperlink r:id="rId527" ref="Q196"/>
    <hyperlink r:id="rId528" ref="K197"/>
    <hyperlink r:id="rId529" ref="L197"/>
    <hyperlink r:id="rId530" ref="M197"/>
    <hyperlink r:id="rId531" ref="N197"/>
    <hyperlink r:id="rId532" ref="O197"/>
    <hyperlink r:id="rId533" ref="K198"/>
    <hyperlink r:id="rId534" ref="L198"/>
    <hyperlink r:id="rId535" ref="K199"/>
    <hyperlink r:id="rId536" ref="L199"/>
    <hyperlink r:id="rId537" ref="M199"/>
    <hyperlink r:id="rId538" ref="N199"/>
    <hyperlink r:id="rId539" ref="O199"/>
    <hyperlink r:id="rId540" ref="P199"/>
    <hyperlink r:id="rId541" ref="Q199"/>
    <hyperlink r:id="rId542" ref="K200"/>
    <hyperlink r:id="rId543" ref="L200"/>
    <hyperlink r:id="rId544" ref="M200"/>
    <hyperlink r:id="rId545" ref="K203"/>
    <hyperlink r:id="rId546" ref="L203"/>
    <hyperlink r:id="rId547" ref="M203"/>
    <hyperlink r:id="rId548" ref="K205"/>
    <hyperlink r:id="rId549" ref="L205"/>
    <hyperlink r:id="rId550" ref="M205"/>
    <hyperlink r:id="rId551" ref="N205"/>
    <hyperlink r:id="rId552" ref="O205"/>
    <hyperlink r:id="rId553" ref="K208"/>
    <hyperlink r:id="rId554" ref="L208"/>
    <hyperlink r:id="rId555" ref="M208"/>
    <hyperlink r:id="rId556" ref="N208"/>
    <hyperlink r:id="rId557" ref="O208"/>
    <hyperlink r:id="rId558" ref="P208"/>
    <hyperlink r:id="rId559" ref="Q208"/>
    <hyperlink r:id="rId560" ref="R208"/>
    <hyperlink r:id="rId561" ref="K210"/>
    <hyperlink r:id="rId562" ref="L210"/>
    <hyperlink r:id="rId563" ref="M210"/>
    <hyperlink r:id="rId564" ref="N210"/>
    <hyperlink r:id="rId565" ref="O210"/>
    <hyperlink r:id="rId566" ref="P210"/>
    <hyperlink r:id="rId567" ref="Q210"/>
    <hyperlink r:id="rId568" ref="R210"/>
    <hyperlink r:id="rId569" ref="S210"/>
    <hyperlink r:id="rId570" ref="T210"/>
    <hyperlink r:id="rId571" ref="K212"/>
    <hyperlink r:id="rId572" ref="L212"/>
    <hyperlink r:id="rId573" ref="M212"/>
    <hyperlink r:id="rId574" ref="N212"/>
    <hyperlink r:id="rId575" ref="O212"/>
    <hyperlink r:id="rId576" ref="P212"/>
    <hyperlink r:id="rId577" ref="Q212"/>
    <hyperlink r:id="rId578" ref="R212"/>
    <hyperlink r:id="rId579" ref="S212"/>
    <hyperlink r:id="rId580" ref="K214"/>
    <hyperlink r:id="rId581" ref="L214"/>
    <hyperlink r:id="rId582" ref="M214"/>
    <hyperlink r:id="rId583" ref="N214"/>
    <hyperlink r:id="rId584" ref="O214"/>
    <hyperlink r:id="rId585" ref="P214"/>
    <hyperlink r:id="rId586" ref="Q214"/>
    <hyperlink r:id="rId587" ref="R214"/>
    <hyperlink r:id="rId588" ref="K219"/>
    <hyperlink r:id="rId589" ref="L219"/>
    <hyperlink r:id="rId590" ref="M219"/>
    <hyperlink r:id="rId591" ref="N219"/>
    <hyperlink r:id="rId592" ref="O219"/>
    <hyperlink r:id="rId593" ref="K220"/>
    <hyperlink r:id="rId594" ref="L220"/>
    <hyperlink r:id="rId595" ref="M220"/>
    <hyperlink r:id="rId596" ref="N220"/>
    <hyperlink r:id="rId597" ref="K221"/>
    <hyperlink r:id="rId598" ref="L221"/>
    <hyperlink r:id="rId599" ref="M221"/>
    <hyperlink r:id="rId600" ref="N221"/>
    <hyperlink r:id="rId601" ref="O221"/>
    <hyperlink r:id="rId602" ref="P221"/>
    <hyperlink r:id="rId603" ref="K223"/>
    <hyperlink r:id="rId604" ref="L223"/>
    <hyperlink r:id="rId605" ref="M223"/>
    <hyperlink r:id="rId606" ref="N223"/>
    <hyperlink r:id="rId607" ref="O223"/>
    <hyperlink r:id="rId608" ref="P223"/>
    <hyperlink r:id="rId609" ref="Q223"/>
    <hyperlink r:id="rId610" ref="K224"/>
    <hyperlink r:id="rId611" ref="L224"/>
    <hyperlink r:id="rId612" ref="M224"/>
    <hyperlink r:id="rId613" ref="N224"/>
    <hyperlink r:id="rId614" ref="K229"/>
    <hyperlink r:id="rId615" ref="L229"/>
    <hyperlink r:id="rId616" ref="M229"/>
    <hyperlink r:id="rId617" ref="N229"/>
    <hyperlink r:id="rId618" ref="O229"/>
    <hyperlink r:id="rId619" ref="P229"/>
    <hyperlink r:id="rId620" ref="K230"/>
    <hyperlink r:id="rId621" ref="L230"/>
    <hyperlink r:id="rId622" ref="M230"/>
    <hyperlink r:id="rId623" ref="N230"/>
    <hyperlink r:id="rId624" ref="O230"/>
    <hyperlink r:id="rId625" ref="P230"/>
    <hyperlink r:id="rId626" ref="K231"/>
    <hyperlink r:id="rId627" ref="L231"/>
    <hyperlink r:id="rId628" ref="M231"/>
    <hyperlink r:id="rId629" ref="N231"/>
    <hyperlink r:id="rId630" ref="K232"/>
    <hyperlink r:id="rId631" ref="L232"/>
    <hyperlink r:id="rId632" ref="M232"/>
    <hyperlink r:id="rId633" ref="N232"/>
    <hyperlink r:id="rId634" ref="O232"/>
    <hyperlink r:id="rId635" ref="P232"/>
    <hyperlink r:id="rId636" ref="Q232"/>
    <hyperlink r:id="rId637" ref="K233"/>
    <hyperlink r:id="rId638" ref="L233"/>
    <hyperlink r:id="rId639" ref="M233"/>
    <hyperlink r:id="rId640" ref="N233"/>
    <hyperlink r:id="rId641" ref="O233"/>
    <hyperlink r:id="rId642" ref="P233"/>
    <hyperlink r:id="rId643" ref="Q233"/>
    <hyperlink r:id="rId644" ref="R233"/>
    <hyperlink r:id="rId645" ref="S233"/>
    <hyperlink r:id="rId646" ref="K234"/>
    <hyperlink r:id="rId647" ref="L234"/>
    <hyperlink r:id="rId648" ref="M234"/>
    <hyperlink r:id="rId649" ref="K237"/>
    <hyperlink r:id="rId650" ref="L237"/>
    <hyperlink r:id="rId651" ref="M237"/>
    <hyperlink r:id="rId652" ref="N237"/>
    <hyperlink r:id="rId653" ref="O237"/>
    <hyperlink r:id="rId654" ref="K241"/>
    <hyperlink r:id="rId655" ref="L241"/>
    <hyperlink r:id="rId656" ref="M241"/>
    <hyperlink r:id="rId657" ref="N241"/>
    <hyperlink r:id="rId658" ref="O241"/>
    <hyperlink r:id="rId659" ref="P241"/>
    <hyperlink r:id="rId660" ref="Q241"/>
    <hyperlink r:id="rId661" ref="K242"/>
    <hyperlink r:id="rId662" ref="L242"/>
    <hyperlink r:id="rId663" ref="M242"/>
    <hyperlink r:id="rId664" ref="N242"/>
    <hyperlink r:id="rId665" ref="O242"/>
    <hyperlink r:id="rId666" ref="P242"/>
    <hyperlink r:id="rId667" ref="Q242"/>
    <hyperlink r:id="rId668" ref="R242"/>
    <hyperlink r:id="rId669" ref="K323"/>
    <hyperlink r:id="rId670" ref="L323"/>
    <hyperlink r:id="rId671" ref="K350"/>
    <hyperlink r:id="rId672" ref="K411"/>
    <hyperlink r:id="rId673" ref="K428"/>
    <hyperlink r:id="rId674" ref="L428"/>
    <hyperlink r:id="rId675" ref="M428"/>
    <hyperlink r:id="rId676" ref="K429"/>
    <hyperlink r:id="rId677" ref="L429"/>
    <hyperlink r:id="rId678" ref="M429"/>
    <hyperlink r:id="rId679" ref="K430"/>
    <hyperlink r:id="rId680" ref="L430"/>
    <hyperlink r:id="rId681" ref="M430"/>
    <hyperlink r:id="rId682" ref="N430"/>
    <hyperlink r:id="rId683" ref="O430"/>
    <hyperlink r:id="rId684" ref="K431"/>
    <hyperlink r:id="rId685" ref="L431"/>
    <hyperlink r:id="rId686" ref="M431"/>
    <hyperlink r:id="rId687" ref="K432"/>
    <hyperlink r:id="rId688" ref="L432"/>
    <hyperlink r:id="rId689" ref="K433"/>
    <hyperlink r:id="rId690" ref="L433"/>
    <hyperlink r:id="rId691" ref="M433"/>
    <hyperlink r:id="rId692" ref="N433"/>
    <hyperlink r:id="rId693" ref="O433"/>
    <hyperlink r:id="rId694" ref="P433"/>
    <hyperlink r:id="rId695" ref="Q433"/>
    <hyperlink r:id="rId696" ref="R433"/>
    <hyperlink r:id="rId697" ref="K434"/>
    <hyperlink r:id="rId698" ref="L434"/>
    <hyperlink r:id="rId699" ref="K435"/>
    <hyperlink r:id="rId700" ref="L435"/>
    <hyperlink r:id="rId701" ref="K436"/>
    <hyperlink r:id="rId702" ref="L436"/>
    <hyperlink r:id="rId703" ref="M436"/>
    <hyperlink r:id="rId704" ref="N436"/>
  </hyperlinks>
  <drawing r:id="rId70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2250</v>
      </c>
    </row>
    <row r="2">
      <c r="A2" s="16" t="s">
        <v>2251</v>
      </c>
      <c r="B2" s="16" t="s">
        <v>2252</v>
      </c>
    </row>
    <row r="3">
      <c r="A3" s="16" t="s">
        <v>2253</v>
      </c>
      <c r="B3" s="16" t="s">
        <v>2254</v>
      </c>
    </row>
    <row r="4">
      <c r="A4" s="16" t="s">
        <v>2255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2256</v>
      </c>
      <c r="B1" s="111"/>
      <c r="C1" s="112" t="s">
        <v>2257</v>
      </c>
      <c r="D1" s="113" t="s">
        <v>2258</v>
      </c>
      <c r="E1" s="113" t="s">
        <v>26</v>
      </c>
      <c r="F1" s="113" t="s">
        <v>70</v>
      </c>
      <c r="G1" s="114" t="s">
        <v>32</v>
      </c>
      <c r="H1" s="28"/>
      <c r="I1" s="115" t="s">
        <v>2259</v>
      </c>
      <c r="J1" s="115" t="s">
        <v>2260</v>
      </c>
      <c r="K1" s="115" t="s">
        <v>2261</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''""),0)"),0.0)</f>
        <v>0</v>
      </c>
      <c r="U2" s="103"/>
    </row>
    <row r="3">
      <c r="A3" s="121" t="s">
        <v>2262</v>
      </c>
      <c r="C3" s="117" t="s">
        <v>418</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''""),0)"),21.0)</f>
        <v>21</v>
      </c>
      <c r="K3" s="20">
        <f>IFERROR(__xludf.DUMMYFUNCTION("IFNA(QUERY('Extended Card Stats'!$A:$J,""select count(A) where (C="" &amp; $A$4 &amp; "") AND (J="" &amp; $I3 &amp; "") AND (B LIKE '%"" &amp; $A$6 &amp; ""%') label Count(A) ''""),0)"),15.0)</f>
        <v>15</v>
      </c>
    </row>
    <row r="4">
      <c r="A4" s="123">
        <v>1.0</v>
      </c>
      <c r="C4" s="117" t="s">
        <v>1039</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''""),0)"),54.0)</f>
        <v>54</v>
      </c>
      <c r="K4" s="20">
        <f>IFERROR(__xludf.DUMMYFUNCTION("IFNA(QUERY('Extended Card Stats'!$A:$J,""select count(A) where (C="" &amp; $A$4 &amp; "") AND (J="" &amp; $I4 &amp; "") AND (B LIKE '%"" &amp; $A$6 &amp; ""%') label Count(A) ''""),0)"),42.0)</f>
        <v>42</v>
      </c>
    </row>
    <row r="5">
      <c r="A5" s="124" t="s">
        <v>2263</v>
      </c>
      <c r="C5" s="125" t="s">
        <v>1501</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''""),0)"),49.0)</f>
        <v>49</v>
      </c>
      <c r="K5" s="20">
        <f>IFERROR(__xludf.DUMMYFUNCTION("IFNA(QUERY('Extended Card Stats'!$A:$J,""select count(A) where (C="" &amp; $A$4 &amp; "") AND (J="" &amp; $I5 &amp; "") AND (B LIKE '%"" &amp; $A$6 &amp; ""%') label Count(A) ''""),0)"),39.0)</f>
        <v>39</v>
      </c>
    </row>
    <row r="6">
      <c r="A6" s="126"/>
      <c r="C6" s="117" t="s">
        <v>1770</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''""),0)"),36.0)</f>
        <v>36</v>
      </c>
      <c r="K6" s="20">
        <f>IFERROR(__xludf.DUMMYFUNCTION("IFNA(QUERY('Extended Card Stats'!$A:$J,""select count(A) where (C="" &amp; $A$4 &amp; "") AND (J="" &amp; $I6 &amp; "") AND (B LIKE '%"" &amp; $A$6 &amp; ""%') label Count(A) ''""),0)"),52.0)</f>
        <v>52</v>
      </c>
    </row>
    <row r="7">
      <c r="A7" s="21"/>
      <c r="B7" s="127"/>
      <c r="C7" s="117" t="s">
        <v>2264</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''""),0)"),23.0)</f>
        <v>23</v>
      </c>
      <c r="K7" s="20">
        <f>IFERROR(__xludf.DUMMYFUNCTION("IFNA(QUERY('Extended Card Stats'!$A:$J,""select count(A) where (C="" &amp; $A$4 &amp; "") AND (J="" &amp; $I7 &amp; "") AND (B LIKE '%"" &amp; $A$6 &amp; ""%') label Count(A) ''""),0)"),38.0)</f>
        <v>38</v>
      </c>
    </row>
    <row r="8">
      <c r="B8" s="127"/>
      <c r="C8" s="128" t="s">
        <v>2265</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''""),0)"),18.0)</f>
        <v>18</v>
      </c>
      <c r="K8" s="20">
        <f>IFERROR(__xludf.DUMMYFUNCTION("IFNA(QUERY('Extended Card Stats'!$A:$J,""select count(A) where (C="" &amp; $A$4 &amp; "") AND (J="" &amp; $I8 &amp; "") AND (B LIKE '%"" &amp; $A$6 &amp; ""%') label Count(A) ''""),0)"),21.0)</f>
        <v>21</v>
      </c>
    </row>
    <row r="9">
      <c r="B9" s="131" t="s">
        <v>2266</v>
      </c>
      <c r="C9" s="132" t="s">
        <v>391</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2267</v>
      </c>
      <c r="C10" s="137" t="s">
        <v>1742</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2268</v>
      </c>
      <c r="C11" s="140" t="s">
        <v>895</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2269</v>
      </c>
      <c r="C12" s="137" t="s">
        <v>355</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2270</v>
      </c>
      <c r="C13" s="137" t="s">
        <v>964</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2271</v>
      </c>
      <c r="J13" s="142">
        <f>ROUND(AVERAGE('Extended Card Stats'!G:G),2)</f>
        <v>3.24</v>
      </c>
      <c r="K13" s="142">
        <f>ROUND(AVERAGE('Extended Card Stats'!J:J),2)</f>
        <v>2.84</v>
      </c>
    </row>
    <row r="14">
      <c r="B14" s="136" t="s">
        <v>2272</v>
      </c>
      <c r="C14" s="137" t="s">
        <v>317</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2273</v>
      </c>
      <c r="C15" s="137" t="s">
        <v>289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2274</v>
      </c>
      <c r="C16" s="137" t="s">
        <v>1369</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2275</v>
      </c>
      <c r="C17" s="137" t="s">
        <v>918</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2276</v>
      </c>
      <c r="C18" s="144" t="s">
        <v>1429</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2277</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2278</v>
      </c>
      <c r="K20" s="154" t="s">
        <v>2279</v>
      </c>
      <c r="L20" s="155" t="s">
        <v>2280</v>
      </c>
      <c r="M20" s="156" t="s">
        <v>2281</v>
      </c>
      <c r="N20" s="157" t="s">
        <v>2282</v>
      </c>
      <c r="O20" s="158" t="s">
        <v>2283</v>
      </c>
      <c r="Q20" s="148" t="s">
        <v>2284</v>
      </c>
      <c r="R20" s="159" t="s">
        <v>26</v>
      </c>
      <c r="S20" s="159" t="s">
        <v>70</v>
      </c>
      <c r="T20" s="159" t="s">
        <v>32</v>
      </c>
      <c r="U20" s="160" t="s">
        <v>2285</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''""),0)"),26.0)</f>
        <v>26</v>
      </c>
      <c r="K22" s="169">
        <f>IFERROR(__xludf.DUMMYFUNCTION("IFNA(QUERY(Cards!$A:$I,""select count(A) where (C="" &amp; $A$4 &amp; "" AND D LIKE '%"" &amp; $I22 &amp; ""%' AND B LIKE '%"" &amp; REGEXEXTRACT(K$20,""[^#\s]+"") &amp; ""%') label Count(A) ''""),0)"),5.0)</f>
        <v>5</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''""),0)"),2.0)</f>
        <v>2</v>
      </c>
      <c r="N22" s="169">
        <f>IFERROR(__xludf.DUMMYFUNCTION("IFNA(QUERY(Cards!$A:$I,""select count(A) where (C="" &amp; $A$4 &amp; "" AND D LIKE '%"" &amp; $I22 &amp; ""%' AND B LIKE '%"" &amp; REGEXEXTRACT(N$20,""[^#\s]+"") &amp; ""%') label Count(A) ''""),0)"),15.0)</f>
        <v>15</v>
      </c>
      <c r="O22" s="170">
        <f>IFERROR(__xludf.DUMMYFUNCTION("IFNA(QUERY(Cards!$A:$I,""select count(A) where (C="" &amp; $A$4 &amp; "" AND D LIKE '%"" &amp; $I22 &amp; ""%' AND B LIKE '%"" &amp; REGEXEXTRACT(O$20,""[^#\s]+"") &amp; ""%') label Count(A) ''""),0)"),2.0)</f>
        <v>2</v>
      </c>
      <c r="Q22" s="171" t="str">
        <f>IFERROR(__xludf.DUMMYFUNCTION("""COMPUTED_VALUE"""),"Warrior")</f>
        <v>Warrior</v>
      </c>
      <c r="R22" s="118">
        <f>IFERROR(__xludf.DUMMYFUNCTION("IF(ISBLANK($Q22),"""",IFNA(QUERY(Cards!$A:$I,""select count(A) where (C="" &amp; $A$4 &amp; "" AND D LIKE '%"" &amp; $Q22 &amp; ""%' AND I='"" &amp; R$20 &amp; ""') label Count(A) ''""),0))"),13.0)</f>
        <v>13</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26</v>
      </c>
      <c r="V22" s="173">
        <f t="shared" si="3"/>
        <v>0.1209302326</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2286</v>
      </c>
      <c r="C24" s="159" t="s">
        <v>26</v>
      </c>
      <c r="D24" s="159" t="s">
        <v>70</v>
      </c>
      <c r="E24" s="159" t="s">
        <v>32</v>
      </c>
      <c r="F24" s="160" t="s">
        <v>2285</v>
      </c>
      <c r="G24" s="175" t="s">
        <v>2287</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''""),0)"),23.0)</f>
        <v>23</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''""),0)"),0.0)</f>
        <v>0</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''""),0)"),18.0)</f>
        <v>18</v>
      </c>
      <c r="Q25" s="171" t="str">
        <f>IFERROR(__xludf.DUMMYFUNCTION("""COMPUTED_VALUE"""),"Undead")</f>
        <v>Undead</v>
      </c>
      <c r="R25" s="118">
        <f>IFERROR(__xludf.DUMMYFUNCTION("IF(ISBLANK($Q25),"""",IFNA(QUERY(Cards!$A:$I,""select count(A) where (C="" &amp; $A$4 &amp; "" AND D LIKE '%"" &amp; $Q25 &amp; ""%' AND I='"" &amp; R$20 &amp; ""') label Count(A) ''""),0))"),13.0)</f>
        <v>13</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23</v>
      </c>
      <c r="V25" s="173">
        <f t="shared" si="3"/>
        <v>0.1069767442</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''""),0)"),5.0)</f>
        <v>5</v>
      </c>
      <c r="L26" s="169">
        <f>IFERROR(__xludf.DUMMYFUNCTION("IFNA(QUERY(Cards!$A:$I,""select count(A) where (C="" &amp; $A$4 &amp; "" AND D LIKE '%"" &amp; $I26 &amp; ""%' AND B LIKE '%"" &amp; REGEXEXTRACT(L$20,""[^#\s]+"") &amp; ""%') label Count(A) ''""),0)"),2.0)</f>
        <v>2</v>
      </c>
      <c r="M26" s="169">
        <f>IFERROR(__xludf.DUMMYFUNCTION("IFNA(QUERY(Cards!$A:$I,""select count(A) where (C="" &amp; $A$4 &amp; "" AND D LIKE '%"" &amp; $I26 &amp; ""%' AND B LIKE '%"" &amp; REGEXEXTRACT(M$20,""[^#\s]+"") &amp; ""%') label Count(A) ''""),0)"),9.0)</f>
        <v>9</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''""),0)"),35.0)</f>
        <v>35</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''""),0)"),12.0)</f>
        <v>12</v>
      </c>
      <c r="M27" s="169">
        <f>IFERROR(__xludf.DUMMYFUNCTION("IFNA(QUERY(Cards!$A:$I,""select count(A) where (C="" &amp; $A$4 &amp; "" AND D LIKE '%"" &amp; $I27 &amp; ""%' AND B LIKE '%"" &amp; REGEXEXTRACT(M$20,""[^#\s]+"") &amp; ""%') label Count(A) ''""),0)"),3.0)</f>
        <v>3</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''""),0))"),19.0)</f>
        <v>19</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35</v>
      </c>
      <c r="V27" s="173">
        <f t="shared" si="3"/>
        <v>0.1627906977</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''""),0)"),31.0)</f>
        <v>31</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''""),0)"),9.0)</f>
        <v>9</v>
      </c>
      <c r="N28" s="169">
        <f>IFERROR(__xludf.DUMMYFUNCTION("IFNA(QUERY(Cards!$A:$I,""select count(A) where (C="" &amp; $A$4 &amp; "" AND D LIKE '%"" &amp; $I28 &amp; ""%' AND B LIKE '%"" &amp; REGEXEXTRACT(N$20,""[^#\s]+"") &amp; ""%') label Count(A) ''""),0)"),18.0)</f>
        <v>18</v>
      </c>
      <c r="O28" s="170">
        <f>IFERROR(__xludf.DUMMYFUNCTION("IFNA(QUERY(Cards!$A:$I,""select count(A) where (C="" &amp; $A$4 &amp; "" AND D LIKE '%"" &amp; $I28 &amp; ""%' AND B LIKE '%"" &amp; REGEXEXTRACT(O$20,""[^#\s]+"") &amp; ""%') label Count(A) ''""),0)"),2.0)</f>
        <v>2</v>
      </c>
      <c r="Q28" s="171" t="str">
        <f>IFERROR(__xludf.DUMMYFUNCTION("""COMPUTED_VALUE"""),"Human")</f>
        <v>Human</v>
      </c>
      <c r="R28" s="118">
        <f>IFERROR(__xludf.DUMMYFUNCTION("IF(ISBLANK($Q28),"""",IFNA(QUERY(Cards!$A:$I,""select count(A) where (C="" &amp; $A$4 &amp; "" AND D LIKE '%"" &amp; $Q28 &amp; ""%' AND I='"" &amp; R$20 &amp; ""') label Count(A) ''""),0))"),13.0)</f>
        <v>13</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31</v>
      </c>
      <c r="V28" s="173">
        <f t="shared" si="3"/>
        <v>0.1441860465</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''""),0)"),24.0)</f>
        <v>24</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''""),0)"),9.0)</f>
        <v>9</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''""),0)"),5.0)</f>
        <v>5</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''""),0))"),10.0)</f>
        <v>10</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24</v>
      </c>
      <c r="V29" s="173">
        <f t="shared" si="3"/>
        <v>0.111627907</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''""),0)"),28.0)</f>
        <v>28</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''""),0)"),16.0)</f>
        <v>16</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''""),0))"),14.0)</f>
        <v>14</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28</v>
      </c>
      <c r="V30" s="173">
        <f t="shared" si="3"/>
        <v>0.1302325581</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''""),0)"),1.0)</f>
        <v>1</v>
      </c>
      <c r="F35" s="172">
        <f t="shared" si="4"/>
        <v>6</v>
      </c>
      <c r="G35" s="173">
        <f t="shared" si="5"/>
        <v>0.02790697674</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''""),0)"),0.0)</f>
        <v>0</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''""),0)"),21.0)</f>
        <v>21</v>
      </c>
      <c r="Q35" s="184" t="str">
        <f>IFERROR(__xludf.DUMMYFUNCTION("""COMPUTED_VALUE"""),"Demon")</f>
        <v>Demon</v>
      </c>
      <c r="R35" s="118">
        <f>IFERROR(__xludf.DUMMYFUNCTION("IF(ISBLANK($Q35),"""",IFNA(QUERY(Cards!$A:$I,""select count(A) where (C="" &amp; $A$4 &amp; "" AND D LIKE '%"" &amp; $Q35 &amp; ""%' AND I='"" &amp; R$20 &amp; ""') label Count(A) ''""),0))"),9.0)</f>
        <v>9</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''""),0)"),9.0)</f>
        <v>9</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17</v>
      </c>
      <c r="G36" s="173">
        <f t="shared" si="5"/>
        <v>0.07906976744</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2288</v>
      </c>
      <c r="B1" s="194" t="s">
        <v>2289</v>
      </c>
      <c r="C1" s="194" t="s">
        <v>2290</v>
      </c>
      <c r="D1" s="195" t="s">
        <v>2291</v>
      </c>
      <c r="E1" s="195" t="s">
        <v>2290</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2292</v>
      </c>
      <c r="E3" s="20">
        <v>29.0</v>
      </c>
    </row>
    <row r="4">
      <c r="A4" s="196"/>
      <c r="B4" s="197" t="str">
        <f>IFERROR(__xludf.DUMMYFUNCTION("""COMPUTED_VALUE"""),"Alabaster")</f>
        <v>Alabaster</v>
      </c>
      <c r="C4" s="197">
        <f t="shared" si="1"/>
        <v>1</v>
      </c>
      <c r="D4" s="20" t="s">
        <v>2293</v>
      </c>
      <c r="E4" s="20">
        <v>29.0</v>
      </c>
    </row>
    <row r="5">
      <c r="A5" s="196"/>
      <c r="B5" s="197" t="str">
        <f>IFERROR(__xludf.DUMMYFUNCTION("""COMPUTED_VALUE"""),"Exarch")</f>
        <v>Exarch</v>
      </c>
      <c r="C5" s="197">
        <f t="shared" si="1"/>
        <v>1</v>
      </c>
      <c r="D5" s="20" t="s">
        <v>697</v>
      </c>
      <c r="E5" s="20">
        <v>7.0</v>
      </c>
    </row>
    <row r="6">
      <c r="A6" s="196"/>
      <c r="B6" s="197" t="str">
        <f>IFERROR(__xludf.DUMMYFUNCTION("""COMPUTED_VALUE"""),"Ascendant")</f>
        <v>Ascendant</v>
      </c>
      <c r="C6" s="197">
        <f t="shared" si="1"/>
        <v>1</v>
      </c>
      <c r="D6" s="20" t="s">
        <v>433</v>
      </c>
      <c r="E6" s="20">
        <v>6.0</v>
      </c>
    </row>
    <row r="7">
      <c r="A7" s="196" t="str">
        <f>IFERROR(__xludf.DUMMYFUNCTION("""COMPUTED_VALUE"""),"Alabaster")</f>
        <v>Alabaster</v>
      </c>
      <c r="B7" s="197" t="str">
        <f>IFERROR(__xludf.DUMMYFUNCTION("""COMPUTED_VALUE"""),"Faithweaver")</f>
        <v>Faithweaver</v>
      </c>
      <c r="C7" s="197">
        <f t="shared" si="1"/>
        <v>1</v>
      </c>
      <c r="D7" s="20" t="s">
        <v>2268</v>
      </c>
      <c r="E7" s="20">
        <v>5.0</v>
      </c>
    </row>
    <row r="8">
      <c r="A8" s="196" t="str">
        <f>IFERROR(__xludf.DUMMYFUNCTION("""COMPUTED_VALUE"""),"Exarch")</f>
        <v>Exarch</v>
      </c>
      <c r="B8" s="197" t="str">
        <f>IFERROR(__xludf.DUMMYFUNCTION("""COMPUTED_VALUE"""),"Avenging")</f>
        <v>Avenging</v>
      </c>
      <c r="C8" s="197">
        <f t="shared" si="1"/>
        <v>1</v>
      </c>
      <c r="D8" s="20" t="s">
        <v>2276</v>
      </c>
      <c r="E8" s="20">
        <v>5.0</v>
      </c>
    </row>
    <row r="9">
      <c r="A9" s="196"/>
      <c r="B9" s="197" t="str">
        <f>IFERROR(__xludf.DUMMYFUNCTION("""COMPUTED_VALUE"""),"Force")</f>
        <v>Force</v>
      </c>
      <c r="C9" s="197">
        <f t="shared" si="1"/>
        <v>1</v>
      </c>
      <c r="D9" s="20" t="s">
        <v>2294</v>
      </c>
      <c r="E9" s="20">
        <v>5.0</v>
      </c>
    </row>
    <row r="10">
      <c r="A10" s="196"/>
      <c r="B10" s="197" t="str">
        <f>IFERROR(__xludf.DUMMYFUNCTION("""COMPUTED_VALUE"""),"Baby")</f>
        <v>Baby</v>
      </c>
      <c r="C10" s="197">
        <f t="shared" si="1"/>
        <v>1</v>
      </c>
      <c r="D10" s="20" t="s">
        <v>2295</v>
      </c>
      <c r="E10" s="20">
        <v>4.0</v>
      </c>
    </row>
    <row r="11">
      <c r="A11" s="196"/>
      <c r="B11" s="197" t="str">
        <f>IFERROR(__xludf.DUMMYFUNCTION("""COMPUTED_VALUE"""),"Lamassu")</f>
        <v>Lamassu</v>
      </c>
      <c r="C11" s="197">
        <f t="shared" si="1"/>
        <v>1</v>
      </c>
      <c r="D11" s="20" t="s">
        <v>2296</v>
      </c>
      <c r="E11" s="20">
        <v>4.0</v>
      </c>
    </row>
    <row r="12">
      <c r="A12" s="196" t="str">
        <f>IFERROR(__xludf.DUMMYFUNCTION("""COMPUTED_VALUE"""),"Ascendant")</f>
        <v>Ascendant</v>
      </c>
      <c r="B12" s="197" t="str">
        <f>IFERROR(__xludf.DUMMYFUNCTION("""COMPUTED_VALUE"""),"Blackmarble")</f>
        <v>Blackmarble</v>
      </c>
      <c r="C12" s="197">
        <f t="shared" si="1"/>
        <v>1</v>
      </c>
      <c r="D12" s="20" t="s">
        <v>2266</v>
      </c>
      <c r="E12" s="20">
        <v>4.0</v>
      </c>
    </row>
    <row r="13">
      <c r="A13" s="196" t="str">
        <f>IFERROR(__xludf.DUMMYFUNCTION("""COMPUTED_VALUE"""),"Faithweaver")</f>
        <v>Faithweaver</v>
      </c>
      <c r="B13" s="197" t="str">
        <f>IFERROR(__xludf.DUMMYFUNCTION("""COMPUTED_VALUE"""),"Gargoyle")</f>
        <v>Gargoyle</v>
      </c>
      <c r="C13" s="197">
        <f t="shared" si="1"/>
        <v>1</v>
      </c>
      <c r="D13" s="20" t="s">
        <v>2297</v>
      </c>
      <c r="E13" s="20">
        <v>4.0</v>
      </c>
    </row>
    <row r="14">
      <c r="A14" s="196"/>
      <c r="B14" s="197" t="str">
        <f>IFERROR(__xludf.DUMMYFUNCTION("""COMPUTED_VALUE"""),"Chronosand")</f>
        <v>Chronosand</v>
      </c>
      <c r="C14" s="197">
        <f t="shared" si="1"/>
        <v>1</v>
      </c>
      <c r="D14" s="20" t="s">
        <v>2273</v>
      </c>
      <c r="E14" s="20">
        <v>4.0</v>
      </c>
    </row>
    <row r="15">
      <c r="A15" s="196"/>
      <c r="B15" s="197" t="str">
        <f>IFERROR(__xludf.DUMMYFUNCTION("""COMPUTED_VALUE"""),"Sphinx")</f>
        <v>Sphinx</v>
      </c>
      <c r="C15" s="197">
        <f t="shared" si="1"/>
        <v>2</v>
      </c>
      <c r="D15" s="20" t="s">
        <v>2272</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2298</v>
      </c>
      <c r="E17" s="20">
        <v>3.0</v>
      </c>
    </row>
    <row r="18">
      <c r="A18" s="196" t="str">
        <f>IFERROR(__xludf.DUMMYFUNCTION("""COMPUTED_VALUE"""),"Force")</f>
        <v>Force</v>
      </c>
      <c r="B18" s="197" t="str">
        <f>IFERROR(__xludf.DUMMYFUNCTION("""COMPUTED_VALUE"""),"the")</f>
        <v>the</v>
      </c>
      <c r="C18" s="197">
        <f t="shared" si="1"/>
        <v>29</v>
      </c>
      <c r="D18" s="20" t="s">
        <v>2299</v>
      </c>
      <c r="E18" s="20">
        <v>3.0</v>
      </c>
    </row>
    <row r="19">
      <c r="A19" s="196"/>
      <c r="B19" s="197" t="str">
        <f>IFERROR(__xludf.DUMMYFUNCTION("""COMPUTED_VALUE"""),"Desert")</f>
        <v>Desert</v>
      </c>
      <c r="C19" s="197">
        <f t="shared" si="1"/>
        <v>2</v>
      </c>
      <c r="D19" s="20" t="s">
        <v>2300</v>
      </c>
      <c r="E19" s="20">
        <v>3.0</v>
      </c>
    </row>
    <row r="20">
      <c r="A20" s="196"/>
      <c r="B20" s="197" t="str">
        <f>IFERROR(__xludf.DUMMYFUNCTION("""COMPUTED_VALUE"""),"Winds")</f>
        <v>Winds</v>
      </c>
      <c r="C20" s="197">
        <f t="shared" si="1"/>
        <v>1</v>
      </c>
      <c r="D20" s="20" t="s">
        <v>2301</v>
      </c>
      <c r="E20" s="20">
        <v>3.0</v>
      </c>
    </row>
    <row r="21">
      <c r="A21" s="196"/>
      <c r="B21" s="197" t="str">
        <f>IFERROR(__xludf.DUMMYFUNCTION("""COMPUTED_VALUE"""),"Cryptosphinx")</f>
        <v>Cryptosphinx</v>
      </c>
      <c r="C21" s="197">
        <f t="shared" si="1"/>
        <v>1</v>
      </c>
      <c r="D21" s="20" t="s">
        <v>2302</v>
      </c>
      <c r="E21" s="20">
        <v>3.0</v>
      </c>
    </row>
    <row r="22">
      <c r="A22" s="196" t="str">
        <f>IFERROR(__xludf.DUMMYFUNCTION("""COMPUTED_VALUE"""),"Baby")</f>
        <v>Baby</v>
      </c>
      <c r="B22" s="197" t="str">
        <f>IFERROR(__xludf.DUMMYFUNCTION("""COMPUTED_VALUE"""),"Damaged")</f>
        <v>Damaged</v>
      </c>
      <c r="C22" s="197">
        <f t="shared" si="1"/>
        <v>1</v>
      </c>
      <c r="D22" s="20" t="s">
        <v>2303</v>
      </c>
      <c r="E22" s="20">
        <v>3.0</v>
      </c>
    </row>
    <row r="23">
      <c r="A23" s="196" t="str">
        <f>IFERROR(__xludf.DUMMYFUNCTION("""COMPUTED_VALUE"""),"Lamassu")</f>
        <v>Lamassu</v>
      </c>
      <c r="B23" s="197" t="str">
        <f>IFERROR(__xludf.DUMMYFUNCTION("""COMPUTED_VALUE"""),"Automaton")</f>
        <v>Automaton</v>
      </c>
      <c r="C23" s="197">
        <f t="shared" si="1"/>
        <v>2</v>
      </c>
      <c r="D23" s="20" t="s">
        <v>2304</v>
      </c>
      <c r="E23" s="20">
        <v>3.0</v>
      </c>
    </row>
    <row r="24">
      <c r="A24" s="196"/>
      <c r="B24" s="197" t="str">
        <f>IFERROR(__xludf.DUMMYFUNCTION("""COMPUTED_VALUE"""),"Diviner")</f>
        <v>Diviner</v>
      </c>
      <c r="C24" s="197">
        <f t="shared" si="1"/>
        <v>2</v>
      </c>
      <c r="D24" s="20" t="s">
        <v>2275</v>
      </c>
      <c r="E24" s="20">
        <v>3.0</v>
      </c>
    </row>
    <row r="25">
      <c r="A25" s="196"/>
      <c r="B25" s="197" t="str">
        <f>IFERROR(__xludf.DUMMYFUNCTION("""COMPUTED_VALUE"""),"Fates")</f>
        <v>Fates</v>
      </c>
      <c r="C25" s="197">
        <f t="shared" si="1"/>
        <v>1</v>
      </c>
      <c r="D25" s="20" t="s">
        <v>2305</v>
      </c>
      <c r="E25" s="20">
        <v>3.0</v>
      </c>
    </row>
    <row r="26">
      <c r="A26" s="196"/>
      <c r="B26" s="197" t="str">
        <f>IFERROR(__xludf.DUMMYFUNCTION("""COMPUTED_VALUE"""),"Doma")</f>
        <v>Doma</v>
      </c>
      <c r="C26" s="197">
        <f t="shared" si="1"/>
        <v>1</v>
      </c>
      <c r="D26" s="20" t="s">
        <v>2306</v>
      </c>
      <c r="E26" s="20">
        <v>3.0</v>
      </c>
    </row>
    <row r="27">
      <c r="A27" s="196" t="str">
        <f>IFERROR(__xludf.DUMMYFUNCTION("""COMPUTED_VALUE"""),"Blackmarble")</f>
        <v>Blackmarble</v>
      </c>
      <c r="B27" s="197" t="str">
        <f>IFERROR(__xludf.DUMMYFUNCTION("""COMPUTED_VALUE"""),"Angel")</f>
        <v>Angel</v>
      </c>
      <c r="C27" s="197">
        <f t="shared" si="1"/>
        <v>3</v>
      </c>
      <c r="D27" s="20" t="s">
        <v>2307</v>
      </c>
      <c r="E27" s="20">
        <v>3.0</v>
      </c>
    </row>
    <row r="28">
      <c r="A28" s="196" t="str">
        <f>IFERROR(__xludf.DUMMYFUNCTION("""COMPUTED_VALUE"""),"Gargoyle")</f>
        <v>Gargoyle</v>
      </c>
      <c r="B28" s="197" t="str">
        <f>IFERROR(__xludf.DUMMYFUNCTION("""COMPUTED_VALUE"""),"Dove")</f>
        <v>Dove</v>
      </c>
      <c r="C28" s="197">
        <f t="shared" si="1"/>
        <v>1</v>
      </c>
      <c r="D28" s="20" t="s">
        <v>2308</v>
      </c>
      <c r="E28" s="20">
        <v>3.0</v>
      </c>
    </row>
    <row r="29">
      <c r="A29" s="196"/>
      <c r="B29" s="197" t="str">
        <f>IFERROR(__xludf.DUMMYFUNCTION("""COMPUTED_VALUE"""),"Serenity")</f>
        <v>Serenity</v>
      </c>
      <c r="C29" s="197">
        <f t="shared" si="1"/>
        <v>1</v>
      </c>
      <c r="D29" s="20" t="s">
        <v>2309</v>
      </c>
      <c r="E29" s="20">
        <v>3.0</v>
      </c>
    </row>
    <row r="30">
      <c r="A30" s="196"/>
      <c r="B30" s="197" t="str">
        <f>IFERROR(__xludf.DUMMYFUNCTION("""COMPUTED_VALUE"""),"Dream")</f>
        <v>Dream</v>
      </c>
      <c r="C30" s="197">
        <f t="shared" si="1"/>
        <v>1</v>
      </c>
      <c r="D30" s="20" t="s">
        <v>2310</v>
      </c>
      <c r="E30" s="20">
        <v>2.0</v>
      </c>
    </row>
    <row r="31">
      <c r="A31" s="196"/>
      <c r="B31" s="197" t="str">
        <f>IFERROR(__xludf.DUMMYFUNCTION("""COMPUTED_VALUE"""),"Traveler")</f>
        <v>Traveler</v>
      </c>
      <c r="C31" s="197">
        <f t="shared" si="1"/>
        <v>1</v>
      </c>
      <c r="D31" s="20" t="s">
        <v>2311</v>
      </c>
      <c r="E31" s="20">
        <v>2.0</v>
      </c>
    </row>
    <row r="32">
      <c r="A32" s="196" t="str">
        <f>IFERROR(__xludf.DUMMYFUNCTION("""COMPUTED_VALUE"""),"Chronosand")</f>
        <v>Chronosand</v>
      </c>
      <c r="B32" s="197" t="str">
        <f>IFERROR(__xludf.DUMMYFUNCTION("""COMPUTED_VALUE"""),"Embalmed")</f>
        <v>Embalmed</v>
      </c>
      <c r="C32" s="197">
        <f t="shared" si="1"/>
        <v>1</v>
      </c>
      <c r="D32" s="20" t="s">
        <v>2312</v>
      </c>
      <c r="E32" s="20">
        <v>2.0</v>
      </c>
    </row>
    <row r="33">
      <c r="A33" s="196" t="str">
        <f>IFERROR(__xludf.DUMMYFUNCTION("""COMPUTED_VALUE"""),"Sphinx")</f>
        <v>Sphinx</v>
      </c>
      <c r="B33" s="197" t="str">
        <f>IFERROR(__xludf.DUMMYFUNCTION("""COMPUTED_VALUE"""),"Apophis")</f>
        <v>Apophis</v>
      </c>
      <c r="C33" s="197">
        <f t="shared" si="1"/>
        <v>1</v>
      </c>
      <c r="D33" s="20" t="s">
        <v>2313</v>
      </c>
      <c r="E33" s="20">
        <v>2.0</v>
      </c>
    </row>
    <row r="34">
      <c r="A34" s="196"/>
      <c r="B34" s="197" t="str">
        <f>IFERROR(__xludf.DUMMYFUNCTION("""COMPUTED_VALUE"""),"Feline")</f>
        <v>Feline</v>
      </c>
      <c r="C34" s="197">
        <f t="shared" si="1"/>
        <v>1</v>
      </c>
      <c r="D34" s="20" t="s">
        <v>2314</v>
      </c>
      <c r="E34" s="20">
        <v>2.0</v>
      </c>
    </row>
    <row r="35">
      <c r="A35" s="196"/>
      <c r="B35" s="197" t="str">
        <f>IFERROR(__xludf.DUMMYFUNCTION("""COMPUTED_VALUE"""),"Ushabti")</f>
        <v>Ushabti</v>
      </c>
      <c r="C35" s="197">
        <f t="shared" si="1"/>
        <v>4</v>
      </c>
      <c r="D35" s="20" t="s">
        <v>2315</v>
      </c>
      <c r="E35" s="20">
        <v>2.0</v>
      </c>
    </row>
    <row r="36">
      <c r="A36" s="196"/>
      <c r="B36" s="197" t="str">
        <f>IFERROR(__xludf.DUMMYFUNCTION("""COMPUTED_VALUE"""),"Guardian")</f>
        <v>Guardian</v>
      </c>
      <c r="C36" s="197">
        <f t="shared" si="1"/>
        <v>4</v>
      </c>
      <c r="D36" s="20" t="s">
        <v>2316</v>
      </c>
      <c r="E36" s="20">
        <v>2.0</v>
      </c>
    </row>
    <row r="37">
      <c r="A37" s="196" t="str">
        <f>IFERROR(__xludf.DUMMYFUNCTION("""COMPUTED_VALUE"""),"Crusader")</f>
        <v>Crusader</v>
      </c>
      <c r="B37" s="197" t="str">
        <f>IFERROR(__xludf.DUMMYFUNCTION("""COMPUTED_VALUE"""),"Gates")</f>
        <v>Gates</v>
      </c>
      <c r="C37" s="197">
        <f t="shared" si="1"/>
        <v>1</v>
      </c>
      <c r="D37" s="20" t="s">
        <v>2317</v>
      </c>
      <c r="E37" s="20">
        <v>2.0</v>
      </c>
    </row>
    <row r="38">
      <c r="A38" s="196" t="str">
        <f>IFERROR(__xludf.DUMMYFUNCTION("""COMPUTED_VALUE"""),"of")</f>
        <v>of</v>
      </c>
      <c r="B38" s="197" t="str">
        <f>IFERROR(__xludf.DUMMYFUNCTION("""COMPUTED_VALUE"""),"Hallowed")</f>
        <v>Hallowed</v>
      </c>
      <c r="C38" s="197">
        <f t="shared" si="1"/>
        <v>1</v>
      </c>
      <c r="D38" s="20" t="s">
        <v>2318</v>
      </c>
      <c r="E38" s="20">
        <v>2.0</v>
      </c>
    </row>
    <row r="39">
      <c r="A39" s="196" t="str">
        <f>IFERROR(__xludf.DUMMYFUNCTION("""COMPUTED_VALUE"""),"the")</f>
        <v>the</v>
      </c>
      <c r="B39" s="197" t="str">
        <f>IFERROR(__xludf.DUMMYFUNCTION("""COMPUTED_VALUE"""),"Exorcist")</f>
        <v>Exorcist</v>
      </c>
      <c r="C39" s="197">
        <f t="shared" si="1"/>
        <v>1</v>
      </c>
      <c r="D39" s="20" t="s">
        <v>2051</v>
      </c>
      <c r="E39" s="20">
        <v>2.0</v>
      </c>
    </row>
    <row r="40">
      <c r="A40" s="196" t="str">
        <f>IFERROR(__xludf.DUMMYFUNCTION("""COMPUTED_VALUE"""),"Desert")</f>
        <v>Desert</v>
      </c>
      <c r="B40" s="197" t="str">
        <f>IFERROR(__xludf.DUMMYFUNCTION("""COMPUTED_VALUE"""),"Harmonic")</f>
        <v>Harmonic</v>
      </c>
      <c r="C40" s="197">
        <f t="shared" si="1"/>
        <v>1</v>
      </c>
      <c r="D40" s="20" t="s">
        <v>2319</v>
      </c>
      <c r="E40" s="20">
        <v>2.0</v>
      </c>
    </row>
    <row r="41">
      <c r="A41" s="196" t="str">
        <f>IFERROR(__xludf.DUMMYFUNCTION("""COMPUTED_VALUE"""),"Winds")</f>
        <v>Winds</v>
      </c>
      <c r="B41" s="197" t="str">
        <f>IFERROR(__xludf.DUMMYFUNCTION("""COMPUTED_VALUE"""),"Echo")</f>
        <v>Echo</v>
      </c>
      <c r="C41" s="197">
        <f t="shared" si="1"/>
        <v>2</v>
      </c>
      <c r="D41" s="20" t="s">
        <v>2320</v>
      </c>
      <c r="E41" s="20">
        <v>2.0</v>
      </c>
    </row>
    <row r="42">
      <c r="A42" s="196" t="str">
        <f>IFERROR(__xludf.DUMMYFUNCTION("""COMPUTED_VALUE"""),"Cryptosphinx")</f>
        <v>Cryptosphinx</v>
      </c>
      <c r="B42" s="197" t="str">
        <f>IFERROR(__xludf.DUMMYFUNCTION("""COMPUTED_VALUE"""),"Ibis")</f>
        <v>Ibis</v>
      </c>
      <c r="C42" s="197">
        <f t="shared" si="1"/>
        <v>1</v>
      </c>
      <c r="D42" s="20" t="s">
        <v>2321</v>
      </c>
      <c r="E42" s="20">
        <v>2.0</v>
      </c>
    </row>
    <row r="43">
      <c r="A43" s="196"/>
      <c r="B43" s="197" t="str">
        <f>IFERROR(__xludf.DUMMYFUNCTION("""COMPUTED_VALUE"""),"Herald")</f>
        <v>Herald</v>
      </c>
      <c r="C43" s="197">
        <f t="shared" si="1"/>
        <v>1</v>
      </c>
      <c r="D43" s="20" t="s">
        <v>2322</v>
      </c>
      <c r="E43" s="20">
        <v>2.0</v>
      </c>
    </row>
    <row r="44">
      <c r="A44" s="196"/>
      <c r="B44" s="197" t="str">
        <f>IFERROR(__xludf.DUMMYFUNCTION("""COMPUTED_VALUE"""),"Eternal")</f>
        <v>Eternal</v>
      </c>
      <c r="C44" s="197">
        <f t="shared" si="1"/>
        <v>1</v>
      </c>
      <c r="D44" s="20" t="s">
        <v>2323</v>
      </c>
      <c r="E44" s="20">
        <v>2.0</v>
      </c>
    </row>
    <row r="45">
      <c r="A45" s="196"/>
      <c r="B45" s="197" t="str">
        <f>IFERROR(__xludf.DUMMYFUNCTION("""COMPUTED_VALUE"""),"Grace")</f>
        <v>Grace</v>
      </c>
      <c r="C45" s="197">
        <f t="shared" si="1"/>
        <v>1</v>
      </c>
      <c r="D45" s="20" t="s">
        <v>2324</v>
      </c>
      <c r="E45" s="20">
        <v>2.0</v>
      </c>
    </row>
    <row r="46">
      <c r="A46" s="196"/>
      <c r="B46" s="197" t="str">
        <f>IFERROR(__xludf.DUMMYFUNCTION("""COMPUTED_VALUE"""),"Maze")</f>
        <v>Maze</v>
      </c>
      <c r="C46" s="197">
        <f t="shared" si="1"/>
        <v>1</v>
      </c>
      <c r="D46" s="20" t="s">
        <v>2325</v>
      </c>
      <c r="E46" s="20">
        <v>2.0</v>
      </c>
    </row>
    <row r="47">
      <c r="A47" s="196" t="str">
        <f>IFERROR(__xludf.DUMMYFUNCTION("""COMPUTED_VALUE"""),"Damaged")</f>
        <v>Damaged</v>
      </c>
      <c r="B47" s="197" t="str">
        <f>IFERROR(__xludf.DUMMYFUNCTION("""COMPUTED_VALUE"""),"Master")</f>
        <v>Master</v>
      </c>
      <c r="C47" s="197">
        <f t="shared" si="1"/>
        <v>3</v>
      </c>
      <c r="D47" s="20" t="s">
        <v>2326</v>
      </c>
      <c r="E47" s="20">
        <v>2.0</v>
      </c>
    </row>
    <row r="48">
      <c r="A48" s="196" t="str">
        <f>IFERROR(__xludf.DUMMYFUNCTION("""COMPUTED_VALUE"""),"Automaton")</f>
        <v>Automaton</v>
      </c>
      <c r="B48" s="197" t="str">
        <f>IFERROR(__xludf.DUMMYFUNCTION("""COMPUTED_VALUE"""),"Ivoryscar")</f>
        <v>Ivoryscar</v>
      </c>
      <c r="C48" s="197">
        <f t="shared" si="1"/>
        <v>4</v>
      </c>
      <c r="D48" s="20" t="s">
        <v>2327</v>
      </c>
      <c r="E48" s="20">
        <v>2.0</v>
      </c>
    </row>
    <row r="49">
      <c r="A49" s="196"/>
      <c r="B49" s="197" t="str">
        <f>IFERROR(__xludf.DUMMYFUNCTION("""COMPUTED_VALUE"""),"Cursewing")</f>
        <v>Cursewing</v>
      </c>
      <c r="C49" s="197">
        <f t="shared" si="1"/>
        <v>1</v>
      </c>
      <c r="D49" s="20" t="s">
        <v>2328</v>
      </c>
      <c r="E49" s="20">
        <v>2.0</v>
      </c>
    </row>
    <row r="50">
      <c r="A50" s="196"/>
      <c r="B50" s="197" t="str">
        <f>IFERROR(__xludf.DUMMYFUNCTION("""COMPUTED_VALUE"""),"Magistrate")</f>
        <v>Magistrate</v>
      </c>
      <c r="C50" s="197">
        <f t="shared" si="1"/>
        <v>1</v>
      </c>
      <c r="D50" s="20" t="s">
        <v>2329</v>
      </c>
      <c r="E50" s="20">
        <v>2.0</v>
      </c>
    </row>
    <row r="51">
      <c r="A51" s="196"/>
      <c r="B51" s="197" t="str">
        <f>IFERROR(__xludf.DUMMYFUNCTION("""COMPUTED_VALUE"""),"Kylix")</f>
        <v>Kylix</v>
      </c>
      <c r="C51" s="197">
        <f t="shared" si="1"/>
        <v>1</v>
      </c>
      <c r="D51" s="20" t="s">
        <v>2330</v>
      </c>
      <c r="E51" s="20">
        <v>2.0</v>
      </c>
    </row>
    <row r="52">
      <c r="A52" s="196" t="str">
        <f>IFERROR(__xludf.DUMMYFUNCTION("""COMPUTED_VALUE"""),"Diviner")</f>
        <v>Diviner</v>
      </c>
      <c r="B52" s="197" t="str">
        <f>IFERROR(__xludf.DUMMYFUNCTION("""COMPUTED_VALUE"""),"Excess")</f>
        <v>Excess</v>
      </c>
      <c r="C52" s="197">
        <f t="shared" si="1"/>
        <v>1</v>
      </c>
      <c r="D52" s="20" t="s">
        <v>2331</v>
      </c>
      <c r="E52" s="20">
        <v>2.0</v>
      </c>
    </row>
    <row r="53">
      <c r="A53" s="196" t="str">
        <f>IFERROR(__xludf.DUMMYFUNCTION("""COMPUTED_VALUE"""),"of")</f>
        <v>of</v>
      </c>
      <c r="B53" s="197" t="str">
        <f>IFERROR(__xludf.DUMMYFUNCTION("""COMPUTED_VALUE"""),"Mystic")</f>
        <v>Mystic</v>
      </c>
      <c r="C53" s="197">
        <f t="shared" si="1"/>
        <v>1</v>
      </c>
      <c r="D53" s="20" t="s">
        <v>2332</v>
      </c>
      <c r="E53" s="20">
        <v>2.0</v>
      </c>
    </row>
    <row r="54">
      <c r="A54" s="196" t="str">
        <f>IFERROR(__xludf.DUMMYFUNCTION("""COMPUTED_VALUE"""),"Fates")</f>
        <v>Fates</v>
      </c>
      <c r="B54" s="197" t="str">
        <f>IFERROR(__xludf.DUMMYFUNCTION("""COMPUTED_VALUE"""),"Puzzle")</f>
        <v>Puzzle</v>
      </c>
      <c r="C54" s="197">
        <f t="shared" si="1"/>
        <v>1</v>
      </c>
      <c r="D54" s="20" t="s">
        <v>2333</v>
      </c>
      <c r="E54" s="20">
        <v>2.0</v>
      </c>
    </row>
    <row r="55">
      <c r="A55" s="196"/>
      <c r="B55" s="197" t="str">
        <f>IFERROR(__xludf.DUMMYFUNCTION("""COMPUTED_VALUE"""),"Box")</f>
        <v>Box</v>
      </c>
      <c r="C55" s="197">
        <f t="shared" si="1"/>
        <v>1</v>
      </c>
      <c r="D55" s="20" t="s">
        <v>2334</v>
      </c>
      <c r="E55" s="20">
        <v>2.0</v>
      </c>
    </row>
    <row r="56">
      <c r="A56" s="196"/>
      <c r="B56" s="197" t="str">
        <f>IFERROR(__xludf.DUMMYFUNCTION("""COMPUTED_VALUE"""),"Monolith")</f>
        <v>Monolith</v>
      </c>
      <c r="C56" s="197">
        <f t="shared" si="1"/>
        <v>1</v>
      </c>
      <c r="D56" s="20" t="s">
        <v>2335</v>
      </c>
      <c r="E56" s="20">
        <v>2.0</v>
      </c>
    </row>
    <row r="57">
      <c r="A57" s="196" t="str">
        <f>IFERROR(__xludf.DUMMYFUNCTION("""COMPUTED_VALUE"""),"Doma")</f>
        <v>Doma</v>
      </c>
      <c r="B57" s="197" t="str">
        <f>IFERROR(__xludf.DUMMYFUNCTION("""COMPUTED_VALUE"""),"Meditation")</f>
        <v>Meditation</v>
      </c>
      <c r="C57" s="197">
        <f t="shared" si="1"/>
        <v>1</v>
      </c>
      <c r="D57" s="20" t="s">
        <v>2270</v>
      </c>
      <c r="E57" s="20">
        <v>2.0</v>
      </c>
    </row>
    <row r="58">
      <c r="A58" s="196" t="str">
        <f>IFERROR(__xludf.DUMMYFUNCTION("""COMPUTED_VALUE"""),"Angel")</f>
        <v>Angel</v>
      </c>
      <c r="B58" s="197" t="str">
        <f>IFERROR(__xludf.DUMMYFUNCTION("""COMPUTED_VALUE"""),"Oasis")</f>
        <v>Oasis</v>
      </c>
      <c r="C58" s="197">
        <f t="shared" si="1"/>
        <v>1</v>
      </c>
      <c r="D58" s="20" t="s">
        <v>2336</v>
      </c>
      <c r="E58" s="20">
        <v>2.0</v>
      </c>
    </row>
    <row r="59">
      <c r="A59" s="196"/>
      <c r="B59" s="197" t="str">
        <f>IFERROR(__xludf.DUMMYFUNCTION("""COMPUTED_VALUE"""),"Sprite")</f>
        <v>Sprite</v>
      </c>
      <c r="C59" s="197">
        <f t="shared" si="1"/>
        <v>4</v>
      </c>
      <c r="D59" s="20" t="s">
        <v>2337</v>
      </c>
      <c r="E59" s="20">
        <v>2.0</v>
      </c>
    </row>
    <row r="60">
      <c r="A60" s="196"/>
      <c r="B60" s="197" t="str">
        <f>IFERROR(__xludf.DUMMYFUNCTION("""COMPUTED_VALUE"""),"Pharaoh's")</f>
        <v>Pharaoh's</v>
      </c>
      <c r="C60" s="197">
        <f t="shared" si="1"/>
        <v>1</v>
      </c>
      <c r="D60" s="20" t="s">
        <v>2338</v>
      </c>
      <c r="E60" s="20">
        <v>2.0</v>
      </c>
    </row>
    <row r="61">
      <c r="A61" s="196"/>
      <c r="B61" s="197" t="str">
        <f>IFERROR(__xludf.DUMMYFUNCTION("""COMPUTED_VALUE"""),"Bodyguard")</f>
        <v>Bodyguard</v>
      </c>
      <c r="C61" s="197">
        <f t="shared" si="1"/>
        <v>1</v>
      </c>
      <c r="D61" s="20" t="s">
        <v>2339</v>
      </c>
      <c r="E61" s="20">
        <v>2.0</v>
      </c>
    </row>
    <row r="62">
      <c r="A62" s="196" t="str">
        <f>IFERROR(__xludf.DUMMYFUNCTION("""COMPUTED_VALUE"""),"Dove")</f>
        <v>Dove</v>
      </c>
      <c r="B62" s="197" t="str">
        <f>IFERROR(__xludf.DUMMYFUNCTION("""COMPUTED_VALUE"""),"Scripture")</f>
        <v>Scripture</v>
      </c>
      <c r="C62" s="197">
        <f t="shared" si="1"/>
        <v>1</v>
      </c>
      <c r="D62" s="20" t="s">
        <v>2340</v>
      </c>
      <c r="E62" s="20">
        <v>2.0</v>
      </c>
    </row>
    <row r="63">
      <c r="A63" s="196" t="str">
        <f>IFERROR(__xludf.DUMMYFUNCTION("""COMPUTED_VALUE"""),"of")</f>
        <v>of</v>
      </c>
      <c r="B63" s="197" t="str">
        <f>IFERROR(__xludf.DUMMYFUNCTION("""COMPUTED_VALUE"""),"Monkey")</f>
        <v>Monkey</v>
      </c>
      <c r="C63" s="197">
        <f t="shared" si="1"/>
        <v>1</v>
      </c>
      <c r="D63" s="20" t="s">
        <v>2274</v>
      </c>
      <c r="E63" s="20">
        <v>2.0</v>
      </c>
    </row>
    <row r="64">
      <c r="A64" s="196" t="str">
        <f>IFERROR(__xludf.DUMMYFUNCTION("""COMPUTED_VALUE"""),"Serenity")</f>
        <v>Serenity</v>
      </c>
      <c r="B64" s="197" t="str">
        <f>IFERROR(__xludf.DUMMYFUNCTION("""COMPUTED_VALUE"""),"Pyramidion")</f>
        <v>Pyramidion</v>
      </c>
      <c r="C64" s="197">
        <f t="shared" si="1"/>
        <v>1</v>
      </c>
      <c r="D64" s="20" t="s">
        <v>2341</v>
      </c>
      <c r="E64" s="20">
        <v>2.0</v>
      </c>
    </row>
    <row r="65">
      <c r="A65" s="196"/>
      <c r="B65" s="197" t="str">
        <f>IFERROR(__xludf.DUMMYFUNCTION("""COMPUTED_VALUE"""),"Sekhem")</f>
        <v>Sekhem</v>
      </c>
      <c r="C65" s="197">
        <f t="shared" si="1"/>
        <v>1</v>
      </c>
      <c r="D65" s="20" t="s">
        <v>2342</v>
      </c>
      <c r="E65" s="20">
        <v>2.0</v>
      </c>
    </row>
    <row r="66">
      <c r="A66" s="196"/>
      <c r="B66" s="197" t="str">
        <f>IFERROR(__xludf.DUMMYFUNCTION("""COMPUTED_VALUE"""),"Chariot")</f>
        <v>Chariot</v>
      </c>
      <c r="C66" s="197">
        <f t="shared" si="1"/>
        <v>1</v>
      </c>
      <c r="D66" s="20" t="s">
        <v>2343</v>
      </c>
      <c r="E66" s="20">
        <v>2.0</v>
      </c>
    </row>
    <row r="67">
      <c r="A67" s="196" t="str">
        <f>IFERROR(__xludf.DUMMYFUNCTION("""COMPUTED_VALUE"""),"Dream")</f>
        <v>Dream</v>
      </c>
      <c r="B67" s="197" t="str">
        <f>IFERROR(__xludf.DUMMYFUNCTION("""COMPUTED_VALUE"""),"Obsidian")</f>
        <v>Obsidian</v>
      </c>
      <c r="C67" s="197">
        <f t="shared" si="1"/>
        <v>1</v>
      </c>
      <c r="D67" s="20" t="s">
        <v>2344</v>
      </c>
      <c r="E67" s="20">
        <v>2.0</v>
      </c>
    </row>
    <row r="68">
      <c r="A68" s="196" t="str">
        <f>IFERROR(__xludf.DUMMYFUNCTION("""COMPUTED_VALUE"""),"Traveler")</f>
        <v>Traveler</v>
      </c>
      <c r="B68" s="197" t="str">
        <f>IFERROR(__xludf.DUMMYFUNCTION("""COMPUTED_VALUE"""),"Scarab")</f>
        <v>Scarab</v>
      </c>
      <c r="C68" s="197">
        <f t="shared" si="1"/>
        <v>2</v>
      </c>
      <c r="D68" s="20" t="s">
        <v>2345</v>
      </c>
      <c r="E68" s="20">
        <v>2.0</v>
      </c>
    </row>
    <row r="69">
      <c r="A69" s="196"/>
      <c r="B69" s="197" t="str">
        <f>IFERROR(__xludf.DUMMYFUNCTION("""COMPUTED_VALUE"""),"Solarsteel")</f>
        <v>Solarsteel</v>
      </c>
      <c r="C69" s="197">
        <f t="shared" si="1"/>
        <v>1</v>
      </c>
      <c r="D69" s="20" t="s">
        <v>2346</v>
      </c>
      <c r="E69" s="20">
        <v>2.0</v>
      </c>
    </row>
    <row r="70">
      <c r="A70" s="196"/>
      <c r="B70" s="197" t="str">
        <f>IFERROR(__xludf.DUMMYFUNCTION("""COMPUTED_VALUE"""),"Prodigy")</f>
        <v>Prodigy</v>
      </c>
      <c r="C70" s="197">
        <f t="shared" si="1"/>
        <v>1</v>
      </c>
      <c r="D70" s="20" t="s">
        <v>2347</v>
      </c>
      <c r="E70" s="20">
        <v>2.0</v>
      </c>
    </row>
    <row r="71">
      <c r="A71" s="196"/>
      <c r="B71" s="197" t="str">
        <f>IFERROR(__xludf.DUMMYFUNCTION("""COMPUTED_VALUE"""),"Starforger")</f>
        <v>Starforger</v>
      </c>
      <c r="C71" s="197">
        <f t="shared" si="1"/>
        <v>1</v>
      </c>
      <c r="D71" s="20" t="s">
        <v>2348</v>
      </c>
      <c r="E71" s="20">
        <v>2.0</v>
      </c>
    </row>
    <row r="72">
      <c r="A72" s="196" t="str">
        <f>IFERROR(__xludf.DUMMYFUNCTION("""COMPUTED_VALUE"""),"Embalmed")</f>
        <v>Embalmed</v>
      </c>
      <c r="B72" s="197" t="str">
        <f>IFERROR(__xludf.DUMMYFUNCTION("""COMPUTED_VALUE"""),"Swiftblade")</f>
        <v>Swiftblade</v>
      </c>
      <c r="C72" s="197">
        <f t="shared" si="1"/>
        <v>1</v>
      </c>
      <c r="D72" s="20" t="s">
        <v>2349</v>
      </c>
      <c r="E72" s="20">
        <v>2.0</v>
      </c>
    </row>
    <row r="73">
      <c r="A73" s="196" t="str">
        <f>IFERROR(__xludf.DUMMYFUNCTION("""COMPUTED_VALUE"""),"Apophis")</f>
        <v>Apophis</v>
      </c>
      <c r="B73" s="197" t="str">
        <f>IFERROR(__xludf.DUMMYFUNCTION("""COMPUTED_VALUE"""),"Revenger")</f>
        <v>Revenger</v>
      </c>
      <c r="C73" s="197">
        <f t="shared" si="1"/>
        <v>1</v>
      </c>
      <c r="D73" s="20" t="s">
        <v>2350</v>
      </c>
      <c r="E73" s="20">
        <v>2.0</v>
      </c>
    </row>
    <row r="74">
      <c r="A74" s="196"/>
      <c r="B74" s="197" t="str">
        <f>IFERROR(__xludf.DUMMYFUNCTION("""COMPUTED_VALUE"""),"The")</f>
        <v>The</v>
      </c>
      <c r="C74" s="197">
        <f t="shared" si="1"/>
        <v>29</v>
      </c>
      <c r="D74" s="20" t="s">
        <v>2351</v>
      </c>
      <c r="E74" s="20">
        <v>2.0</v>
      </c>
    </row>
    <row r="75">
      <c r="A75" s="196"/>
      <c r="B75" s="197" t="str">
        <f>IFERROR(__xludf.DUMMYFUNCTION("""COMPUTED_VALUE"""),"Kitty")</f>
        <v>Kitty</v>
      </c>
      <c r="C75" s="197">
        <f t="shared" si="1"/>
        <v>1</v>
      </c>
      <c r="D75" s="20" t="s">
        <v>2352</v>
      </c>
      <c r="E75" s="20">
        <v>2.0</v>
      </c>
    </row>
    <row r="76">
      <c r="A76" s="196"/>
      <c r="B76" s="197" t="str">
        <f>IFERROR(__xludf.DUMMYFUNCTION("""COMPUTED_VALUE"""),"Thamiel")</f>
        <v>Thamiel</v>
      </c>
      <c r="C76" s="197">
        <f t="shared" si="1"/>
        <v>1</v>
      </c>
      <c r="D76" s="20" t="s">
        <v>2353</v>
      </c>
      <c r="E76" s="20">
        <v>2.0</v>
      </c>
    </row>
    <row r="77">
      <c r="A77" s="196" t="str">
        <f>IFERROR(__xludf.DUMMYFUNCTION("""COMPUTED_VALUE"""),"Feline")</f>
        <v>Feline</v>
      </c>
      <c r="B77" s="197" t="str">
        <f>IFERROR(__xludf.DUMMYFUNCTION("""COMPUTED_VALUE"""),"Thunderswarm")</f>
        <v>Thunderswarm</v>
      </c>
      <c r="C77" s="197">
        <f t="shared" si="1"/>
        <v>4</v>
      </c>
      <c r="D77" s="20" t="s">
        <v>2354</v>
      </c>
      <c r="E77" s="20">
        <v>2.0</v>
      </c>
    </row>
    <row r="78">
      <c r="A78" s="196" t="str">
        <f>IFERROR(__xludf.DUMMYFUNCTION("""COMPUTED_VALUE"""),"Ushabti")</f>
        <v>Ushabti</v>
      </c>
      <c r="B78" s="197" t="str">
        <f>IFERROR(__xludf.DUMMYFUNCTION("""COMPUTED_VALUE"""),"Skirmisher")</f>
        <v>Skirmisher</v>
      </c>
      <c r="C78" s="197">
        <f t="shared" si="1"/>
        <v>1</v>
      </c>
      <c r="D78" s="20" t="s">
        <v>2355</v>
      </c>
      <c r="E78" s="20">
        <v>2.0</v>
      </c>
    </row>
    <row r="79">
      <c r="A79" s="196"/>
      <c r="B79" s="197" t="str">
        <f>IFERROR(__xludf.DUMMYFUNCTION("""COMPUTED_VALUE"""),"Tranquil")</f>
        <v>Tranquil</v>
      </c>
      <c r="C79" s="197">
        <f t="shared" si="1"/>
        <v>3</v>
      </c>
      <c r="D79" s="20" t="s">
        <v>2356</v>
      </c>
      <c r="E79" s="20">
        <v>2.0</v>
      </c>
    </row>
    <row r="80">
      <c r="A80" s="196"/>
      <c r="B80" s="197" t="str">
        <f>IFERROR(__xludf.DUMMYFUNCTION("""COMPUTED_VALUE"""),"Herd")</f>
        <v>Herd</v>
      </c>
      <c r="C80" s="197">
        <f t="shared" si="1"/>
        <v>3</v>
      </c>
      <c r="D80" s="20" t="s">
        <v>2357</v>
      </c>
      <c r="E80" s="20">
        <v>2.0</v>
      </c>
    </row>
    <row r="81">
      <c r="A81" s="196"/>
      <c r="B81" s="197" t="str">
        <f>IFERROR(__xludf.DUMMYFUNCTION("""COMPUTED_VALUE"""),"Gem")</f>
        <v>Gem</v>
      </c>
      <c r="C81" s="197">
        <f t="shared" si="1"/>
        <v>2</v>
      </c>
      <c r="D81" s="20" t="s">
        <v>2358</v>
      </c>
      <c r="E81" s="20">
        <v>2.0</v>
      </c>
    </row>
    <row r="82">
      <c r="A82" s="196" t="str">
        <f>IFERROR(__xludf.DUMMYFUNCTION("""COMPUTED_VALUE"""),"Guardian")</f>
        <v>Guardian</v>
      </c>
      <c r="B82" s="197" t="str">
        <f>IFERROR(__xludf.DUMMYFUNCTION("""COMPUTED_VALUE"""),"Titan")</f>
        <v>Titan</v>
      </c>
      <c r="C82" s="197">
        <f t="shared" si="1"/>
        <v>2</v>
      </c>
      <c r="D82" s="20" t="s">
        <v>2359</v>
      </c>
      <c r="E82" s="20">
        <v>2.0</v>
      </c>
    </row>
    <row r="83">
      <c r="A83" s="196" t="str">
        <f>IFERROR(__xludf.DUMMYFUNCTION("""COMPUTED_VALUE"""),"of")</f>
        <v>of</v>
      </c>
      <c r="B83" s="197" t="str">
        <f>IFERROR(__xludf.DUMMYFUNCTION("""COMPUTED_VALUE"""),"Towering")</f>
        <v>Towering</v>
      </c>
      <c r="C83" s="197">
        <f t="shared" si="1"/>
        <v>1</v>
      </c>
      <c r="D83" s="20" t="s">
        <v>2360</v>
      </c>
      <c r="E83" s="20">
        <v>2.0</v>
      </c>
    </row>
    <row r="84">
      <c r="A84" s="196" t="str">
        <f>IFERROR(__xludf.DUMMYFUNCTION("""COMPUTED_VALUE"""),"the")</f>
        <v>the</v>
      </c>
      <c r="B84" s="197" t="str">
        <f>IFERROR(__xludf.DUMMYFUNCTION("""COMPUTED_VALUE"""),"Obelisk")</f>
        <v>Obelisk</v>
      </c>
      <c r="C84" s="197">
        <f t="shared" si="1"/>
        <v>2</v>
      </c>
      <c r="D84" s="20" t="s">
        <v>2361</v>
      </c>
      <c r="E84" s="20">
        <v>2.0</v>
      </c>
    </row>
    <row r="85">
      <c r="A85" s="196" t="str">
        <f>IFERROR(__xludf.DUMMYFUNCTION("""COMPUTED_VALUE"""),"Gates")</f>
        <v>Gates</v>
      </c>
      <c r="B85" s="197" t="str">
        <f>IFERROR(__xludf.DUMMYFUNCTION("""COMPUTED_VALUE"""),"Xi")</f>
        <v>Xi</v>
      </c>
      <c r="C85" s="197">
        <f t="shared" si="1"/>
        <v>1</v>
      </c>
      <c r="D85" s="20" t="s">
        <v>2362</v>
      </c>
      <c r="E85" s="20">
        <v>2.0</v>
      </c>
    </row>
    <row r="86">
      <c r="A86" s="196"/>
      <c r="B86" s="197" t="str">
        <f>IFERROR(__xludf.DUMMYFUNCTION("""COMPUTED_VALUE"""),"Pegasus")</f>
        <v>Pegasus</v>
      </c>
      <c r="C86" s="197">
        <f t="shared" si="1"/>
        <v>2</v>
      </c>
      <c r="D86" s="20" t="s">
        <v>2363</v>
      </c>
      <c r="E86" s="20">
        <v>2.0</v>
      </c>
    </row>
    <row r="87">
      <c r="A87" s="196" t="str">
        <f>IFERROR(__xludf.DUMMYFUNCTION("""COMPUTED_VALUE"""),"Guardian")</f>
        <v>Guardian</v>
      </c>
      <c r="B87" s="197" t="str">
        <f>IFERROR(__xludf.DUMMYFUNCTION("""COMPUTED_VALUE"""),"Winged")</f>
        <v>Winged</v>
      </c>
      <c r="C87" s="197">
        <f t="shared" si="1"/>
        <v>1</v>
      </c>
      <c r="D87" s="20" t="s">
        <v>2364</v>
      </c>
      <c r="E87" s="20">
        <v>2.0</v>
      </c>
    </row>
    <row r="88">
      <c r="A88" s="196" t="str">
        <f>IFERROR(__xludf.DUMMYFUNCTION("""COMPUTED_VALUE"""),"Angel")</f>
        <v>Angel</v>
      </c>
      <c r="B88" s="197" t="str">
        <f>IFERROR(__xludf.DUMMYFUNCTION("""COMPUTED_VALUE"""),"Ghostfire")</f>
        <v>Ghostfire</v>
      </c>
      <c r="C88" s="197">
        <f t="shared" si="1"/>
        <v>1</v>
      </c>
      <c r="D88" s="20" t="s">
        <v>2365</v>
      </c>
      <c r="E88" s="20">
        <v>2.0</v>
      </c>
    </row>
    <row r="89">
      <c r="A89" s="196"/>
      <c r="B89" s="197" t="str">
        <f>IFERROR(__xludf.DUMMYFUNCTION("""COMPUTED_VALUE"""),"Basilisk")</f>
        <v>Basilisk</v>
      </c>
      <c r="C89" s="197">
        <f t="shared" si="1"/>
        <v>2</v>
      </c>
      <c r="D89" s="20" t="s">
        <v>2366</v>
      </c>
      <c r="E89" s="20">
        <v>2.0</v>
      </c>
    </row>
    <row r="90">
      <c r="A90" s="196"/>
      <c r="B90" s="197" t="str">
        <f>IFERROR(__xludf.DUMMYFUNCTION("""COMPUTED_VALUE"""),"Yellow")</f>
        <v>Yellow</v>
      </c>
      <c r="C90" s="197">
        <f t="shared" si="1"/>
        <v>2</v>
      </c>
      <c r="D90" s="20" t="s">
        <v>2367</v>
      </c>
      <c r="E90" s="20">
        <v>2.0</v>
      </c>
    </row>
    <row r="91">
      <c r="A91" s="196"/>
      <c r="B91" s="197" t="str">
        <f>IFERROR(__xludf.DUMMYFUNCTION("""COMPUTED_VALUE"""),"Young")</f>
        <v>Young</v>
      </c>
      <c r="C91" s="197">
        <f t="shared" si="1"/>
        <v>2</v>
      </c>
      <c r="D91" s="20" t="s">
        <v>2368</v>
      </c>
      <c r="E91" s="20">
        <v>2.0</v>
      </c>
    </row>
    <row r="92">
      <c r="A92" s="196" t="str">
        <f>IFERROR(__xludf.DUMMYFUNCTION("""COMPUTED_VALUE"""),"Hallowed")</f>
        <v>Hallowed</v>
      </c>
      <c r="B92" s="197" t="str">
        <f>IFERROR(__xludf.DUMMYFUNCTION("""COMPUTED_VALUE"""),"Monk")</f>
        <v>Monk</v>
      </c>
      <c r="C92" s="197">
        <f t="shared" si="1"/>
        <v>1</v>
      </c>
      <c r="D92" s="20" t="s">
        <v>2369</v>
      </c>
      <c r="E92" s="20">
        <v>2.0</v>
      </c>
    </row>
    <row r="93">
      <c r="A93" s="196" t="str">
        <f>IFERROR(__xludf.DUMMYFUNCTION("""COMPUTED_VALUE"""),"Exorcist")</f>
        <v>Exorcist</v>
      </c>
      <c r="B93" s="197" t="str">
        <f>IFERROR(__xludf.DUMMYFUNCTION("""COMPUTED_VALUE"""),"Cartouche")</f>
        <v>Cartouche</v>
      </c>
      <c r="C93" s="197">
        <f t="shared" si="1"/>
        <v>1</v>
      </c>
      <c r="D93" s="20" t="s">
        <v>20</v>
      </c>
      <c r="E93" s="20">
        <v>1.0</v>
      </c>
    </row>
    <row r="94">
      <c r="A94" s="196"/>
      <c r="B94" s="197" t="str">
        <f>IFERROR(__xludf.DUMMYFUNCTION("""COMPUTED_VALUE"""),"Luster")</f>
        <v>Luster</v>
      </c>
      <c r="C94" s="197">
        <f t="shared" si="1"/>
        <v>1</v>
      </c>
      <c r="D94" s="20" t="s">
        <v>2370</v>
      </c>
      <c r="E94" s="20">
        <v>1.0</v>
      </c>
    </row>
    <row r="95">
      <c r="A95" s="196"/>
      <c r="B95" s="197" t="str">
        <f>IFERROR(__xludf.DUMMYFUNCTION("""COMPUTED_VALUE"""),"Golden")</f>
        <v>Golden</v>
      </c>
      <c r="C95" s="197">
        <f t="shared" si="1"/>
        <v>1</v>
      </c>
      <c r="D95" s="20" t="s">
        <v>2371</v>
      </c>
      <c r="E95" s="20">
        <v>1.0</v>
      </c>
    </row>
    <row r="96">
      <c r="A96" s="196"/>
      <c r="B96" s="197" t="str">
        <f>IFERROR(__xludf.DUMMYFUNCTION("""COMPUTED_VALUE"""),"Phoenix")</f>
        <v>Phoenix</v>
      </c>
      <c r="C96" s="197">
        <f t="shared" si="1"/>
        <v>1</v>
      </c>
      <c r="D96" s="20" t="s">
        <v>2372</v>
      </c>
      <c r="E96" s="20">
        <v>1.0</v>
      </c>
    </row>
    <row r="97">
      <c r="A97" s="196" t="str">
        <f>IFERROR(__xludf.DUMMYFUNCTION("""COMPUTED_VALUE"""),"Harmonic")</f>
        <v>Harmonic</v>
      </c>
      <c r="B97" s="197" t="str">
        <f>IFERROR(__xludf.DUMMYFUNCTION("""COMPUTED_VALUE"""),"Hailstorm")</f>
        <v>Hailstorm</v>
      </c>
      <c r="C97" s="197">
        <f t="shared" si="1"/>
        <v>1</v>
      </c>
      <c r="D97" s="20" t="s">
        <v>2373</v>
      </c>
      <c r="E97" s="20">
        <v>1.0</v>
      </c>
    </row>
    <row r="98">
      <c r="A98" s="196" t="str">
        <f>IFERROR(__xludf.DUMMYFUNCTION("""COMPUTED_VALUE"""),"Echo")</f>
        <v>Echo</v>
      </c>
      <c r="B98" s="197" t="str">
        <f>IFERROR(__xludf.DUMMYFUNCTION("""COMPUTED_VALUE"""),"Seraph")</f>
        <v>Seraph</v>
      </c>
      <c r="C98" s="197">
        <f t="shared" si="1"/>
        <v>1</v>
      </c>
      <c r="D98" s="20" t="s">
        <v>2374</v>
      </c>
      <c r="E98" s="20">
        <v>1.0</v>
      </c>
    </row>
    <row r="99">
      <c r="A99" s="196"/>
      <c r="B99" s="197" t="str">
        <f>IFERROR(__xludf.DUMMYFUNCTION("""COMPUTED_VALUE"""),"Scittering")</f>
        <v>Scittering</v>
      </c>
      <c r="C99" s="197">
        <f t="shared" si="1"/>
        <v>1</v>
      </c>
      <c r="D99" s="20" t="s">
        <v>2375</v>
      </c>
      <c r="E99" s="20">
        <v>1.0</v>
      </c>
    </row>
    <row r="100">
      <c r="A100" s="196"/>
      <c r="B100" s="197" t="str">
        <f>IFERROR(__xludf.DUMMYFUNCTION("""COMPUTED_VALUE"""),"Scorpion")</f>
        <v>Scorpion</v>
      </c>
      <c r="C100" s="197">
        <f t="shared" si="1"/>
        <v>2</v>
      </c>
      <c r="D100" s="20" t="s">
        <v>2376</v>
      </c>
      <c r="E100" s="20">
        <v>1.0</v>
      </c>
    </row>
    <row r="101">
      <c r="A101" s="196"/>
      <c r="B101" s="197" t="str">
        <f>IFERROR(__xludf.DUMMYFUNCTION("""COMPUTED_VALUE"""),"Wrath")</f>
        <v>Wrath</v>
      </c>
      <c r="C101" s="197">
        <f t="shared" si="1"/>
        <v>1</v>
      </c>
      <c r="D101" s="20" t="s">
        <v>2377</v>
      </c>
      <c r="E101" s="20">
        <v>1.0</v>
      </c>
    </row>
    <row r="102">
      <c r="A102" s="196" t="str">
        <f>IFERROR(__xludf.DUMMYFUNCTION("""COMPUTED_VALUE"""),"Ibis")</f>
        <v>Ibis</v>
      </c>
      <c r="B102" s="197" t="str">
        <f>IFERROR(__xludf.DUMMYFUNCTION("""COMPUTED_VALUE"""),"Pharaoh")</f>
        <v>Pharaoh</v>
      </c>
      <c r="C102" s="197">
        <f t="shared" si="1"/>
        <v>1</v>
      </c>
      <c r="D102" s="20" t="s">
        <v>2378</v>
      </c>
      <c r="E102" s="20">
        <v>1.0</v>
      </c>
    </row>
    <row r="103">
      <c r="A103" s="196" t="str">
        <f>IFERROR(__xludf.DUMMYFUNCTION("""COMPUTED_VALUE"""),"Ushabti")</f>
        <v>Ushabti</v>
      </c>
      <c r="B103" s="197" t="str">
        <f>IFERROR(__xludf.DUMMYFUNCTION("""COMPUTED_VALUE"""),"Bringer")</f>
        <v>Bringer</v>
      </c>
      <c r="C103" s="197">
        <f t="shared" si="1"/>
        <v>3</v>
      </c>
      <c r="D103" s="20" t="s">
        <v>2379</v>
      </c>
      <c r="E103" s="20">
        <v>1.0</v>
      </c>
    </row>
    <row r="104">
      <c r="A104" s="196"/>
      <c r="B104" s="197" t="str">
        <f>IFERROR(__xludf.DUMMYFUNCTION("""COMPUTED_VALUE"""),"Good")</f>
        <v>Good</v>
      </c>
      <c r="C104" s="197">
        <f t="shared" si="1"/>
        <v>1</v>
      </c>
      <c r="D104" s="20" t="s">
        <v>2380</v>
      </c>
      <c r="E104" s="20">
        <v>1.0</v>
      </c>
    </row>
    <row r="105">
      <c r="A105" s="196"/>
      <c r="B105" s="197" t="str">
        <f>IFERROR(__xludf.DUMMYFUNCTION("""COMPUTED_VALUE"""),"News")</f>
        <v>News</v>
      </c>
      <c r="C105" s="197">
        <f t="shared" si="1"/>
        <v>1</v>
      </c>
      <c r="D105" s="20" t="s">
        <v>2381</v>
      </c>
      <c r="E105" s="20">
        <v>1.0</v>
      </c>
    </row>
    <row r="106">
      <c r="A106" s="196"/>
      <c r="B106" s="197" t="str">
        <f>IFERROR(__xludf.DUMMYFUNCTION("""COMPUTED_VALUE"""),"Lightning")</f>
        <v>Lightning</v>
      </c>
      <c r="C106" s="197">
        <f t="shared" si="1"/>
        <v>2</v>
      </c>
      <c r="D106" s="20" t="s">
        <v>79</v>
      </c>
      <c r="E106" s="20">
        <v>1.0</v>
      </c>
    </row>
    <row r="107">
      <c r="A107" s="196" t="str">
        <f>IFERROR(__xludf.DUMMYFUNCTION("""COMPUTED_VALUE"""),"Herald")</f>
        <v>Herald</v>
      </c>
      <c r="B107" s="197" t="str">
        <f>IFERROR(__xludf.DUMMYFUNCTION("""COMPUTED_VALUE"""),"Rider")</f>
        <v>Rider</v>
      </c>
      <c r="C107" s="197">
        <f t="shared" si="1"/>
        <v>2</v>
      </c>
      <c r="D107" s="20" t="s">
        <v>2382</v>
      </c>
      <c r="E107" s="20">
        <v>1.0</v>
      </c>
    </row>
    <row r="108">
      <c r="A108" s="196" t="str">
        <f>IFERROR(__xludf.DUMMYFUNCTION("""COMPUTED_VALUE"""),"of")</f>
        <v>of</v>
      </c>
      <c r="B108" s="197" t="str">
        <f>IFERROR(__xludf.DUMMYFUNCTION("""COMPUTED_VALUE"""),"Desertwind")</f>
        <v>Desertwind</v>
      </c>
      <c r="C108" s="197">
        <f t="shared" si="1"/>
        <v>1</v>
      </c>
      <c r="D108" s="20" t="s">
        <v>2383</v>
      </c>
      <c r="E108" s="20">
        <v>1.0</v>
      </c>
    </row>
    <row r="109">
      <c r="A109" s="196" t="str">
        <f>IFERROR(__xludf.DUMMYFUNCTION("""COMPUTED_VALUE"""),"Eternal")</f>
        <v>Eternal</v>
      </c>
      <c r="B109" s="197" t="str">
        <f>IFERROR(__xludf.DUMMYFUNCTION("""COMPUTED_VALUE"""),"Relic")</f>
        <v>Relic</v>
      </c>
      <c r="C109" s="197">
        <f t="shared" si="1"/>
        <v>1</v>
      </c>
      <c r="D109" s="20" t="s">
        <v>2384</v>
      </c>
      <c r="E109" s="20">
        <v>1.0</v>
      </c>
    </row>
    <row r="110">
      <c r="A110" s="196" t="str">
        <f>IFERROR(__xludf.DUMMYFUNCTION("""COMPUTED_VALUE"""),"Grace")</f>
        <v>Grace</v>
      </c>
      <c r="B110" s="197" t="str">
        <f>IFERROR(__xludf.DUMMYFUNCTION("""COMPUTED_VALUE"""),"Hunter")</f>
        <v>Hunter</v>
      </c>
      <c r="C110" s="197">
        <f t="shared" si="1"/>
        <v>1</v>
      </c>
      <c r="D110" s="20" t="s">
        <v>2385</v>
      </c>
      <c r="E110" s="20">
        <v>1.0</v>
      </c>
    </row>
    <row r="111">
      <c r="A111" s="196"/>
      <c r="B111" s="197" t="str">
        <f>IFERROR(__xludf.DUMMYFUNCTION("""COMPUTED_VALUE"""),"Exemplar")</f>
        <v>Exemplar</v>
      </c>
      <c r="C111" s="197">
        <f t="shared" si="1"/>
        <v>1</v>
      </c>
      <c r="D111" s="20" t="s">
        <v>2386</v>
      </c>
      <c r="E111" s="20">
        <v>1.0</v>
      </c>
    </row>
    <row r="112">
      <c r="A112" s="196" t="str">
        <f>IFERROR(__xludf.DUMMYFUNCTION("""COMPUTED_VALUE"""),"Maze")</f>
        <v>Maze</v>
      </c>
      <c r="B112" s="197" t="str">
        <f>IFERROR(__xludf.DUMMYFUNCTION("""COMPUTED_VALUE"""),"Lunar")</f>
        <v>Lunar</v>
      </c>
      <c r="C112" s="197">
        <f t="shared" si="1"/>
        <v>1</v>
      </c>
      <c r="D112" s="20" t="s">
        <v>2387</v>
      </c>
      <c r="E112" s="20">
        <v>1.0</v>
      </c>
    </row>
    <row r="113">
      <c r="A113" s="196" t="str">
        <f>IFERROR(__xludf.DUMMYFUNCTION("""COMPUTED_VALUE"""),"Master")</f>
        <v>Master</v>
      </c>
      <c r="B113" s="197" t="str">
        <f>IFERROR(__xludf.DUMMYFUNCTION("""COMPUTED_VALUE"""),"Gleam")</f>
        <v>Gleam</v>
      </c>
      <c r="C113" s="197">
        <f t="shared" si="1"/>
        <v>1</v>
      </c>
      <c r="D113" s="20" t="s">
        <v>2388</v>
      </c>
      <c r="E113" s="20">
        <v>1.0</v>
      </c>
    </row>
    <row r="114">
      <c r="A114" s="196" t="str">
        <f>IFERROR(__xludf.DUMMYFUNCTION("""COMPUTED_VALUE"""),"Sphinx")</f>
        <v>Sphinx</v>
      </c>
      <c r="B114" s="197" t="str">
        <f>IFERROR(__xludf.DUMMYFUNCTION("""COMPUTED_VALUE"""),"Pomegrake")</f>
        <v>Pomegrake</v>
      </c>
      <c r="C114" s="197">
        <f t="shared" si="1"/>
        <v>1</v>
      </c>
      <c r="D114" s="20" t="s">
        <v>2389</v>
      </c>
      <c r="E114" s="20">
        <v>1.0</v>
      </c>
    </row>
    <row r="115">
      <c r="A115" s="196"/>
      <c r="B115" s="197" t="str">
        <f>IFERROR(__xludf.DUMMYFUNCTION("""COMPUTED_VALUE"""),"Embalmer")</f>
        <v>Embalmer</v>
      </c>
      <c r="C115" s="197">
        <f t="shared" si="1"/>
        <v>1</v>
      </c>
      <c r="D115" s="20" t="s">
        <v>2390</v>
      </c>
      <c r="E115" s="20">
        <v>1.0</v>
      </c>
    </row>
    <row r="116">
      <c r="A116" s="196"/>
      <c r="B116" s="197" t="str">
        <f>IFERROR(__xludf.DUMMYFUNCTION("""COMPUTED_VALUE"""),"Carver")</f>
        <v>Carver</v>
      </c>
      <c r="C116" s="197">
        <f t="shared" si="1"/>
        <v>2</v>
      </c>
      <c r="D116" s="20" t="s">
        <v>2391</v>
      </c>
      <c r="E116" s="20">
        <v>1.0</v>
      </c>
    </row>
    <row r="117">
      <c r="A117" s="196" t="str">
        <f>IFERROR(__xludf.DUMMYFUNCTION("""COMPUTED_VALUE"""),"Ivoryscar")</f>
        <v>Ivoryscar</v>
      </c>
      <c r="B117" s="197" t="str">
        <f>IFERROR(__xludf.DUMMYFUNCTION("""COMPUTED_VALUE"""),"Shattercrown")</f>
        <v>Shattercrown</v>
      </c>
      <c r="C117" s="197">
        <f t="shared" si="1"/>
        <v>1</v>
      </c>
      <c r="D117" s="20" t="s">
        <v>2392</v>
      </c>
      <c r="E117" s="20">
        <v>1.0</v>
      </c>
    </row>
    <row r="118">
      <c r="A118" s="196" t="str">
        <f>IFERROR(__xludf.DUMMYFUNCTION("""COMPUTED_VALUE"""),"Cursewing")</f>
        <v>Cursewing</v>
      </c>
      <c r="B118" s="197" t="str">
        <f>IFERROR(__xludf.DUMMYFUNCTION("""COMPUTED_VALUE"""),"Luminary")</f>
        <v>Luminary</v>
      </c>
      <c r="C118" s="197">
        <f t="shared" si="1"/>
        <v>1</v>
      </c>
      <c r="D118" s="20" t="s">
        <v>2393</v>
      </c>
      <c r="E118" s="20">
        <v>1.0</v>
      </c>
    </row>
    <row r="119">
      <c r="A119" s="196"/>
      <c r="B119" s="197" t="str">
        <f>IFERROR(__xludf.DUMMYFUNCTION("""COMPUTED_VALUE"""),"Shepard")</f>
        <v>Shepard</v>
      </c>
      <c r="C119" s="197">
        <f t="shared" si="1"/>
        <v>1</v>
      </c>
      <c r="D119" s="20" t="s">
        <v>2394</v>
      </c>
      <c r="E119" s="20">
        <v>1.0</v>
      </c>
    </row>
    <row r="120">
      <c r="A120" s="196"/>
      <c r="B120" s="197" t="str">
        <f>IFERROR(__xludf.DUMMYFUNCTION("""COMPUTED_VALUE"""),"Morning")</f>
        <v>Morning</v>
      </c>
      <c r="C120" s="197">
        <f t="shared" si="1"/>
        <v>1</v>
      </c>
      <c r="D120" s="20" t="s">
        <v>2395</v>
      </c>
      <c r="E120" s="20">
        <v>1.0</v>
      </c>
    </row>
    <row r="121">
      <c r="A121" s="196"/>
      <c r="B121" s="197" t="str">
        <f>IFERROR(__xludf.DUMMYFUNCTION("""COMPUTED_VALUE"""),"Dew")</f>
        <v>Dew</v>
      </c>
      <c r="C121" s="197">
        <f t="shared" si="1"/>
        <v>1</v>
      </c>
      <c r="D121" s="20" t="s">
        <v>2396</v>
      </c>
      <c r="E121" s="20">
        <v>1.0</v>
      </c>
    </row>
    <row r="122">
      <c r="A122" s="196" t="str">
        <f>IFERROR(__xludf.DUMMYFUNCTION("""COMPUTED_VALUE"""),"Ivoryscar")</f>
        <v>Ivoryscar</v>
      </c>
      <c r="B122" s="197" t="str">
        <f>IFERROR(__xludf.DUMMYFUNCTION("""COMPUTED_VALUE"""),"Arboreal")</f>
        <v>Arboreal</v>
      </c>
      <c r="C122" s="197">
        <f t="shared" si="1"/>
        <v>1</v>
      </c>
      <c r="D122" s="20" t="s">
        <v>2397</v>
      </c>
      <c r="E122" s="20">
        <v>1.0</v>
      </c>
    </row>
    <row r="123">
      <c r="A123" s="196" t="str">
        <f>IFERROR(__xludf.DUMMYFUNCTION("""COMPUTED_VALUE"""),"Magistrate")</f>
        <v>Magistrate</v>
      </c>
      <c r="B123" s="197" t="str">
        <f>IFERROR(__xludf.DUMMYFUNCTION("""COMPUTED_VALUE"""),"Messenger")</f>
        <v>Messenger</v>
      </c>
      <c r="C123" s="197">
        <f t="shared" si="1"/>
        <v>1</v>
      </c>
      <c r="D123" s="20" t="s">
        <v>2398</v>
      </c>
      <c r="E123" s="20">
        <v>1.0</v>
      </c>
    </row>
    <row r="124">
      <c r="A124" s="196"/>
      <c r="B124" s="197" t="str">
        <f>IFERROR(__xludf.DUMMYFUNCTION("""COMPUTED_VALUE"""),"Auric")</f>
        <v>Auric</v>
      </c>
      <c r="C124" s="197">
        <f t="shared" si="1"/>
        <v>1</v>
      </c>
      <c r="D124" s="20" t="s">
        <v>2399</v>
      </c>
      <c r="E124" s="20">
        <v>1.0</v>
      </c>
    </row>
    <row r="125">
      <c r="A125" s="196"/>
      <c r="B125" s="197" t="str">
        <f>IFERROR(__xludf.DUMMYFUNCTION("""COMPUTED_VALUE"""),"Ant")</f>
        <v>Ant</v>
      </c>
      <c r="C125" s="197">
        <f t="shared" si="1"/>
        <v>2</v>
      </c>
      <c r="D125" s="20" t="s">
        <v>2400</v>
      </c>
      <c r="E125" s="20">
        <v>1.0</v>
      </c>
    </row>
    <row r="126">
      <c r="A126" s="196"/>
      <c r="B126" s="197" t="str">
        <f>IFERROR(__xludf.DUMMYFUNCTION("""COMPUTED_VALUE"""),"Regent")</f>
        <v>Regent</v>
      </c>
      <c r="C126" s="197">
        <f t="shared" si="1"/>
        <v>1</v>
      </c>
      <c r="D126" s="20" t="s">
        <v>2401</v>
      </c>
      <c r="E126" s="20">
        <v>1.0</v>
      </c>
    </row>
    <row r="127">
      <c r="A127" s="196" t="str">
        <f>IFERROR(__xludf.DUMMYFUNCTION("""COMPUTED_VALUE"""),"Kylix")</f>
        <v>Kylix</v>
      </c>
      <c r="B127" s="197" t="str">
        <f>IFERROR(__xludf.DUMMYFUNCTION("""COMPUTED_VALUE"""),"Blessing")</f>
        <v>Blessing</v>
      </c>
      <c r="C127" s="197">
        <f t="shared" si="1"/>
        <v>1</v>
      </c>
      <c r="D127" s="20" t="s">
        <v>2402</v>
      </c>
      <c r="E127" s="20">
        <v>1.0</v>
      </c>
    </row>
    <row r="128">
      <c r="A128" s="196" t="str">
        <f>IFERROR(__xludf.DUMMYFUNCTION("""COMPUTED_VALUE"""),"of")</f>
        <v>of</v>
      </c>
      <c r="B128" s="197" t="str">
        <f>IFERROR(__xludf.DUMMYFUNCTION("""COMPUTED_VALUE"""),"Bestower")</f>
        <v>Bestower</v>
      </c>
      <c r="C128" s="197">
        <f t="shared" si="1"/>
        <v>1</v>
      </c>
      <c r="D128" s="20" t="s">
        <v>2403</v>
      </c>
      <c r="E128" s="20">
        <v>1.0</v>
      </c>
    </row>
    <row r="129">
      <c r="A129" s="196" t="str">
        <f>IFERROR(__xludf.DUMMYFUNCTION("""COMPUTED_VALUE"""),"Excess")</f>
        <v>Excess</v>
      </c>
      <c r="B129" s="197" t="str">
        <f>IFERROR(__xludf.DUMMYFUNCTION("""COMPUTED_VALUE"""),"Waypost")</f>
        <v>Waypost</v>
      </c>
      <c r="C129" s="197">
        <f t="shared" si="1"/>
        <v>1</v>
      </c>
      <c r="D129" s="20" t="s">
        <v>2404</v>
      </c>
      <c r="E129" s="20">
        <v>1.0</v>
      </c>
    </row>
    <row r="130">
      <c r="A130" s="196"/>
      <c r="B130" s="197" t="str">
        <f>IFERROR(__xludf.DUMMYFUNCTION("""COMPUTED_VALUE"""),"Crimson")</f>
        <v>Crimson</v>
      </c>
      <c r="C130" s="197">
        <f t="shared" si="1"/>
        <v>1</v>
      </c>
      <c r="D130" s="20" t="s">
        <v>2405</v>
      </c>
      <c r="E130" s="20">
        <v>1.0</v>
      </c>
    </row>
    <row r="131">
      <c r="A131" s="196"/>
      <c r="B131" s="197" t="str">
        <f>IFERROR(__xludf.DUMMYFUNCTION("""COMPUTED_VALUE"""),"Flamechick")</f>
        <v>Flamechick</v>
      </c>
      <c r="C131" s="197">
        <f t="shared" si="1"/>
        <v>1</v>
      </c>
      <c r="D131" s="20" t="s">
        <v>2406</v>
      </c>
      <c r="E131" s="20">
        <v>1.0</v>
      </c>
    </row>
    <row r="132">
      <c r="A132" s="196" t="str">
        <f>IFERROR(__xludf.DUMMYFUNCTION("""COMPUTED_VALUE"""),"Mystic")</f>
        <v>Mystic</v>
      </c>
      <c r="B132" s="197" t="str">
        <f>IFERROR(__xludf.DUMMYFUNCTION("""COMPUTED_VALUE"""),"Ascended")</f>
        <v>Ascended</v>
      </c>
      <c r="C132" s="197">
        <f t="shared" si="1"/>
        <v>1</v>
      </c>
      <c r="D132" s="20" t="s">
        <v>2407</v>
      </c>
      <c r="E132" s="20">
        <v>1.0</v>
      </c>
    </row>
    <row r="133">
      <c r="A133" s="196" t="str">
        <f>IFERROR(__xludf.DUMMYFUNCTION("""COMPUTED_VALUE"""),"Puzzle")</f>
        <v>Puzzle</v>
      </c>
      <c r="B133" s="197" t="str">
        <f>IFERROR(__xludf.DUMMYFUNCTION("""COMPUTED_VALUE"""),"One")</f>
        <v>One</v>
      </c>
      <c r="C133" s="197">
        <f t="shared" si="1"/>
        <v>2</v>
      </c>
      <c r="D133" s="20" t="s">
        <v>2408</v>
      </c>
      <c r="E133" s="20">
        <v>1.0</v>
      </c>
    </row>
    <row r="134">
      <c r="A134" s="196" t="str">
        <f>IFERROR(__xludf.DUMMYFUNCTION("""COMPUTED_VALUE"""),"Box")</f>
        <v>Box</v>
      </c>
      <c r="B134" s="197" t="str">
        <f>IFERROR(__xludf.DUMMYFUNCTION("""COMPUTED_VALUE"""),"Rubyskull")</f>
        <v>Rubyskull</v>
      </c>
      <c r="C134" s="197">
        <f t="shared" si="1"/>
        <v>1</v>
      </c>
      <c r="D134" s="20" t="s">
        <v>2409</v>
      </c>
      <c r="E134" s="20">
        <v>1.0</v>
      </c>
    </row>
    <row r="135">
      <c r="A135" s="196"/>
      <c r="B135" s="197" t="str">
        <f>IFERROR(__xludf.DUMMYFUNCTION("""COMPUTED_VALUE"""),"Blackwing")</f>
        <v>Blackwing</v>
      </c>
      <c r="C135" s="197">
        <f t="shared" si="1"/>
        <v>1</v>
      </c>
      <c r="D135" s="20" t="s">
        <v>2410</v>
      </c>
      <c r="E135" s="20">
        <v>1.0</v>
      </c>
    </row>
    <row r="136">
      <c r="A136" s="196"/>
      <c r="B136" s="197" t="str">
        <f>IFERROR(__xludf.DUMMYFUNCTION("""COMPUTED_VALUE"""),"Usurper")</f>
        <v>Usurper</v>
      </c>
      <c r="C136" s="197">
        <f t="shared" si="1"/>
        <v>1</v>
      </c>
      <c r="D136" s="20" t="s">
        <v>2411</v>
      </c>
      <c r="E136" s="20">
        <v>1.0</v>
      </c>
    </row>
    <row r="137">
      <c r="A137" s="196" t="str">
        <f>IFERROR(__xludf.DUMMYFUNCTION("""COMPUTED_VALUE"""),"Monolith")</f>
        <v>Monolith</v>
      </c>
      <c r="B137" s="197" t="str">
        <f>IFERROR(__xludf.DUMMYFUNCTION("""COMPUTED_VALUE"""),"Celestial")</f>
        <v>Celestial</v>
      </c>
      <c r="C137" s="197">
        <f t="shared" si="1"/>
        <v>1</v>
      </c>
      <c r="D137" s="20" t="s">
        <v>2412</v>
      </c>
      <c r="E137" s="20">
        <v>1.0</v>
      </c>
    </row>
    <row r="138">
      <c r="A138" s="196" t="str">
        <f>IFERROR(__xludf.DUMMYFUNCTION("""COMPUTED_VALUE"""),"of")</f>
        <v>of</v>
      </c>
      <c r="B138" s="197" t="str">
        <f>IFERROR(__xludf.DUMMYFUNCTION("""COMPUTED_VALUE"""),"Second")</f>
        <v>Second</v>
      </c>
      <c r="C138" s="197">
        <f t="shared" si="1"/>
        <v>1</v>
      </c>
      <c r="D138" s="20" t="s">
        <v>2413</v>
      </c>
      <c r="E138" s="20">
        <v>1.0</v>
      </c>
    </row>
    <row r="139">
      <c r="A139" s="196" t="str">
        <f>IFERROR(__xludf.DUMMYFUNCTION("""COMPUTED_VALUE"""),"Meditation")</f>
        <v>Meditation</v>
      </c>
      <c r="B139" s="197" t="str">
        <f>IFERROR(__xludf.DUMMYFUNCTION("""COMPUTED_VALUE"""),"Wing")</f>
        <v>Wing</v>
      </c>
      <c r="C139" s="197">
        <f t="shared" si="1"/>
        <v>1</v>
      </c>
      <c r="D139" s="20" t="s">
        <v>2414</v>
      </c>
      <c r="E139" s="20">
        <v>1.0</v>
      </c>
    </row>
    <row r="140">
      <c r="A140" s="196"/>
      <c r="B140" s="197" t="str">
        <f>IFERROR(__xludf.DUMMYFUNCTION("""COMPUTED_VALUE"""),"Fatebreaker")</f>
        <v>Fatebreaker</v>
      </c>
      <c r="C140" s="197">
        <f t="shared" si="1"/>
        <v>1</v>
      </c>
      <c r="D140" s="20" t="s">
        <v>211</v>
      </c>
      <c r="E140" s="20">
        <v>1.0</v>
      </c>
    </row>
    <row r="141">
      <c r="A141" s="196"/>
      <c r="B141" s="197" t="str">
        <f>IFERROR(__xludf.DUMMYFUNCTION("""COMPUTED_VALUE"""),"Moon")</f>
        <v>Moon</v>
      </c>
      <c r="C141" s="197">
        <f t="shared" si="1"/>
        <v>2</v>
      </c>
      <c r="D141" s="20" t="s">
        <v>2415</v>
      </c>
      <c r="E141" s="20">
        <v>1.0</v>
      </c>
    </row>
    <row r="142">
      <c r="A142" s="196" t="str">
        <f>IFERROR(__xludf.DUMMYFUNCTION("""COMPUTED_VALUE"""),"Oasis")</f>
        <v>Oasis</v>
      </c>
      <c r="B142" s="197" t="str">
        <f>IFERROR(__xludf.DUMMYFUNCTION("""COMPUTED_VALUE"""),"Priestess")</f>
        <v>Priestess</v>
      </c>
      <c r="C142" s="197">
        <f t="shared" si="1"/>
        <v>1</v>
      </c>
      <c r="D142" s="20" t="s">
        <v>2416</v>
      </c>
      <c r="E142" s="20">
        <v>1.0</v>
      </c>
    </row>
    <row r="143">
      <c r="A143" s="196" t="str">
        <f>IFERROR(__xludf.DUMMYFUNCTION("""COMPUTED_VALUE"""),"Sprite")</f>
        <v>Sprite</v>
      </c>
      <c r="B143" s="197" t="str">
        <f>IFERROR(__xludf.DUMMYFUNCTION("""COMPUTED_VALUE"""),"Airstep")</f>
        <v>Airstep</v>
      </c>
      <c r="C143" s="197">
        <f t="shared" si="1"/>
        <v>1</v>
      </c>
      <c r="D143" s="20" t="s">
        <v>2417</v>
      </c>
      <c r="E143" s="20">
        <v>1.0</v>
      </c>
    </row>
    <row r="144">
      <c r="A144" s="196"/>
      <c r="B144" s="197" t="str">
        <f>IFERROR(__xludf.DUMMYFUNCTION("""COMPUTED_VALUE"""),"Sifu")</f>
        <v>Sifu</v>
      </c>
      <c r="C144" s="197">
        <f t="shared" si="1"/>
        <v>1</v>
      </c>
      <c r="D144" s="20" t="s">
        <v>2418</v>
      </c>
      <c r="E144" s="20">
        <v>1.0</v>
      </c>
    </row>
    <row r="145">
      <c r="A145" s="196"/>
      <c r="B145" s="197" t="str">
        <f>IFERROR(__xludf.DUMMYFUNCTION("""COMPUTED_VALUE"""),"Moonspear")</f>
        <v>Moonspear</v>
      </c>
      <c r="C145" s="197">
        <f t="shared" si="1"/>
        <v>4</v>
      </c>
      <c r="D145" s="20" t="s">
        <v>2419</v>
      </c>
      <c r="E145" s="20">
        <v>1.0</v>
      </c>
    </row>
    <row r="146">
      <c r="A146" s="196"/>
      <c r="B146" s="197" t="str">
        <f>IFERROR(__xludf.DUMMYFUNCTION("""COMPUTED_VALUE"""),"Paladin")</f>
        <v>Paladin</v>
      </c>
      <c r="C146" s="197">
        <f t="shared" si="1"/>
        <v>1</v>
      </c>
      <c r="D146" s="20" t="s">
        <v>230</v>
      </c>
      <c r="E146" s="20">
        <v>1.0</v>
      </c>
    </row>
    <row r="147">
      <c r="A147" s="196" t="str">
        <f>IFERROR(__xludf.DUMMYFUNCTION("""COMPUTED_VALUE"""),"Pharaoh's")</f>
        <v>Pharaoh's</v>
      </c>
      <c r="B147" s="197" t="str">
        <f>IFERROR(__xludf.DUMMYFUNCTION("""COMPUTED_VALUE"""),"Arcanum")</f>
        <v>Arcanum</v>
      </c>
      <c r="C147" s="197">
        <f t="shared" si="1"/>
        <v>1</v>
      </c>
      <c r="D147" s="20" t="s">
        <v>2420</v>
      </c>
      <c r="E147" s="20">
        <v>1.0</v>
      </c>
    </row>
    <row r="148">
      <c r="A148" s="196" t="str">
        <f>IFERROR(__xludf.DUMMYFUNCTION("""COMPUTED_VALUE"""),"Bodyguard")</f>
        <v>Bodyguard</v>
      </c>
      <c r="B148" s="197" t="str">
        <f>IFERROR(__xludf.DUMMYFUNCTION("""COMPUTED_VALUE"""),"Grandmaster")</f>
        <v>Grandmaster</v>
      </c>
      <c r="C148" s="197">
        <f t="shared" si="1"/>
        <v>1</v>
      </c>
      <c r="D148" s="20" t="s">
        <v>2421</v>
      </c>
      <c r="E148" s="20">
        <v>1.0</v>
      </c>
    </row>
    <row r="149">
      <c r="A149" s="196"/>
      <c r="B149" s="197" t="str">
        <f>IFERROR(__xludf.DUMMYFUNCTION("""COMPUTED_VALUE"""),"Auraborne")</f>
        <v>Auraborne</v>
      </c>
      <c r="C149" s="197">
        <f t="shared" si="1"/>
        <v>1</v>
      </c>
      <c r="D149" s="20" t="s">
        <v>2422</v>
      </c>
      <c r="E149" s="20">
        <v>1.0</v>
      </c>
    </row>
    <row r="150">
      <c r="A150" s="196"/>
      <c r="B150" s="197" t="str">
        <f>IFERROR(__xludf.DUMMYFUNCTION("""COMPUTED_VALUE"""),"Wyvern")</f>
        <v>Wyvern</v>
      </c>
      <c r="C150" s="197">
        <f t="shared" si="1"/>
        <v>3</v>
      </c>
      <c r="D150" s="20" t="s">
        <v>2423</v>
      </c>
      <c r="E150" s="20">
        <v>1.0</v>
      </c>
    </row>
    <row r="151">
      <c r="A151" s="196"/>
      <c r="B151" s="197" t="str">
        <f>IFERROR(__xludf.DUMMYFUNCTION("""COMPUTED_VALUE"""),"Blazecharm")</f>
        <v>Blazecharm</v>
      </c>
      <c r="C151" s="197">
        <f t="shared" si="1"/>
        <v>1</v>
      </c>
      <c r="D151" s="20" t="s">
        <v>2424</v>
      </c>
      <c r="E151" s="20">
        <v>1.0</v>
      </c>
    </row>
    <row r="152">
      <c r="A152" s="196" t="str">
        <f>IFERROR(__xludf.DUMMYFUNCTION("""COMPUTED_VALUE"""),"Scripture")</f>
        <v>Scripture</v>
      </c>
      <c r="B152" s="197" t="str">
        <f>IFERROR(__xludf.DUMMYFUNCTION("""COMPUTED_VALUE"""),"Kitsune")</f>
        <v>Kitsune</v>
      </c>
      <c r="C152" s="197">
        <f t="shared" si="1"/>
        <v>1</v>
      </c>
      <c r="D152" s="20" t="s">
        <v>2425</v>
      </c>
      <c r="E152" s="20">
        <v>1.0</v>
      </c>
    </row>
    <row r="153">
      <c r="A153" s="196" t="str">
        <f>IFERROR(__xludf.DUMMYFUNCTION("""COMPUTED_VALUE"""),"Monkey")</f>
        <v>Monkey</v>
      </c>
      <c r="B153" s="197" t="str">
        <f>IFERROR(__xludf.DUMMYFUNCTION("""COMPUTED_VALUE"""),"Glowing")</f>
        <v>Glowing</v>
      </c>
      <c r="C153" s="197">
        <f t="shared" si="1"/>
        <v>1</v>
      </c>
      <c r="D153" s="20" t="s">
        <v>2426</v>
      </c>
      <c r="E153" s="20">
        <v>1.0</v>
      </c>
    </row>
    <row r="154">
      <c r="A154" s="196"/>
      <c r="B154" s="197" t="str">
        <f>IFERROR(__xludf.DUMMYFUNCTION("""COMPUTED_VALUE"""),"Gearhulk")</f>
        <v>Gearhulk</v>
      </c>
      <c r="C154" s="197">
        <f t="shared" si="1"/>
        <v>1</v>
      </c>
      <c r="D154" s="20" t="s">
        <v>2427</v>
      </c>
      <c r="E154" s="20">
        <v>1.0</v>
      </c>
    </row>
    <row r="155">
      <c r="A155" s="196"/>
      <c r="B155" s="197" t="str">
        <f>IFERROR(__xludf.DUMMYFUNCTION("""COMPUTED_VALUE"""),"Boiling")</f>
        <v>Boiling</v>
      </c>
      <c r="C155" s="197">
        <f t="shared" si="1"/>
        <v>1</v>
      </c>
      <c r="D155" s="20" t="s">
        <v>2428</v>
      </c>
      <c r="E155" s="20">
        <v>1.0</v>
      </c>
    </row>
    <row r="156">
      <c r="A156" s="196"/>
      <c r="B156" s="197" t="str">
        <f>IFERROR(__xludf.DUMMYFUNCTION("""COMPUTED_VALUE"""),"Blood")</f>
        <v>Blood</v>
      </c>
      <c r="C156" s="197">
        <f t="shared" si="1"/>
        <v>2</v>
      </c>
      <c r="D156" s="20" t="s">
        <v>2429</v>
      </c>
      <c r="E156" s="20">
        <v>1.0</v>
      </c>
    </row>
    <row r="157">
      <c r="A157" s="196" t="str">
        <f>IFERROR(__xludf.DUMMYFUNCTION("""COMPUTED_VALUE"""),"Pyramidion")</f>
        <v>Pyramidion</v>
      </c>
      <c r="B157" s="197" t="str">
        <f>IFERROR(__xludf.DUMMYFUNCTION("""COMPUTED_VALUE"""),"Berserker")</f>
        <v>Berserker</v>
      </c>
      <c r="C157" s="197">
        <f t="shared" si="1"/>
        <v>1</v>
      </c>
      <c r="D157" s="20" t="s">
        <v>2430</v>
      </c>
      <c r="E157" s="20">
        <v>1.0</v>
      </c>
    </row>
    <row r="158">
      <c r="A158" s="196"/>
      <c r="B158" s="197" t="str">
        <f>IFERROR(__xludf.DUMMYFUNCTION("""COMPUTED_VALUE"""),"Goat")</f>
        <v>Goat</v>
      </c>
      <c r="C158" s="197">
        <f t="shared" si="1"/>
        <v>1</v>
      </c>
      <c r="D158" s="20" t="s">
        <v>2431</v>
      </c>
      <c r="E158" s="20">
        <v>1.0</v>
      </c>
    </row>
    <row r="159">
      <c r="A159" s="196"/>
      <c r="B159" s="197" t="str">
        <f>IFERROR(__xludf.DUMMYFUNCTION("""COMPUTED_VALUE"""),"Oracle")</f>
        <v>Oracle</v>
      </c>
      <c r="C159" s="197">
        <f t="shared" si="1"/>
        <v>2</v>
      </c>
      <c r="D159" s="20" t="s">
        <v>2432</v>
      </c>
      <c r="E159" s="20">
        <v>1.0</v>
      </c>
    </row>
    <row r="160">
      <c r="A160" s="196"/>
      <c r="B160" s="197" t="str">
        <f>IFERROR(__xludf.DUMMYFUNCTION("""COMPUTED_VALUE"""),"Sagehorn")</f>
        <v>Sagehorn</v>
      </c>
      <c r="C160" s="197">
        <f t="shared" si="1"/>
        <v>1</v>
      </c>
      <c r="D160" s="20" t="s">
        <v>2433</v>
      </c>
      <c r="E160" s="20">
        <v>1.0</v>
      </c>
    </row>
    <row r="161">
      <c r="A161" s="196"/>
      <c r="B161" s="197" t="str">
        <f>IFERROR(__xludf.DUMMYFUNCTION("""COMPUTED_VALUE"""),"Sunblessed")</f>
        <v>Sunblessed</v>
      </c>
      <c r="C161" s="197">
        <f t="shared" si="1"/>
        <v>1</v>
      </c>
      <c r="D161" s="20" t="s">
        <v>2434</v>
      </c>
      <c r="E161" s="20">
        <v>1.0</v>
      </c>
    </row>
    <row r="162">
      <c r="A162" s="196" t="str">
        <f>IFERROR(__xludf.DUMMYFUNCTION("""COMPUTED_VALUE"""),"Sekhem")</f>
        <v>Sekhem</v>
      </c>
      <c r="B162" s="197" t="str">
        <f>IFERROR(__xludf.DUMMYFUNCTION("""COMPUTED_VALUE"""),"Crocodile")</f>
        <v>Crocodile</v>
      </c>
      <c r="C162" s="197">
        <f t="shared" si="1"/>
        <v>1</v>
      </c>
      <c r="D162" s="20" t="s">
        <v>2435</v>
      </c>
      <c r="E162" s="20">
        <v>1.0</v>
      </c>
    </row>
    <row r="163">
      <c r="A163" s="196" t="str">
        <f>IFERROR(__xludf.DUMMYFUNCTION("""COMPUTED_VALUE"""),"Chariot")</f>
        <v>Chariot</v>
      </c>
      <c r="B163" s="197" t="str">
        <f>IFERROR(__xludf.DUMMYFUNCTION("""COMPUTED_VALUE"""),"Kois")</f>
        <v>Kois</v>
      </c>
      <c r="C163" s="197">
        <f t="shared" si="1"/>
        <v>1</v>
      </c>
      <c r="D163" s="20" t="s">
        <v>2436</v>
      </c>
      <c r="E163" s="20">
        <v>1.0</v>
      </c>
    </row>
    <row r="164">
      <c r="A164" s="196"/>
      <c r="B164" s="197" t="str">
        <f>IFERROR(__xludf.DUMMYFUNCTION("""COMPUTED_VALUE"""),"Duality")</f>
        <v>Duality</v>
      </c>
      <c r="C164" s="197">
        <f t="shared" si="1"/>
        <v>1</v>
      </c>
      <c r="D164" s="20" t="s">
        <v>2437</v>
      </c>
      <c r="E164" s="20">
        <v>1.0</v>
      </c>
    </row>
    <row r="165">
      <c r="A165" s="196"/>
      <c r="B165" s="197" t="str">
        <f>IFERROR(__xludf.DUMMYFUNCTION("""COMPUTED_VALUE"""),"Eclipsion")</f>
        <v>Eclipsion</v>
      </c>
      <c r="C165" s="197">
        <f t="shared" si="1"/>
        <v>1</v>
      </c>
      <c r="D165" s="20" t="s">
        <v>2438</v>
      </c>
      <c r="E165" s="20">
        <v>1.0</v>
      </c>
    </row>
    <row r="166">
      <c r="A166" s="196"/>
      <c r="B166" s="197" t="str">
        <f>IFERROR(__xludf.DUMMYFUNCTION("""COMPUTED_VALUE"""),"Fallen")</f>
        <v>Fallen</v>
      </c>
      <c r="C166" s="197">
        <f t="shared" si="1"/>
        <v>1</v>
      </c>
      <c r="D166" s="20" t="s">
        <v>2439</v>
      </c>
      <c r="E166" s="20">
        <v>1.0</v>
      </c>
    </row>
    <row r="167">
      <c r="A167" s="196" t="str">
        <f>IFERROR(__xludf.DUMMYFUNCTION("""COMPUTED_VALUE"""),"Obsidian")</f>
        <v>Obsidian</v>
      </c>
      <c r="B167" s="197" t="str">
        <f>IFERROR(__xludf.DUMMYFUNCTION("""COMPUTED_VALUE"""),"Diamond")</f>
        <v>Diamond</v>
      </c>
      <c r="C167" s="197">
        <f t="shared" si="1"/>
        <v>1</v>
      </c>
      <c r="D167" s="20" t="s">
        <v>2440</v>
      </c>
      <c r="E167" s="20">
        <v>1.0</v>
      </c>
    </row>
    <row r="168">
      <c r="A168" s="196" t="str">
        <f>IFERROR(__xludf.DUMMYFUNCTION("""COMPUTED_VALUE"""),"Scarab")</f>
        <v>Scarab</v>
      </c>
      <c r="B168" s="197" t="str">
        <f>IFERROR(__xludf.DUMMYFUNCTION("""COMPUTED_VALUE"""),"Phantom")</f>
        <v>Phantom</v>
      </c>
      <c r="C168" s="197">
        <f t="shared" si="1"/>
        <v>1</v>
      </c>
      <c r="D168" s="20" t="s">
        <v>2441</v>
      </c>
      <c r="E168" s="20">
        <v>1.0</v>
      </c>
    </row>
    <row r="169">
      <c r="A169" s="196"/>
      <c r="B169" s="197" t="str">
        <f>IFERROR(__xludf.DUMMYFUNCTION("""COMPUTED_VALUE"""),"Draconic")</f>
        <v>Draconic</v>
      </c>
      <c r="C169" s="197">
        <f t="shared" si="1"/>
        <v>1</v>
      </c>
      <c r="D169" s="20" t="s">
        <v>2442</v>
      </c>
      <c r="E169" s="20">
        <v>1.0</v>
      </c>
    </row>
    <row r="170">
      <c r="A170" s="196"/>
      <c r="B170" s="197" t="str">
        <f>IFERROR(__xludf.DUMMYFUNCTION("""COMPUTED_VALUE"""),"Highpriest")</f>
        <v>Highpriest</v>
      </c>
      <c r="C170" s="197">
        <f t="shared" si="1"/>
        <v>1</v>
      </c>
      <c r="D170" s="20" t="s">
        <v>2443</v>
      </c>
      <c r="E170" s="20">
        <v>1.0</v>
      </c>
    </row>
    <row r="171">
      <c r="A171" s="196"/>
      <c r="B171" s="197" t="str">
        <f>IFERROR(__xludf.DUMMYFUNCTION("""COMPUTED_VALUE"""),"Cavern")</f>
        <v>Cavern</v>
      </c>
      <c r="C171" s="197">
        <f t="shared" si="1"/>
        <v>1</v>
      </c>
      <c r="D171" s="20" t="s">
        <v>2444</v>
      </c>
      <c r="E171" s="20">
        <v>1.0</v>
      </c>
    </row>
    <row r="172">
      <c r="A172" s="196" t="str">
        <f>IFERROR(__xludf.DUMMYFUNCTION("""COMPUTED_VALUE"""),"Solarsteel")</f>
        <v>Solarsteel</v>
      </c>
      <c r="B172" s="197" t="str">
        <f>IFERROR(__xludf.DUMMYFUNCTION("""COMPUTED_VALUE"""),"Lindwurm")</f>
        <v>Lindwurm</v>
      </c>
      <c r="C172" s="197">
        <f t="shared" si="1"/>
        <v>1</v>
      </c>
      <c r="D172" s="20" t="s">
        <v>2445</v>
      </c>
      <c r="E172" s="20">
        <v>1.0</v>
      </c>
    </row>
    <row r="173">
      <c r="A173" s="196" t="str">
        <f>IFERROR(__xludf.DUMMYFUNCTION("""COMPUTED_VALUE"""),"Prodigy")</f>
        <v>Prodigy</v>
      </c>
      <c r="B173" s="197" t="str">
        <f>IFERROR(__xludf.DUMMYFUNCTION("""COMPUTED_VALUE"""),"Cheerful")</f>
        <v>Cheerful</v>
      </c>
      <c r="C173" s="197">
        <f t="shared" si="1"/>
        <v>1</v>
      </c>
      <c r="D173" s="20" t="s">
        <v>2446</v>
      </c>
      <c r="E173" s="20">
        <v>1.0</v>
      </c>
    </row>
    <row r="174">
      <c r="A174" s="196"/>
      <c r="B174" s="197" t="str">
        <f>IFERROR(__xludf.DUMMYFUNCTION("""COMPUTED_VALUE"""),"Pixies")</f>
        <v>Pixies</v>
      </c>
      <c r="C174" s="197">
        <f t="shared" si="1"/>
        <v>1</v>
      </c>
      <c r="D174" s="20" t="s">
        <v>326</v>
      </c>
      <c r="E174" s="20">
        <v>1.0</v>
      </c>
    </row>
    <row r="175">
      <c r="A175" s="196"/>
      <c r="B175" s="197" t="str">
        <f>IFERROR(__xludf.DUMMYFUNCTION("""COMPUTED_VALUE"""),"Cinderguard")</f>
        <v>Cinderguard</v>
      </c>
      <c r="C175" s="197">
        <f t="shared" si="1"/>
        <v>5</v>
      </c>
      <c r="D175" s="20" t="s">
        <v>2447</v>
      </c>
      <c r="E175" s="20">
        <v>1.0</v>
      </c>
    </row>
    <row r="176">
      <c r="A176" s="196"/>
      <c r="B176" s="197" t="str">
        <f>IFERROR(__xludf.DUMMYFUNCTION("""COMPUTED_VALUE"""),"Scribe")</f>
        <v>Scribe</v>
      </c>
      <c r="C176" s="197">
        <f t="shared" si="1"/>
        <v>1</v>
      </c>
      <c r="D176" s="20" t="s">
        <v>2448</v>
      </c>
      <c r="E176" s="20">
        <v>1.0</v>
      </c>
    </row>
    <row r="177">
      <c r="A177" s="196" t="str">
        <f>IFERROR(__xludf.DUMMYFUNCTION("""COMPUTED_VALUE"""),"Starforger")</f>
        <v>Starforger</v>
      </c>
      <c r="B177" s="197" t="str">
        <f>IFERROR(__xludf.DUMMYFUNCTION("""COMPUTED_VALUE"""),"Daredevil")</f>
        <v>Daredevil</v>
      </c>
      <c r="C177" s="197">
        <f t="shared" si="1"/>
        <v>1</v>
      </c>
      <c r="D177" s="20" t="s">
        <v>2449</v>
      </c>
      <c r="E177" s="20">
        <v>1.0</v>
      </c>
    </row>
    <row r="178">
      <c r="A178" s="196"/>
      <c r="B178" s="197" t="str">
        <f>IFERROR(__xludf.DUMMYFUNCTION("""COMPUTED_VALUE"""),"Duo")</f>
        <v>Duo</v>
      </c>
      <c r="C178" s="197">
        <f t="shared" si="1"/>
        <v>1</v>
      </c>
      <c r="D178" s="20" t="s">
        <v>2450</v>
      </c>
      <c r="E178" s="20">
        <v>1.0</v>
      </c>
    </row>
    <row r="179">
      <c r="A179" s="196"/>
      <c r="B179" s="197" t="str">
        <f>IFERROR(__xludf.DUMMYFUNCTION("""COMPUTED_VALUE"""),"Beetle")</f>
        <v>Beetle</v>
      </c>
      <c r="C179" s="197">
        <f t="shared" si="1"/>
        <v>3</v>
      </c>
      <c r="D179" s="20" t="s">
        <v>2451</v>
      </c>
      <c r="E179" s="20">
        <v>1.0</v>
      </c>
    </row>
    <row r="180">
      <c r="A180" s="196"/>
      <c r="B180" s="197" t="str">
        <f>IFERROR(__xludf.DUMMYFUNCTION("""COMPUTED_VALUE"""),"Ember")</f>
        <v>Ember</v>
      </c>
      <c r="C180" s="197">
        <f t="shared" si="1"/>
        <v>1</v>
      </c>
      <c r="D180" s="20" t="s">
        <v>2452</v>
      </c>
      <c r="E180" s="20">
        <v>1.0</v>
      </c>
    </row>
    <row r="181">
      <c r="A181" s="196"/>
      <c r="B181" s="197" t="str">
        <f>IFERROR(__xludf.DUMMYFUNCTION("""COMPUTED_VALUE"""),"Whelp")</f>
        <v>Whelp</v>
      </c>
      <c r="C181" s="197">
        <f t="shared" si="1"/>
        <v>1</v>
      </c>
      <c r="D181" s="20" t="s">
        <v>2453</v>
      </c>
      <c r="E181" s="20">
        <v>1.0</v>
      </c>
    </row>
    <row r="182">
      <c r="A182" s="196" t="str">
        <f>IFERROR(__xludf.DUMMYFUNCTION("""COMPUTED_VALUE"""),"Swiftblade")</f>
        <v>Swiftblade</v>
      </c>
      <c r="B182" s="197" t="str">
        <f>IFERROR(__xludf.DUMMYFUNCTION("""COMPUTED_VALUE"""),"Floating")</f>
        <v>Floating</v>
      </c>
      <c r="C182" s="197">
        <f t="shared" si="1"/>
        <v>1</v>
      </c>
      <c r="D182" s="20" t="s">
        <v>2454</v>
      </c>
      <c r="E182" s="20">
        <v>1.0</v>
      </c>
    </row>
    <row r="183">
      <c r="A183" s="196" t="str">
        <f>IFERROR(__xludf.DUMMYFUNCTION("""COMPUTED_VALUE"""),"Revenger")</f>
        <v>Revenger</v>
      </c>
      <c r="B183" s="197" t="str">
        <f>IFERROR(__xludf.DUMMYFUNCTION("""COMPUTED_VALUE"""),"Djinn")</f>
        <v>Djinn</v>
      </c>
      <c r="C183" s="197">
        <f t="shared" si="1"/>
        <v>1</v>
      </c>
      <c r="D183" s="20" t="s">
        <v>2455</v>
      </c>
      <c r="E183" s="20">
        <v>1.0</v>
      </c>
    </row>
    <row r="184">
      <c r="A184" s="196"/>
      <c r="B184" s="197" t="str">
        <f>IFERROR(__xludf.DUMMYFUNCTION("""COMPUTED_VALUE"""),"Dewdrop")</f>
        <v>Dewdrop</v>
      </c>
      <c r="C184" s="197">
        <f t="shared" si="1"/>
        <v>1</v>
      </c>
      <c r="D184" s="20" t="s">
        <v>2456</v>
      </c>
      <c r="E184" s="20">
        <v>1.0</v>
      </c>
    </row>
    <row r="185">
      <c r="A185" s="196"/>
      <c r="B185" s="197" t="str">
        <f>IFERROR(__xludf.DUMMYFUNCTION("""COMPUTED_VALUE"""),"Dragon")</f>
        <v>Dragon</v>
      </c>
      <c r="C185" s="197">
        <f t="shared" si="1"/>
        <v>6</v>
      </c>
      <c r="D185" s="20" t="s">
        <v>2457</v>
      </c>
      <c r="E185" s="20">
        <v>1.0</v>
      </c>
    </row>
    <row r="186">
      <c r="A186" s="196"/>
      <c r="B186" s="197" t="str">
        <f>IFERROR(__xludf.DUMMYFUNCTION("""COMPUTED_VALUE"""),"Egg")</f>
        <v>Egg</v>
      </c>
      <c r="C186" s="197">
        <f t="shared" si="1"/>
        <v>1</v>
      </c>
      <c r="D186" s="20" t="s">
        <v>2458</v>
      </c>
      <c r="E186" s="20">
        <v>1.0</v>
      </c>
    </row>
    <row r="187">
      <c r="A187" s="196" t="str">
        <f>IFERROR(__xludf.DUMMYFUNCTION("""COMPUTED_VALUE"""),"The")</f>
        <v>The</v>
      </c>
      <c r="B187" s="197" t="str">
        <f>IFERROR(__xludf.DUMMYFUNCTION("""COMPUTED_VALUE"""),"Dustdance")</f>
        <v>Dustdance</v>
      </c>
      <c r="C187" s="197">
        <f t="shared" si="1"/>
        <v>1</v>
      </c>
      <c r="D187" s="20" t="s">
        <v>2459</v>
      </c>
      <c r="E187" s="20">
        <v>1.0</v>
      </c>
    </row>
    <row r="188">
      <c r="A188" s="196" t="str">
        <f>IFERROR(__xludf.DUMMYFUNCTION("""COMPUTED_VALUE"""),"Kitty")</f>
        <v>Kitty</v>
      </c>
      <c r="B188" s="197" t="str">
        <f>IFERROR(__xludf.DUMMYFUNCTION("""COMPUTED_VALUE"""),"Efreet")</f>
        <v>Efreet</v>
      </c>
      <c r="C188" s="197">
        <f t="shared" si="1"/>
        <v>1</v>
      </c>
      <c r="D188" s="20" t="s">
        <v>2460</v>
      </c>
      <c r="E188" s="20">
        <v>1.0</v>
      </c>
    </row>
    <row r="189">
      <c r="A189" s="196" t="str">
        <f>IFERROR(__xludf.DUMMYFUNCTION("""COMPUTED_VALUE"""),"of")</f>
        <v>of</v>
      </c>
      <c r="B189" s="197" t="str">
        <f>IFERROR(__xludf.DUMMYFUNCTION("""COMPUTED_VALUE"""),"Hermit")</f>
        <v>Hermit</v>
      </c>
      <c r="C189" s="197">
        <f t="shared" si="1"/>
        <v>3</v>
      </c>
      <c r="D189" s="20" t="s">
        <v>2461</v>
      </c>
      <c r="E189" s="20">
        <v>1.0</v>
      </c>
    </row>
    <row r="190">
      <c r="A190" s="196" t="str">
        <f>IFERROR(__xludf.DUMMYFUNCTION("""COMPUTED_VALUE"""),"Thamiel")</f>
        <v>Thamiel</v>
      </c>
      <c r="B190" s="197" t="str">
        <f>IFERROR(__xludf.DUMMYFUNCTION("""COMPUTED_VALUE"""),"Horizon")</f>
        <v>Horizon</v>
      </c>
      <c r="C190" s="197">
        <f t="shared" si="1"/>
        <v>1</v>
      </c>
      <c r="D190" s="20" t="s">
        <v>2462</v>
      </c>
      <c r="E190" s="20">
        <v>1.0</v>
      </c>
    </row>
    <row r="191">
      <c r="A191" s="196"/>
      <c r="B191" s="197" t="str">
        <f>IFERROR(__xludf.DUMMYFUNCTION("""COMPUTED_VALUE"""),"Roughlands")</f>
        <v>Roughlands</v>
      </c>
      <c r="C191" s="197">
        <f t="shared" si="1"/>
        <v>1</v>
      </c>
      <c r="D191" s="20" t="s">
        <v>2463</v>
      </c>
      <c r="E191" s="20">
        <v>1.0</v>
      </c>
    </row>
    <row r="192">
      <c r="A192" s="196" t="str">
        <f>IFERROR(__xludf.DUMMYFUNCTION("""COMPUTED_VALUE"""),"Thunderswarm")</f>
        <v>Thunderswarm</v>
      </c>
      <c r="B192" s="197" t="str">
        <f>IFERROR(__xludf.DUMMYFUNCTION("""COMPUTED_VALUE"""),"Scourge")</f>
        <v>Scourge</v>
      </c>
      <c r="C192" s="197">
        <f t="shared" si="1"/>
        <v>1</v>
      </c>
      <c r="D192" s="20" t="s">
        <v>2464</v>
      </c>
      <c r="E192" s="20">
        <v>1.0</v>
      </c>
    </row>
    <row r="193">
      <c r="A193" s="196" t="str">
        <f>IFERROR(__xludf.DUMMYFUNCTION("""COMPUTED_VALUE"""),"Skirmisher")</f>
        <v>Skirmisher</v>
      </c>
      <c r="B193" s="197" t="str">
        <f>IFERROR(__xludf.DUMMYFUNCTION("""COMPUTED_VALUE"""),"Mirrorworld")</f>
        <v>Mirrorworld</v>
      </c>
      <c r="C193" s="197">
        <f t="shared" si="1"/>
        <v>1</v>
      </c>
      <c r="D193" s="20" t="s">
        <v>2465</v>
      </c>
      <c r="E193" s="20">
        <v>1.0</v>
      </c>
    </row>
    <row r="194">
      <c r="A194" s="196"/>
      <c r="B194" s="197" t="str">
        <f>IFERROR(__xludf.DUMMYFUNCTION("""COMPUTED_VALUE"""),"Bloodseeker")</f>
        <v>Bloodseeker</v>
      </c>
      <c r="C194" s="197">
        <f t="shared" si="1"/>
        <v>1</v>
      </c>
      <c r="D194" s="20" t="s">
        <v>2466</v>
      </c>
      <c r="E194" s="20">
        <v>1.0</v>
      </c>
    </row>
    <row r="195">
      <c r="A195" s="196"/>
      <c r="B195" s="197" t="str">
        <f>IFERROR(__xludf.DUMMYFUNCTION("""COMPUTED_VALUE"""),"Mountain")</f>
        <v>Mountain</v>
      </c>
      <c r="C195" s="197">
        <f t="shared" si="1"/>
        <v>1</v>
      </c>
      <c r="D195" s="20" t="s">
        <v>2467</v>
      </c>
      <c r="E195" s="20">
        <v>1.0</v>
      </c>
    </row>
    <row r="196">
      <c r="A196" s="196"/>
      <c r="B196" s="197" t="str">
        <f>IFERROR(__xludf.DUMMYFUNCTION("""COMPUTED_VALUE"""),"Sage")</f>
        <v>Sage</v>
      </c>
      <c r="C196" s="197">
        <f t="shared" si="1"/>
        <v>1</v>
      </c>
      <c r="D196" s="20" t="s">
        <v>2468</v>
      </c>
      <c r="E196" s="20">
        <v>1.0</v>
      </c>
    </row>
    <row r="197">
      <c r="A197" s="196" t="str">
        <f>IFERROR(__xludf.DUMMYFUNCTION("""COMPUTED_VALUE"""),"Tranquil")</f>
        <v>Tranquil</v>
      </c>
      <c r="B197" s="197" t="str">
        <f>IFERROR(__xludf.DUMMYFUNCTION("""COMPUTED_VALUE"""),"Nimbus")</f>
        <v>Nimbus</v>
      </c>
      <c r="C197" s="197">
        <f t="shared" si="1"/>
        <v>1</v>
      </c>
      <c r="D197" s="20" t="s">
        <v>2469</v>
      </c>
      <c r="E197" s="20">
        <v>1.0</v>
      </c>
    </row>
    <row r="198">
      <c r="A198" s="196" t="str">
        <f>IFERROR(__xludf.DUMMYFUNCTION("""COMPUTED_VALUE"""),"Herd")</f>
        <v>Herd</v>
      </c>
      <c r="B198" s="197" t="str">
        <f>IFERROR(__xludf.DUMMYFUNCTION("""COMPUTED_VALUE"""),"Claw")</f>
        <v>Claw</v>
      </c>
      <c r="C198" s="197">
        <f t="shared" si="1"/>
        <v>2</v>
      </c>
      <c r="D198" s="20" t="s">
        <v>2470</v>
      </c>
      <c r="E198" s="20">
        <v>1.0</v>
      </c>
    </row>
    <row r="199">
      <c r="A199" s="196" t="str">
        <f>IFERROR(__xludf.DUMMYFUNCTION("""COMPUTED_VALUE"""),"Gem")</f>
        <v>Gem</v>
      </c>
      <c r="B199" s="197" t="str">
        <f>IFERROR(__xludf.DUMMYFUNCTION("""COMPUTED_VALUE"""),"Omen")</f>
        <v>Omen</v>
      </c>
      <c r="C199" s="197">
        <f t="shared" si="1"/>
        <v>1</v>
      </c>
      <c r="D199" s="20" t="s">
        <v>2471</v>
      </c>
      <c r="E199" s="20">
        <v>1.0</v>
      </c>
    </row>
    <row r="200">
      <c r="A200" s="196" t="str">
        <f>IFERROR(__xludf.DUMMYFUNCTION("""COMPUTED_VALUE"""),"Titan")</f>
        <v>Titan</v>
      </c>
      <c r="B200" s="197" t="str">
        <f>IFERROR(__xludf.DUMMYFUNCTION("""COMPUTED_VALUE"""),"Firefly")</f>
        <v>Firefly</v>
      </c>
      <c r="C200" s="197">
        <f t="shared" si="1"/>
        <v>1</v>
      </c>
      <c r="D200" s="20" t="s">
        <v>2472</v>
      </c>
      <c r="E200" s="20">
        <v>1.0</v>
      </c>
    </row>
    <row r="201">
      <c r="A201" s="196"/>
      <c r="B201" s="197" t="str">
        <f>IFERROR(__xludf.DUMMYFUNCTION("""COMPUTED_VALUE"""),"Pixie")</f>
        <v>Pixie</v>
      </c>
      <c r="C201" s="197">
        <f t="shared" si="1"/>
        <v>1</v>
      </c>
      <c r="D201" s="20" t="s">
        <v>2473</v>
      </c>
      <c r="E201" s="20">
        <v>1.0</v>
      </c>
    </row>
    <row r="202">
      <c r="A202" s="196" t="str">
        <f>IFERROR(__xludf.DUMMYFUNCTION("""COMPUTED_VALUE"""),"Towering")</f>
        <v>Towering</v>
      </c>
      <c r="B202" s="197" t="str">
        <f>IFERROR(__xludf.DUMMYFUNCTION("""COMPUTED_VALUE"""),"Summoner")</f>
        <v>Summoner</v>
      </c>
      <c r="C202" s="197">
        <f t="shared" si="1"/>
        <v>1</v>
      </c>
      <c r="D202" s="20" t="s">
        <v>2474</v>
      </c>
      <c r="E202" s="20">
        <v>1.0</v>
      </c>
    </row>
    <row r="203">
      <c r="A203" s="196" t="str">
        <f>IFERROR(__xludf.DUMMYFUNCTION("""COMPUTED_VALUE"""),"Obelisk")</f>
        <v>Obelisk</v>
      </c>
      <c r="B203" s="197" t="str">
        <f>IFERROR(__xludf.DUMMYFUNCTION("""COMPUTED_VALUE"""),"Pyretic")</f>
        <v>Pyretic</v>
      </c>
      <c r="C203" s="197">
        <f t="shared" si="1"/>
        <v>1</v>
      </c>
      <c r="D203" s="20" t="s">
        <v>2475</v>
      </c>
      <c r="E203" s="20">
        <v>1.0</v>
      </c>
    </row>
    <row r="204">
      <c r="A204" s="196" t="str">
        <f>IFERROR(__xludf.DUMMYFUNCTION("""COMPUTED_VALUE"""),"of")</f>
        <v>of</v>
      </c>
      <c r="B204" s="197" t="str">
        <f>IFERROR(__xludf.DUMMYFUNCTION("""COMPUTED_VALUE"""),"Pet")</f>
        <v>Pet</v>
      </c>
      <c r="C204" s="197">
        <f t="shared" si="1"/>
        <v>1</v>
      </c>
      <c r="D204" s="20" t="s">
        <v>2476</v>
      </c>
      <c r="E204" s="20">
        <v>1.0</v>
      </c>
    </row>
    <row r="205">
      <c r="A205" s="196" t="str">
        <f>IFERROR(__xludf.DUMMYFUNCTION("""COMPUTED_VALUE"""),"Xi")</f>
        <v>Xi</v>
      </c>
      <c r="B205" s="197" t="str">
        <f>IFERROR(__xludf.DUMMYFUNCTION("""COMPUTED_VALUE"""),"Shifting")</f>
        <v>Shifting</v>
      </c>
      <c r="C205" s="197">
        <f t="shared" si="1"/>
        <v>1</v>
      </c>
      <c r="D205" s="20" t="s">
        <v>2477</v>
      </c>
      <c r="E205" s="20">
        <v>1.0</v>
      </c>
    </row>
    <row r="206">
      <c r="A206" s="196"/>
      <c r="B206" s="197" t="str">
        <f>IFERROR(__xludf.DUMMYFUNCTION("""COMPUTED_VALUE"""),"Sands")</f>
        <v>Sands</v>
      </c>
      <c r="C206" s="197">
        <f t="shared" si="1"/>
        <v>1</v>
      </c>
      <c r="D206" s="20" t="s">
        <v>2478</v>
      </c>
      <c r="E206" s="20">
        <v>1.0</v>
      </c>
    </row>
    <row r="207">
      <c r="A207" s="196" t="str">
        <f>IFERROR(__xludf.DUMMYFUNCTION("""COMPUTED_VALUE"""),"Thunderswarm")</f>
        <v>Thunderswarm</v>
      </c>
      <c r="B207" s="197" t="str">
        <f>IFERROR(__xludf.DUMMYFUNCTION("""COMPUTED_VALUE"""),"Torii")</f>
        <v>Torii</v>
      </c>
      <c r="C207" s="197">
        <f t="shared" si="1"/>
        <v>1</v>
      </c>
      <c r="D207" s="20" t="s">
        <v>2479</v>
      </c>
      <c r="E207" s="20">
        <v>1.0</v>
      </c>
    </row>
    <row r="208">
      <c r="A208" s="196" t="str">
        <f>IFERROR(__xludf.DUMMYFUNCTION("""COMPUTED_VALUE"""),"Pegasus")</f>
        <v>Pegasus</v>
      </c>
      <c r="B208" s="197" t="str">
        <f>IFERROR(__xludf.DUMMYFUNCTION("""COMPUTED_VALUE"""),"Spirit")</f>
        <v>Spirit</v>
      </c>
      <c r="C208" s="197">
        <f t="shared" si="1"/>
        <v>1</v>
      </c>
      <c r="D208" s="20" t="s">
        <v>2480</v>
      </c>
      <c r="E208" s="20">
        <v>1.0</v>
      </c>
    </row>
    <row r="209">
      <c r="A209" s="196"/>
      <c r="B209" s="197" t="str">
        <f>IFERROR(__xludf.DUMMYFUNCTION("""COMPUTED_VALUE"""),"Red")</f>
        <v>Red</v>
      </c>
      <c r="C209" s="197">
        <f t="shared" si="1"/>
        <v>2</v>
      </c>
      <c r="D209" s="20" t="s">
        <v>2481</v>
      </c>
      <c r="E209" s="20">
        <v>1.0</v>
      </c>
    </row>
    <row r="210">
      <c r="A210" s="196"/>
      <c r="B210" s="197" t="str">
        <f>IFERROR(__xludf.DUMMYFUNCTION("""COMPUTED_VALUE"""),"Windkite")</f>
        <v>Windkite</v>
      </c>
      <c r="C210" s="197">
        <f t="shared" si="1"/>
        <v>1</v>
      </c>
      <c r="D210" s="20" t="s">
        <v>2482</v>
      </c>
      <c r="E210" s="20">
        <v>1.0</v>
      </c>
    </row>
    <row r="211">
      <c r="A211" s="196"/>
      <c r="B211" s="197" t="str">
        <f>IFERROR(__xludf.DUMMYFUNCTION("""COMPUTED_VALUE"""),"Acolyte")</f>
        <v>Acolyte</v>
      </c>
      <c r="C211" s="197">
        <f t="shared" si="1"/>
        <v>2</v>
      </c>
      <c r="D211" s="20" t="s">
        <v>2483</v>
      </c>
      <c r="E211" s="20">
        <v>1.0</v>
      </c>
    </row>
    <row r="212">
      <c r="A212" s="196" t="str">
        <f>IFERROR(__xludf.DUMMYFUNCTION("""COMPUTED_VALUE"""),"Winged")</f>
        <v>Winged</v>
      </c>
      <c r="B212" s="197" t="str">
        <f>IFERROR(__xludf.DUMMYFUNCTION("""COMPUTED_VALUE"""),"Sand")</f>
        <v>Sand</v>
      </c>
      <c r="C212" s="197">
        <f t="shared" si="1"/>
        <v>1</v>
      </c>
      <c r="D212" s="20" t="s">
        <v>2484</v>
      </c>
      <c r="E212" s="20">
        <v>1.0</v>
      </c>
    </row>
    <row r="213">
      <c r="A213" s="196" t="str">
        <f>IFERROR(__xludf.DUMMYFUNCTION("""COMPUTED_VALUE"""),"Ushabti")</f>
        <v>Ushabti</v>
      </c>
      <c r="B213" s="197" t="str">
        <f>IFERROR(__xludf.DUMMYFUNCTION("""COMPUTED_VALUE"""),"Witch")</f>
        <v>Witch</v>
      </c>
      <c r="C213" s="197">
        <f t="shared" si="1"/>
        <v>1</v>
      </c>
      <c r="D213" s="20" t="s">
        <v>2485</v>
      </c>
      <c r="E213" s="20">
        <v>1.0</v>
      </c>
    </row>
    <row r="214">
      <c r="A214" s="196"/>
      <c r="B214" s="197" t="str">
        <f>IFERROR(__xludf.DUMMYFUNCTION("""COMPUTED_VALUE"""),"Shardhorde")</f>
        <v>Shardhorde</v>
      </c>
      <c r="C214" s="197">
        <f t="shared" si="1"/>
        <v>3</v>
      </c>
      <c r="D214" s="20" t="s">
        <v>2486</v>
      </c>
      <c r="E214" s="20">
        <v>1.0</v>
      </c>
    </row>
    <row r="215">
      <c r="A215" s="196"/>
      <c r="B215" s="197" t="str">
        <f>IFERROR(__xludf.DUMMYFUNCTION("""COMPUTED_VALUE"""),"Galewhelp")</f>
        <v>Galewhelp</v>
      </c>
      <c r="C215" s="197">
        <f t="shared" si="1"/>
        <v>1</v>
      </c>
      <c r="D215" s="20" t="s">
        <v>2487</v>
      </c>
      <c r="E215" s="20">
        <v>1.0</v>
      </c>
    </row>
    <row r="216">
      <c r="A216" s="196"/>
      <c r="B216" s="197" t="str">
        <f>IFERROR(__xludf.DUMMYFUNCTION("""COMPUTED_VALUE"""),"Amberlock")</f>
        <v>Amberlock</v>
      </c>
      <c r="C216" s="197">
        <f t="shared" si="1"/>
        <v>1</v>
      </c>
      <c r="D216" s="20" t="s">
        <v>2488</v>
      </c>
      <c r="E216" s="20">
        <v>1.0</v>
      </c>
    </row>
    <row r="217">
      <c r="A217" s="196" t="str">
        <f>IFERROR(__xludf.DUMMYFUNCTION("""COMPUTED_VALUE"""),"Ghostfire")</f>
        <v>Ghostfire</v>
      </c>
      <c r="B217" s="197" t="str">
        <f>IFERROR(__xludf.DUMMYFUNCTION("""COMPUTED_VALUE"""),"Dragonling")</f>
        <v>Dragonling</v>
      </c>
      <c r="C217" s="197">
        <f t="shared" si="1"/>
        <v>1</v>
      </c>
      <c r="D217" s="20" t="s">
        <v>2489</v>
      </c>
      <c r="E217" s="20">
        <v>1.0</v>
      </c>
    </row>
    <row r="218">
      <c r="A218" s="196" t="str">
        <f>IFERROR(__xludf.DUMMYFUNCTION("""COMPUTED_VALUE"""),"Basilisk")</f>
        <v>Basilisk</v>
      </c>
      <c r="B218" s="197" t="str">
        <f>IFERROR(__xludf.DUMMYFUNCTION("""COMPUTED_VALUE"""),"Dragonfire")</f>
        <v>Dragonfire</v>
      </c>
      <c r="C218" s="197">
        <f t="shared" si="1"/>
        <v>1</v>
      </c>
      <c r="D218" s="20" t="s">
        <v>2490</v>
      </c>
      <c r="E218" s="20">
        <v>1.0</v>
      </c>
    </row>
    <row r="219">
      <c r="A219" s="196"/>
      <c r="B219" s="197" t="str">
        <f>IFERROR(__xludf.DUMMYFUNCTION("""COMPUTED_VALUE"""),"Warlock")</f>
        <v>Warlock</v>
      </c>
      <c r="C219" s="197">
        <f t="shared" si="1"/>
        <v>1</v>
      </c>
      <c r="D219" s="20" t="s">
        <v>2491</v>
      </c>
      <c r="E219" s="20">
        <v>1.0</v>
      </c>
    </row>
    <row r="220">
      <c r="A220" s="196"/>
      <c r="B220" s="197" t="str">
        <f>IFERROR(__xludf.DUMMYFUNCTION("""COMPUTED_VALUE"""),"Dragonwind")</f>
        <v>Dragonwind</v>
      </c>
      <c r="C220" s="197">
        <f t="shared" si="1"/>
        <v>1</v>
      </c>
      <c r="D220" s="20" t="s">
        <v>2492</v>
      </c>
      <c r="E220" s="20">
        <v>1.0</v>
      </c>
    </row>
    <row r="221">
      <c r="A221" s="196"/>
      <c r="B221" s="197" t="str">
        <f>IFERROR(__xludf.DUMMYFUNCTION("""COMPUTED_VALUE"""),"Harbinger")</f>
        <v>Harbinger</v>
      </c>
      <c r="C221" s="197">
        <f t="shared" si="1"/>
        <v>1</v>
      </c>
      <c r="D221" s="20" t="s">
        <v>2493</v>
      </c>
      <c r="E221" s="20">
        <v>1.0</v>
      </c>
    </row>
    <row r="222">
      <c r="A222" s="196" t="str">
        <f>IFERROR(__xludf.DUMMYFUNCTION("""COMPUTED_VALUE"""),"Yellow")</f>
        <v>Yellow</v>
      </c>
      <c r="B222" s="197" t="str">
        <f>IFERROR(__xludf.DUMMYFUNCTION("""COMPUTED_VALUE"""),"Sparkwielder")</f>
        <v>Sparkwielder</v>
      </c>
      <c r="C222" s="197">
        <f t="shared" si="1"/>
        <v>1</v>
      </c>
      <c r="D222" s="20" t="s">
        <v>2494</v>
      </c>
      <c r="E222" s="20">
        <v>1.0</v>
      </c>
    </row>
    <row r="223">
      <c r="A223" s="196" t="str">
        <f>IFERROR(__xludf.DUMMYFUNCTION("""COMPUTED_VALUE"""),"Crusader")</f>
        <v>Crusader</v>
      </c>
      <c r="B223" s="197" t="str">
        <f>IFERROR(__xludf.DUMMYFUNCTION("""COMPUTED_VALUE"""),"Gashopper")</f>
        <v>Gashopper</v>
      </c>
      <c r="C223" s="197">
        <f t="shared" si="1"/>
        <v>1</v>
      </c>
      <c r="D223" s="20" t="s">
        <v>2495</v>
      </c>
      <c r="E223" s="20">
        <v>1.0</v>
      </c>
    </row>
    <row r="224">
      <c r="A224" s="196"/>
      <c r="B224" s="197" t="str">
        <f>IFERROR(__xludf.DUMMYFUNCTION("""COMPUTED_VALUE"""),"Hailbringer")</f>
        <v>Hailbringer</v>
      </c>
      <c r="C224" s="197">
        <f t="shared" si="1"/>
        <v>1</v>
      </c>
      <c r="D224" s="20" t="s">
        <v>2496</v>
      </c>
      <c r="E224" s="20">
        <v>1.0</v>
      </c>
    </row>
    <row r="225">
      <c r="A225" s="196"/>
      <c r="B225" s="197" t="str">
        <f>IFERROR(__xludf.DUMMYFUNCTION("""COMPUTED_VALUE"""),"Stormlash")</f>
        <v>Stormlash</v>
      </c>
      <c r="C225" s="197">
        <f t="shared" si="1"/>
        <v>1</v>
      </c>
      <c r="D225" s="20" t="s">
        <v>2497</v>
      </c>
      <c r="E225" s="20">
        <v>1.0</v>
      </c>
    </row>
    <row r="226">
      <c r="A226" s="196"/>
      <c r="B226" s="197" t="str">
        <f>IFERROR(__xludf.DUMMYFUNCTION("""COMPUTED_VALUE"""),"Stormworn")</f>
        <v>Stormworn</v>
      </c>
      <c r="C226" s="197">
        <f t="shared" si="1"/>
        <v>1</v>
      </c>
      <c r="D226" s="20" t="s">
        <v>2498</v>
      </c>
      <c r="E226" s="20">
        <v>1.0</v>
      </c>
    </row>
    <row r="227">
      <c r="A227" s="196" t="str">
        <f>IFERROR(__xludf.DUMMYFUNCTION("""COMPUTED_VALUE"""),"Young")</f>
        <v>Young</v>
      </c>
      <c r="B227" s="197" t="str">
        <f>IFERROR(__xludf.DUMMYFUNCTION("""COMPUTED_VALUE"""),"Horn")</f>
        <v>Horn</v>
      </c>
      <c r="C227" s="197">
        <f t="shared" si="1"/>
        <v>1</v>
      </c>
      <c r="D227" s="20" t="s">
        <v>2499</v>
      </c>
      <c r="E227" s="20">
        <v>1.0</v>
      </c>
    </row>
    <row r="228">
      <c r="A228" s="196" t="str">
        <f>IFERROR(__xludf.DUMMYFUNCTION("""COMPUTED_VALUE"""),"Monk")</f>
        <v>Monk</v>
      </c>
      <c r="B228" s="197" t="str">
        <f>IFERROR(__xludf.DUMMYFUNCTION("""COMPUTED_VALUE"""),"Glinteye")</f>
        <v>Glinteye</v>
      </c>
      <c r="C228" s="197">
        <f t="shared" si="1"/>
        <v>1</v>
      </c>
      <c r="D228" s="20" t="s">
        <v>2500</v>
      </c>
      <c r="E228" s="20">
        <v>1.0</v>
      </c>
    </row>
    <row r="229">
      <c r="A229" s="196"/>
      <c r="B229" s="197" t="str">
        <f>IFERROR(__xludf.DUMMYFUNCTION("""COMPUTED_VALUE"""),"Hoarder")</f>
        <v>Hoarder</v>
      </c>
      <c r="C229" s="197">
        <f t="shared" si="1"/>
        <v>1</v>
      </c>
      <c r="D229" s="20" t="s">
        <v>2501</v>
      </c>
      <c r="E229" s="20">
        <v>1.0</v>
      </c>
    </row>
    <row r="230">
      <c r="A230" s="196"/>
      <c r="B230" s="197" t="str">
        <f>IFERROR(__xludf.DUMMYFUNCTION("""COMPUTED_VALUE"""),"Culling")</f>
        <v>Culling</v>
      </c>
      <c r="C230" s="197">
        <f t="shared" si="1"/>
        <v>1</v>
      </c>
      <c r="D230" s="20" t="s">
        <v>2502</v>
      </c>
      <c r="E230" s="20">
        <v>1.0</v>
      </c>
    </row>
    <row r="231">
      <c r="A231" s="196"/>
      <c r="B231" s="197" t="str">
        <f>IFERROR(__xludf.DUMMYFUNCTION("""COMPUTED_VALUE"""),"Thunderfox")</f>
        <v>Thunderfox</v>
      </c>
      <c r="C231" s="197">
        <f t="shared" si="1"/>
        <v>1</v>
      </c>
      <c r="D231" s="20" t="s">
        <v>2503</v>
      </c>
      <c r="E231" s="20">
        <v>1.0</v>
      </c>
    </row>
    <row r="232">
      <c r="A232" s="196" t="str">
        <f>IFERROR(__xludf.DUMMYFUNCTION("""COMPUTED_VALUE"""),"Cartouche")</f>
        <v>Cartouche</v>
      </c>
      <c r="B232" s="197" t="str">
        <f>IFERROR(__xludf.DUMMYFUNCTION("""COMPUTED_VALUE"""),"Raijin's")</f>
        <v>Raijin's</v>
      </c>
      <c r="C232" s="197">
        <f t="shared" si="1"/>
        <v>1</v>
      </c>
      <c r="D232" s="20" t="s">
        <v>2504</v>
      </c>
      <c r="E232" s="20">
        <v>1.0</v>
      </c>
    </row>
    <row r="233">
      <c r="A233" s="196" t="str">
        <f>IFERROR(__xludf.DUMMYFUNCTION("""COMPUTED_VALUE"""),"Luster")</f>
        <v>Luster</v>
      </c>
      <c r="B233" s="197" t="str">
        <f>IFERROR(__xludf.DUMMYFUNCTION("""COMPUTED_VALUE"""),"Familiar")</f>
        <v>Familiar</v>
      </c>
      <c r="C233" s="197">
        <f t="shared" si="1"/>
        <v>2</v>
      </c>
      <c r="D233" s="20" t="s">
        <v>2505</v>
      </c>
      <c r="E233" s="20">
        <v>1.0</v>
      </c>
    </row>
    <row r="234">
      <c r="A234" s="196"/>
      <c r="B234" s="197" t="str">
        <f>IFERROR(__xludf.DUMMYFUNCTION("""COMPUTED_VALUE"""),"Twin")</f>
        <v>Twin</v>
      </c>
      <c r="C234" s="197">
        <f t="shared" si="1"/>
        <v>2</v>
      </c>
      <c r="D234" s="20" t="s">
        <v>2506</v>
      </c>
      <c r="E234" s="20">
        <v>1.0</v>
      </c>
    </row>
    <row r="235">
      <c r="A235" s="196"/>
      <c r="B235" s="197" t="str">
        <f>IFERROR(__xludf.DUMMYFUNCTION("""COMPUTED_VALUE"""),"Thundertail")</f>
        <v>Thundertail</v>
      </c>
      <c r="C235" s="197">
        <f t="shared" si="1"/>
        <v>1</v>
      </c>
      <c r="D235" s="20" t="s">
        <v>2507</v>
      </c>
      <c r="E235" s="20">
        <v>1.0</v>
      </c>
    </row>
    <row r="236">
      <c r="A236" s="196"/>
      <c r="B236" s="197" t="str">
        <f>IFERROR(__xludf.DUMMYFUNCTION("""COMPUTED_VALUE"""),"Vengeful")</f>
        <v>Vengeful</v>
      </c>
      <c r="C236" s="197">
        <f t="shared" si="1"/>
        <v>1</v>
      </c>
      <c r="D236" s="20" t="s">
        <v>2508</v>
      </c>
      <c r="E236" s="20">
        <v>1.0</v>
      </c>
    </row>
    <row r="237">
      <c r="A237" s="196" t="str">
        <f>IFERROR(__xludf.DUMMYFUNCTION("""COMPUTED_VALUE"""),"Golden")</f>
        <v>Golden</v>
      </c>
      <c r="B237" s="197" t="str">
        <f>IFERROR(__xludf.DUMMYFUNCTION("""COMPUTED_VALUE"""),"Gust")</f>
        <v>Gust</v>
      </c>
      <c r="C237" s="197">
        <f t="shared" si="1"/>
        <v>1</v>
      </c>
      <c r="D237" s="20" t="s">
        <v>2509</v>
      </c>
      <c r="E237" s="20">
        <v>1.0</v>
      </c>
    </row>
    <row r="238">
      <c r="A238" s="196" t="str">
        <f>IFERROR(__xludf.DUMMYFUNCTION("""COMPUTED_VALUE"""),"Phoenix")</f>
        <v>Phoenix</v>
      </c>
      <c r="B238" s="197" t="str">
        <f>IFERROR(__xludf.DUMMYFUNCTION("""COMPUTED_VALUE"""),"Runecursed")</f>
        <v>Runecursed</v>
      </c>
      <c r="C238" s="197">
        <f t="shared" si="1"/>
        <v>1</v>
      </c>
      <c r="D238" s="20" t="s">
        <v>2510</v>
      </c>
      <c r="E238" s="20">
        <v>1.0</v>
      </c>
    </row>
    <row r="239">
      <c r="A239" s="196"/>
      <c r="B239" s="197" t="str">
        <f>IFERROR(__xludf.DUMMYFUNCTION("""COMPUTED_VALUE"""),"Skulloath")</f>
        <v>Skulloath</v>
      </c>
      <c r="C239" s="197">
        <f t="shared" si="1"/>
        <v>2</v>
      </c>
      <c r="D239" s="20" t="s">
        <v>2511</v>
      </c>
      <c r="E239" s="20">
        <v>1.0</v>
      </c>
    </row>
    <row r="240">
      <c r="A240" s="196"/>
      <c r="B240" s="197" t="str">
        <f>IFERROR(__xludf.DUMMYFUNCTION("""COMPUTED_VALUE"""),"Lootclaimer")</f>
        <v>Lootclaimer</v>
      </c>
      <c r="C240" s="197">
        <f t="shared" si="1"/>
        <v>1</v>
      </c>
      <c r="D240" s="20" t="s">
        <v>2512</v>
      </c>
      <c r="E240" s="20">
        <v>1.0</v>
      </c>
    </row>
    <row r="241">
      <c r="A241" s="196"/>
      <c r="B241" s="197" t="str">
        <f>IFERROR(__xludf.DUMMYFUNCTION("""COMPUTED_VALUE"""),"Spell")</f>
        <v>Spell</v>
      </c>
      <c r="C241" s="197">
        <f t="shared" si="1"/>
        <v>1</v>
      </c>
      <c r="D241" s="20" t="s">
        <v>2513</v>
      </c>
      <c r="E241" s="20">
        <v>1.0</v>
      </c>
    </row>
    <row r="242">
      <c r="A242" s="196" t="str">
        <f>IFERROR(__xludf.DUMMYFUNCTION("""COMPUTED_VALUE"""),"Hailstorm")</f>
        <v>Hailstorm</v>
      </c>
      <c r="B242" s="197" t="str">
        <f>IFERROR(__xludf.DUMMYFUNCTION("""COMPUTED_VALUE"""),"Cat")</f>
        <v>Cat</v>
      </c>
      <c r="C242" s="197">
        <f t="shared" si="1"/>
        <v>1</v>
      </c>
      <c r="D242" s="20" t="s">
        <v>2514</v>
      </c>
      <c r="E242" s="20">
        <v>1.0</v>
      </c>
    </row>
    <row r="243">
      <c r="A243" s="196" t="str">
        <f>IFERROR(__xludf.DUMMYFUNCTION("""COMPUTED_VALUE"""),"Seraph")</f>
        <v>Seraph</v>
      </c>
      <c r="B243" s="197" t="str">
        <f>IFERROR(__xludf.DUMMYFUNCTION("""COMPUTED_VALUE"""),"Vermillion")</f>
        <v>Vermillion</v>
      </c>
      <c r="C243" s="197">
        <f t="shared" si="1"/>
        <v>1</v>
      </c>
      <c r="D243" s="20" t="s">
        <v>2515</v>
      </c>
      <c r="E243" s="20">
        <v>1.0</v>
      </c>
    </row>
    <row r="244">
      <c r="A244" s="196"/>
      <c r="B244" s="197" t="str">
        <f>IFERROR(__xludf.DUMMYFUNCTION("""COMPUTED_VALUE"""),"Firebird")</f>
        <v>Firebird</v>
      </c>
      <c r="C244" s="197">
        <f t="shared" si="1"/>
        <v>1</v>
      </c>
      <c r="D244" s="20" t="s">
        <v>2516</v>
      </c>
      <c r="E244" s="20">
        <v>1.0</v>
      </c>
    </row>
    <row r="245">
      <c r="A245" s="196"/>
      <c r="B245" s="197" t="str">
        <f>IFERROR(__xludf.DUMMYFUNCTION("""COMPUTED_VALUE"""),"Oasisdweller")</f>
        <v>Oasisdweller</v>
      </c>
      <c r="C245" s="197">
        <f t="shared" si="1"/>
        <v>1</v>
      </c>
      <c r="D245" s="20" t="s">
        <v>2517</v>
      </c>
      <c r="E245" s="20">
        <v>1.0</v>
      </c>
    </row>
    <row r="246">
      <c r="A246" s="196"/>
      <c r="B246" s="197" t="str">
        <f>IFERROR(__xludf.DUMMYFUNCTION("""COMPUTED_VALUE"""),"Portalrunner")</f>
        <v>Portalrunner</v>
      </c>
      <c r="C246" s="197">
        <f t="shared" si="1"/>
        <v>1</v>
      </c>
      <c r="D246" s="20" t="s">
        <v>2518</v>
      </c>
      <c r="E246" s="20">
        <v>1.0</v>
      </c>
    </row>
    <row r="247">
      <c r="A247" s="196" t="str">
        <f>IFERROR(__xludf.DUMMYFUNCTION("""COMPUTED_VALUE"""),"Scittering")</f>
        <v>Scittering</v>
      </c>
      <c r="B247" s="197" t="str">
        <f>IFERROR(__xludf.DUMMYFUNCTION("""COMPUTED_VALUE"""),"Irregulars")</f>
        <v>Irregulars</v>
      </c>
      <c r="C247" s="197">
        <f t="shared" si="1"/>
        <v>1</v>
      </c>
      <c r="D247" s="20" t="s">
        <v>2519</v>
      </c>
      <c r="E247" s="20">
        <v>1.0</v>
      </c>
    </row>
    <row r="248">
      <c r="A248" s="196" t="str">
        <f>IFERROR(__xludf.DUMMYFUNCTION("""COMPUTED_VALUE"""),"Scorpion")</f>
        <v>Scorpion</v>
      </c>
      <c r="B248" s="197" t="str">
        <f>IFERROR(__xludf.DUMMYFUNCTION("""COMPUTED_VALUE"""),"Steelclaw")</f>
        <v>Steelclaw</v>
      </c>
      <c r="C248" s="197">
        <f t="shared" si="1"/>
        <v>1</v>
      </c>
      <c r="D248" s="20" t="s">
        <v>2520</v>
      </c>
      <c r="E248" s="20">
        <v>1.0</v>
      </c>
    </row>
    <row r="249">
      <c r="A249" s="196"/>
      <c r="B249" s="197" t="str">
        <f>IFERROR(__xludf.DUMMYFUNCTION("""COMPUTED_VALUE"""),"Veterans")</f>
        <v>Veterans</v>
      </c>
      <c r="C249" s="197">
        <f t="shared" si="1"/>
        <v>1</v>
      </c>
      <c r="D249" s="20" t="s">
        <v>2521</v>
      </c>
      <c r="E249" s="20">
        <v>1.0</v>
      </c>
    </row>
    <row r="250">
      <c r="A250" s="196"/>
      <c r="B250" s="197" t="str">
        <f>IFERROR(__xludf.DUMMYFUNCTION("""COMPUTED_VALUE"""),"Crazed")</f>
        <v>Crazed</v>
      </c>
      <c r="C250" s="197">
        <f t="shared" si="1"/>
        <v>2</v>
      </c>
      <c r="D250" s="20" t="s">
        <v>2522</v>
      </c>
      <c r="E250" s="20">
        <v>1.0</v>
      </c>
    </row>
    <row r="251">
      <c r="A251" s="196"/>
      <c r="B251" s="197" t="str">
        <f>IFERROR(__xludf.DUMMYFUNCTION("""COMPUTED_VALUE"""),"Galeweaver")</f>
        <v>Galeweaver</v>
      </c>
      <c r="C251" s="197">
        <f t="shared" si="1"/>
        <v>1</v>
      </c>
      <c r="D251" s="20" t="s">
        <v>2523</v>
      </c>
      <c r="E251" s="20">
        <v>1.0</v>
      </c>
    </row>
    <row r="252">
      <c r="A252" s="196" t="str">
        <f>IFERROR(__xludf.DUMMYFUNCTION("""COMPUTED_VALUE"""),"Wrath")</f>
        <v>Wrath</v>
      </c>
      <c r="B252" s="197" t="str">
        <f>IFERROR(__xludf.DUMMYFUNCTION("""COMPUTED_VALUE"""),"Lurking")</f>
        <v>Lurking</v>
      </c>
      <c r="C252" s="197">
        <f t="shared" si="1"/>
        <v>1</v>
      </c>
      <c r="D252" s="20" t="s">
        <v>2524</v>
      </c>
      <c r="E252" s="20">
        <v>1.0</v>
      </c>
    </row>
    <row r="253">
      <c r="A253" s="196" t="str">
        <f>IFERROR(__xludf.DUMMYFUNCTION("""COMPUTED_VALUE"""),"of")</f>
        <v>of</v>
      </c>
      <c r="B253" s="197" t="str">
        <f>IFERROR(__xludf.DUMMYFUNCTION("""COMPUTED_VALUE"""),"Canopystomper")</f>
        <v>Canopystomper</v>
      </c>
      <c r="C253" s="197">
        <f t="shared" si="1"/>
        <v>1</v>
      </c>
      <c r="D253" s="20" t="s">
        <v>2525</v>
      </c>
      <c r="E253" s="20">
        <v>1.0</v>
      </c>
    </row>
    <row r="254">
      <c r="A254" s="196" t="str">
        <f>IFERROR(__xludf.DUMMYFUNCTION("""COMPUTED_VALUE"""),"the")</f>
        <v>the</v>
      </c>
      <c r="B254" s="197" t="str">
        <f>IFERROR(__xludf.DUMMYFUNCTION("""COMPUTED_VALUE"""),"Resourceful")</f>
        <v>Resourceful</v>
      </c>
      <c r="C254" s="197">
        <f t="shared" si="1"/>
        <v>1</v>
      </c>
      <c r="D254" s="20" t="s">
        <v>2526</v>
      </c>
      <c r="E254" s="20">
        <v>1.0</v>
      </c>
    </row>
    <row r="255">
      <c r="A255" s="196" t="str">
        <f>IFERROR(__xludf.DUMMYFUNCTION("""COMPUTED_VALUE"""),"Pharaoh")</f>
        <v>Pharaoh</v>
      </c>
      <c r="B255" s="197" t="str">
        <f>IFERROR(__xludf.DUMMYFUNCTION("""COMPUTED_VALUE"""),"Poacher")</f>
        <v>Poacher</v>
      </c>
      <c r="C255" s="197">
        <f t="shared" si="1"/>
        <v>1</v>
      </c>
      <c r="D255" s="20" t="s">
        <v>408</v>
      </c>
      <c r="E255" s="20">
        <v>1.0</v>
      </c>
    </row>
    <row r="256">
      <c r="A256" s="196"/>
      <c r="B256" s="197" t="str">
        <f>IFERROR(__xludf.DUMMYFUNCTION("""COMPUTED_VALUE"""),"Infernoblight")</f>
        <v>Infernoblight</v>
      </c>
      <c r="C256" s="197">
        <f t="shared" si="1"/>
        <v>1</v>
      </c>
      <c r="D256" s="20" t="s">
        <v>2527</v>
      </c>
      <c r="E256" s="20">
        <v>1.0</v>
      </c>
    </row>
    <row r="257">
      <c r="A257" s="196" t="str">
        <f>IFERROR(__xludf.DUMMYFUNCTION("""COMPUTED_VALUE"""),"Bringer")</f>
        <v>Bringer</v>
      </c>
      <c r="B257" s="197" t="str">
        <f>IFERROR(__xludf.DUMMYFUNCTION("""COMPUTED_VALUE"""),"Skyshrieker")</f>
        <v>Skyshrieker</v>
      </c>
      <c r="C257" s="197">
        <f t="shared" si="1"/>
        <v>1</v>
      </c>
      <c r="D257" s="20" t="s">
        <v>2528</v>
      </c>
      <c r="E257" s="20">
        <v>1.0</v>
      </c>
    </row>
    <row r="258">
      <c r="A258" s="196" t="str">
        <f>IFERROR(__xludf.DUMMYFUNCTION("""COMPUTED_VALUE"""),"of")</f>
        <v>of</v>
      </c>
      <c r="B258" s="197" t="str">
        <f>IFERROR(__xludf.DUMMYFUNCTION("""COMPUTED_VALUE"""),"Mistborn")</f>
        <v>Mistborn</v>
      </c>
      <c r="C258" s="197">
        <f t="shared" si="1"/>
        <v>1</v>
      </c>
      <c r="D258" s="20" t="s">
        <v>2529</v>
      </c>
      <c r="E258" s="20">
        <v>1.0</v>
      </c>
    </row>
    <row r="259">
      <c r="A259" s="196" t="str">
        <f>IFERROR(__xludf.DUMMYFUNCTION("""COMPUTED_VALUE"""),"Good")</f>
        <v>Good</v>
      </c>
      <c r="B259" s="197" t="str">
        <f>IFERROR(__xludf.DUMMYFUNCTION("""COMPUTED_VALUE"""),"Serpent")</f>
        <v>Serpent</v>
      </c>
      <c r="C259" s="197">
        <f t="shared" si="1"/>
        <v>1</v>
      </c>
      <c r="D259" s="20" t="s">
        <v>2530</v>
      </c>
      <c r="E259" s="20">
        <v>1.0</v>
      </c>
    </row>
    <row r="260">
      <c r="A260" s="196" t="str">
        <f>IFERROR(__xludf.DUMMYFUNCTION("""COMPUTED_VALUE"""),"News")</f>
        <v>News</v>
      </c>
      <c r="B260" s="197" t="str">
        <f>IFERROR(__xludf.DUMMYFUNCTION("""COMPUTED_VALUE"""),"Bad")</f>
        <v>Bad</v>
      </c>
      <c r="C260" s="197">
        <f t="shared" si="1"/>
        <v>1</v>
      </c>
      <c r="D260" s="20" t="s">
        <v>2531</v>
      </c>
      <c r="E260" s="20">
        <v>1.0</v>
      </c>
    </row>
    <row r="261">
      <c r="A261" s="196"/>
      <c r="B261" s="197" t="str">
        <f>IFERROR(__xludf.DUMMYFUNCTION("""COMPUTED_VALUE"""),"Omens")</f>
        <v>Omens</v>
      </c>
      <c r="C261" s="197">
        <f t="shared" si="1"/>
        <v>1</v>
      </c>
      <c r="D261" s="20" t="s">
        <v>2532</v>
      </c>
      <c r="E261" s="20">
        <v>1.0</v>
      </c>
    </row>
    <row r="262">
      <c r="A262" s="196" t="str">
        <f>IFERROR(__xludf.DUMMYFUNCTION("""COMPUTED_VALUE"""),"Thunderswarm")</f>
        <v>Thunderswarm</v>
      </c>
      <c r="B262" s="197" t="str">
        <f>IFERROR(__xludf.DUMMYFUNCTION("""COMPUTED_VALUE"""),"Gaunt")</f>
        <v>Gaunt</v>
      </c>
      <c r="C262" s="197">
        <f t="shared" si="1"/>
        <v>1</v>
      </c>
      <c r="D262" s="20" t="s">
        <v>2533</v>
      </c>
      <c r="E262" s="20">
        <v>1.0</v>
      </c>
    </row>
    <row r="263">
      <c r="A263" s="196" t="str">
        <f>IFERROR(__xludf.DUMMYFUNCTION("""COMPUTED_VALUE"""),"Lightning")</f>
        <v>Lightning</v>
      </c>
      <c r="B263" s="197" t="str">
        <f>IFERROR(__xludf.DUMMYFUNCTION("""COMPUTED_VALUE"""),"Visitation")</f>
        <v>Visitation</v>
      </c>
      <c r="C263" s="197">
        <f t="shared" si="1"/>
        <v>1</v>
      </c>
      <c r="D263" s="20" t="s">
        <v>2534</v>
      </c>
      <c r="E263" s="20">
        <v>1.0</v>
      </c>
    </row>
    <row r="264">
      <c r="A264" s="196" t="str">
        <f>IFERROR(__xludf.DUMMYFUNCTION("""COMPUTED_VALUE"""),"Rider")</f>
        <v>Rider</v>
      </c>
      <c r="B264" s="197" t="str">
        <f>IFERROR(__xludf.DUMMYFUNCTION("""COMPUTED_VALUE"""),"Manticore")</f>
        <v>Manticore</v>
      </c>
      <c r="C264" s="197">
        <f t="shared" si="1"/>
        <v>1</v>
      </c>
      <c r="D264" s="20" t="s">
        <v>2535</v>
      </c>
      <c r="E264" s="20">
        <v>1.0</v>
      </c>
    </row>
    <row r="265">
      <c r="A265" s="196"/>
      <c r="B265" s="197" t="str">
        <f>IFERROR(__xludf.DUMMYFUNCTION("""COMPUTED_VALUE"""),"Featherfrost")</f>
        <v>Featherfrost</v>
      </c>
      <c r="C265" s="197">
        <f t="shared" si="1"/>
        <v>1</v>
      </c>
      <c r="D265" s="20" t="s">
        <v>2536</v>
      </c>
      <c r="E265" s="20">
        <v>1.0</v>
      </c>
    </row>
    <row r="266">
      <c r="A266" s="196"/>
      <c r="B266" s="197" t="str">
        <f>IFERROR(__xludf.DUMMYFUNCTION("""COMPUTED_VALUE"""),"Harpy")</f>
        <v>Harpy</v>
      </c>
      <c r="C266" s="197">
        <f t="shared" si="1"/>
        <v>1</v>
      </c>
      <c r="D266" s="20" t="s">
        <v>772</v>
      </c>
      <c r="E266" s="20">
        <v>1.0</v>
      </c>
    </row>
    <row r="267">
      <c r="A267" s="196" t="str">
        <f>IFERROR(__xludf.DUMMYFUNCTION("""COMPUTED_VALUE"""),"Desertwind")</f>
        <v>Desertwind</v>
      </c>
      <c r="B267" s="197" t="str">
        <f>IFERROR(__xludf.DUMMYFUNCTION("""COMPUTED_VALUE"""),"Raging")</f>
        <v>Raging</v>
      </c>
      <c r="C267" s="197">
        <f t="shared" si="1"/>
        <v>1</v>
      </c>
      <c r="D267" s="20" t="s">
        <v>774</v>
      </c>
      <c r="E267" s="20">
        <v>1.0</v>
      </c>
    </row>
    <row r="268">
      <c r="A268" s="196" t="str">
        <f>IFERROR(__xludf.DUMMYFUNCTION("""COMPUTED_VALUE"""),"Relic")</f>
        <v>Relic</v>
      </c>
      <c r="B268" s="197" t="str">
        <f>IFERROR(__xludf.DUMMYFUNCTION("""COMPUTED_VALUE"""),"Minotaur")</f>
        <v>Minotaur</v>
      </c>
      <c r="C268" s="197">
        <f t="shared" si="1"/>
        <v>1</v>
      </c>
      <c r="D268" s="20" t="s">
        <v>788</v>
      </c>
      <c r="E268" s="20">
        <v>1.0</v>
      </c>
    </row>
    <row r="269">
      <c r="A269" s="196" t="str">
        <f>IFERROR(__xludf.DUMMYFUNCTION("""COMPUTED_VALUE"""),"Hunter")</f>
        <v>Hunter</v>
      </c>
      <c r="B269" s="197" t="str">
        <f>IFERROR(__xludf.DUMMYFUNCTION("""COMPUTED_VALUE"""),"Raijin")</f>
        <v>Raijin</v>
      </c>
      <c r="C269" s="197">
        <f t="shared" si="1"/>
        <v>1</v>
      </c>
      <c r="D269" s="20" t="s">
        <v>791</v>
      </c>
      <c r="E269" s="20">
        <v>1.0</v>
      </c>
    </row>
    <row r="270">
      <c r="A270" s="196"/>
      <c r="B270" s="197" t="str">
        <f>IFERROR(__xludf.DUMMYFUNCTION("""COMPUTED_VALUE"""),"Venomshade")</f>
        <v>Venomshade</v>
      </c>
      <c r="C270" s="197">
        <f t="shared" si="1"/>
        <v>1</v>
      </c>
      <c r="D270" s="20" t="s">
        <v>2537</v>
      </c>
      <c r="E270" s="20">
        <v>1.0</v>
      </c>
    </row>
    <row r="271">
      <c r="A271" s="196"/>
      <c r="B271" s="197" t="str">
        <f>IFERROR(__xludf.DUMMYFUNCTION("""COMPUTED_VALUE"""),"Lamia")</f>
        <v>Lamia</v>
      </c>
      <c r="C271" s="197">
        <f t="shared" si="1"/>
        <v>1</v>
      </c>
      <c r="D271" s="20" t="s">
        <v>2538</v>
      </c>
      <c r="E271" s="20">
        <v>1.0</v>
      </c>
    </row>
    <row r="272">
      <c r="A272" s="196" t="str">
        <f>IFERROR(__xludf.DUMMYFUNCTION("""COMPUTED_VALUE"""),"Exemplar")</f>
        <v>Exemplar</v>
      </c>
      <c r="B272" s="197" t="str">
        <f>IFERROR(__xludf.DUMMYFUNCTION("""COMPUTED_VALUE"""),"Volcano")</f>
        <v>Volcano</v>
      </c>
      <c r="C272" s="197">
        <f t="shared" si="1"/>
        <v>1</v>
      </c>
      <c r="D272" s="20" t="s">
        <v>2539</v>
      </c>
      <c r="E272" s="20">
        <v>1.0</v>
      </c>
    </row>
    <row r="273">
      <c r="A273" s="196" t="str">
        <f>IFERROR(__xludf.DUMMYFUNCTION("""COMPUTED_VALUE"""),"of")</f>
        <v>of</v>
      </c>
      <c r="B273" s="197" t="str">
        <f>IFERROR(__xludf.DUMMYFUNCTION("""COMPUTED_VALUE"""),"Embodiment")</f>
        <v>Embodiment</v>
      </c>
      <c r="C273" s="197">
        <f t="shared" si="1"/>
        <v>1</v>
      </c>
      <c r="D273" s="20" t="s">
        <v>2540</v>
      </c>
      <c r="E273" s="20">
        <v>1.0</v>
      </c>
    </row>
    <row r="274">
      <c r="A274" s="196" t="str">
        <f>IFERROR(__xludf.DUMMYFUNCTION("""COMPUTED_VALUE"""),"Lunar")</f>
        <v>Lunar</v>
      </c>
      <c r="B274" s="197" t="str">
        <f>IFERROR(__xludf.DUMMYFUNCTION("""COMPUTED_VALUE"""),"Leviathan")</f>
        <v>Leviathan</v>
      </c>
      <c r="C274" s="197">
        <f t="shared" si="1"/>
        <v>1</v>
      </c>
      <c r="D274" s="20" t="s">
        <v>2541</v>
      </c>
      <c r="E274" s="20">
        <v>1.0</v>
      </c>
    </row>
    <row r="275">
      <c r="A275" s="196" t="str">
        <f>IFERROR(__xludf.DUMMYFUNCTION("""COMPUTED_VALUE"""),"Gleam")</f>
        <v>Gleam</v>
      </c>
      <c r="B275" s="197" t="str">
        <f>IFERROR(__xludf.DUMMYFUNCTION("""COMPUTED_VALUE"""),"Tectonic")</f>
        <v>Tectonic</v>
      </c>
      <c r="C275" s="197">
        <f t="shared" si="1"/>
        <v>1</v>
      </c>
      <c r="D275" s="20" t="s">
        <v>815</v>
      </c>
      <c r="E275" s="20">
        <v>1.0</v>
      </c>
    </row>
    <row r="276">
      <c r="A276" s="196"/>
      <c r="B276" s="197" t="str">
        <f>IFERROR(__xludf.DUMMYFUNCTION("""COMPUTED_VALUE"""),"Shifter")</f>
        <v>Shifter</v>
      </c>
      <c r="C276" s="197">
        <f t="shared" si="1"/>
        <v>1</v>
      </c>
      <c r="D276" s="20" t="s">
        <v>2542</v>
      </c>
      <c r="E276" s="20">
        <v>1.0</v>
      </c>
    </row>
    <row r="277">
      <c r="A277" s="196" t="str">
        <f>IFERROR(__xludf.DUMMYFUNCTION("""COMPUTED_VALUE"""),"Pomegrake")</f>
        <v>Pomegrake</v>
      </c>
      <c r="B277" s="197" t="str">
        <f>IFERROR(__xludf.DUMMYFUNCTION("""COMPUTED_VALUE"""),"Bastion")</f>
        <v>Bastion</v>
      </c>
      <c r="C277" s="197">
        <f t="shared" si="1"/>
        <v>1</v>
      </c>
      <c r="D277" s="20" t="s">
        <v>2543</v>
      </c>
      <c r="E277" s="20">
        <v>1.0</v>
      </c>
    </row>
    <row r="278">
      <c r="A278" s="196"/>
      <c r="B278" s="197" t="str">
        <f>IFERROR(__xludf.DUMMYFUNCTION("""COMPUTED_VALUE"""),"Architect")</f>
        <v>Architect</v>
      </c>
      <c r="C278" s="197">
        <f t="shared" si="1"/>
        <v>1</v>
      </c>
      <c r="D278" s="20" t="s">
        <v>2544</v>
      </c>
      <c r="E278" s="20">
        <v>1.0</v>
      </c>
    </row>
    <row r="279">
      <c r="A279" s="196"/>
      <c r="B279" s="197" t="str">
        <f>IFERROR(__xludf.DUMMYFUNCTION("""COMPUTED_VALUE"""),"Sovereign")</f>
        <v>Sovereign</v>
      </c>
      <c r="C279" s="197">
        <f t="shared" si="1"/>
        <v>3</v>
      </c>
      <c r="D279" s="20" t="s">
        <v>2545</v>
      </c>
      <c r="E279" s="20">
        <v>1.0</v>
      </c>
    </row>
    <row r="280">
      <c r="A280" s="196"/>
      <c r="B280" s="197" t="str">
        <f>IFERROR(__xludf.DUMMYFUNCTION("""COMPUTED_VALUE"""),"Spellwyrm")</f>
        <v>Spellwyrm</v>
      </c>
      <c r="C280" s="197">
        <f t="shared" si="1"/>
        <v>1</v>
      </c>
      <c r="D280" s="20" t="s">
        <v>2546</v>
      </c>
      <c r="E280" s="20">
        <v>1.0</v>
      </c>
    </row>
    <row r="281">
      <c r="A281" s="196"/>
      <c r="B281" s="197" t="str">
        <f>IFERROR(__xludf.DUMMYFUNCTION("""COMPUTED_VALUE"""),"Crownfire")</f>
        <v>Crownfire</v>
      </c>
      <c r="C281" s="197">
        <f t="shared" si="1"/>
        <v>1</v>
      </c>
      <c r="D281" s="20" t="s">
        <v>2547</v>
      </c>
      <c r="E281" s="20">
        <v>1.0</v>
      </c>
    </row>
    <row r="282">
      <c r="A282" s="196" t="str">
        <f>IFERROR(__xludf.DUMMYFUNCTION("""COMPUTED_VALUE"""),"The")</f>
        <v>The</v>
      </c>
      <c r="B282" s="197" t="str">
        <f>IFERROR(__xludf.DUMMYFUNCTION("""COMPUTED_VALUE"""),"Empress")</f>
        <v>Empress</v>
      </c>
      <c r="C282" s="197">
        <f t="shared" si="1"/>
        <v>1</v>
      </c>
      <c r="D282" s="20" t="s">
        <v>2548</v>
      </c>
      <c r="E282" s="20">
        <v>1.0</v>
      </c>
    </row>
    <row r="283">
      <c r="A283" s="196" t="str">
        <f>IFERROR(__xludf.DUMMYFUNCTION("""COMPUTED_VALUE"""),"Embalmer")</f>
        <v>Embalmer</v>
      </c>
      <c r="B283" s="197" t="str">
        <f>IFERROR(__xludf.DUMMYFUNCTION("""COMPUTED_VALUE"""),"Blue")</f>
        <v>Blue</v>
      </c>
      <c r="C283" s="197">
        <f t="shared" si="1"/>
        <v>2</v>
      </c>
      <c r="D283" s="20" t="s">
        <v>2549</v>
      </c>
      <c r="E283" s="20">
        <v>1.0</v>
      </c>
    </row>
    <row r="284">
      <c r="A284" s="196"/>
      <c r="B284" s="197" t="str">
        <f>IFERROR(__xludf.DUMMYFUNCTION("""COMPUTED_VALUE"""),"Venom-Dew")</f>
        <v>Venom-Dew</v>
      </c>
      <c r="C284" s="197">
        <f t="shared" si="1"/>
        <v>1</v>
      </c>
      <c r="D284" s="20" t="s">
        <v>2550</v>
      </c>
      <c r="E284" s="20">
        <v>1.0</v>
      </c>
    </row>
    <row r="285">
      <c r="A285" s="196"/>
      <c r="B285" s="197" t="str">
        <f>IFERROR(__xludf.DUMMYFUNCTION("""COMPUTED_VALUE"""),"Golemsaurus")</f>
        <v>Golemsaurus</v>
      </c>
      <c r="C285" s="197">
        <f t="shared" si="1"/>
        <v>1</v>
      </c>
      <c r="D285" s="20" t="s">
        <v>2551</v>
      </c>
      <c r="E285" s="20">
        <v>1.0</v>
      </c>
    </row>
    <row r="286">
      <c r="A286" s="196"/>
      <c r="B286" s="197" t="str">
        <f>IFERROR(__xludf.DUMMYFUNCTION("""COMPUTED_VALUE"""),"Slumbering")</f>
        <v>Slumbering</v>
      </c>
      <c r="C286" s="197">
        <f t="shared" si="1"/>
        <v>2</v>
      </c>
      <c r="D286" s="20" t="s">
        <v>881</v>
      </c>
      <c r="E286" s="20">
        <v>1.0</v>
      </c>
    </row>
    <row r="287">
      <c r="A287" s="196" t="str">
        <f>IFERROR(__xludf.DUMMYFUNCTION("""COMPUTED_VALUE"""),"Ushabti")</f>
        <v>Ushabti</v>
      </c>
      <c r="B287" s="197" t="str">
        <f>IFERROR(__xludf.DUMMYFUNCTION("""COMPUTED_VALUE"""),"Cavedrake")</f>
        <v>Cavedrake</v>
      </c>
      <c r="C287" s="197">
        <f t="shared" si="1"/>
        <v>1</v>
      </c>
      <c r="D287" s="20" t="s">
        <v>894</v>
      </c>
      <c r="E287" s="20">
        <v>1.0</v>
      </c>
    </row>
    <row r="288">
      <c r="A288" s="196" t="str">
        <f>IFERROR(__xludf.DUMMYFUNCTION("""COMPUTED_VALUE"""),"Carver")</f>
        <v>Carver</v>
      </c>
      <c r="B288" s="197" t="str">
        <f>IFERROR(__xludf.DUMMYFUNCTION("""COMPUTED_VALUE"""),"Eagle")</f>
        <v>Eagle</v>
      </c>
      <c r="C288" s="197">
        <f t="shared" si="1"/>
        <v>1</v>
      </c>
      <c r="D288" s="20" t="s">
        <v>2552</v>
      </c>
      <c r="E288" s="20">
        <v>1.0</v>
      </c>
    </row>
    <row r="289">
      <c r="A289" s="196"/>
      <c r="B289" s="197" t="str">
        <f>IFERROR(__xludf.DUMMYFUNCTION("""COMPUTED_VALUE"""),"Legion")</f>
        <v>Legion</v>
      </c>
      <c r="C289" s="197">
        <f t="shared" si="1"/>
        <v>2</v>
      </c>
      <c r="D289" s="20" t="s">
        <v>2553</v>
      </c>
      <c r="E289" s="20">
        <v>1.0</v>
      </c>
    </row>
    <row r="290">
      <c r="A290" s="196"/>
      <c r="B290" s="197" t="str">
        <f>IFERROR(__xludf.DUMMYFUNCTION("""COMPUTED_VALUE"""),"Starfall")</f>
        <v>Starfall</v>
      </c>
      <c r="C290" s="197">
        <f t="shared" si="1"/>
        <v>1</v>
      </c>
      <c r="D290" s="20" t="s">
        <v>2554</v>
      </c>
      <c r="E290" s="20">
        <v>1.0</v>
      </c>
    </row>
    <row r="291">
      <c r="A291" s="196"/>
      <c r="B291" s="197" t="str">
        <f>IFERROR(__xludf.DUMMYFUNCTION("""COMPUTED_VALUE"""),"Shaman")</f>
        <v>Shaman</v>
      </c>
      <c r="C291" s="197">
        <f t="shared" si="1"/>
        <v>2</v>
      </c>
      <c r="D291" s="20" t="s">
        <v>923</v>
      </c>
      <c r="E291" s="20">
        <v>1.0</v>
      </c>
    </row>
    <row r="292">
      <c r="A292" s="196" t="str">
        <f>IFERROR(__xludf.DUMMYFUNCTION("""COMPUTED_VALUE"""),"Shattercrown")</f>
        <v>Shattercrown</v>
      </c>
      <c r="B292" s="197" t="str">
        <f>IFERROR(__xludf.DUMMYFUNCTION("""COMPUTED_VALUE"""),"Merchant")</f>
        <v>Merchant</v>
      </c>
      <c r="C292" s="197">
        <f t="shared" si="1"/>
        <v>1</v>
      </c>
      <c r="D292" s="20" t="s">
        <v>2555</v>
      </c>
      <c r="E292" s="20">
        <v>1.0</v>
      </c>
    </row>
    <row r="293">
      <c r="A293" s="196" t="str">
        <f>IFERROR(__xludf.DUMMYFUNCTION("""COMPUTED_VALUE"""),"Luminary")</f>
        <v>Luminary</v>
      </c>
      <c r="B293" s="197" t="str">
        <f>IFERROR(__xludf.DUMMYFUNCTION("""COMPUTED_VALUE"""),"Gladehost")</f>
        <v>Gladehost</v>
      </c>
      <c r="C293" s="197">
        <f t="shared" si="1"/>
        <v>2</v>
      </c>
      <c r="D293" s="20" t="s">
        <v>2556</v>
      </c>
      <c r="E293" s="20">
        <v>1.0</v>
      </c>
    </row>
    <row r="294">
      <c r="A294" s="196"/>
      <c r="B294" s="197" t="str">
        <f>IFERROR(__xludf.DUMMYFUNCTION("""COMPUTED_VALUE"""),"Shotmaster")</f>
        <v>Shotmaster</v>
      </c>
      <c r="C294" s="197">
        <f t="shared" si="1"/>
        <v>1</v>
      </c>
      <c r="D294" s="20" t="s">
        <v>2557</v>
      </c>
      <c r="E294" s="20">
        <v>1.0</v>
      </c>
    </row>
    <row r="295">
      <c r="A295" s="196"/>
      <c r="B295" s="197" t="str">
        <f>IFERROR(__xludf.DUMMYFUNCTION("""COMPUTED_VALUE"""),"Flamebearer")</f>
        <v>Flamebearer</v>
      </c>
      <c r="C295" s="197">
        <f t="shared" si="1"/>
        <v>1</v>
      </c>
      <c r="D295" s="20" t="s">
        <v>2558</v>
      </c>
      <c r="E295" s="20">
        <v>1.0</v>
      </c>
    </row>
    <row r="296">
      <c r="A296" s="196"/>
      <c r="B296" s="197" t="str">
        <f>IFERROR(__xludf.DUMMYFUNCTION("""COMPUTED_VALUE"""),"Tidecrasher")</f>
        <v>Tidecrasher</v>
      </c>
      <c r="C296" s="197">
        <f t="shared" si="1"/>
        <v>1</v>
      </c>
      <c r="D296" s="20" t="s">
        <v>945</v>
      </c>
      <c r="E296" s="20">
        <v>1.0</v>
      </c>
    </row>
    <row r="297">
      <c r="A297" s="196" t="str">
        <f>IFERROR(__xludf.DUMMYFUNCTION("""COMPUTED_VALUE"""),"Shepard")</f>
        <v>Shepard</v>
      </c>
      <c r="B297" s="197" t="str">
        <f>IFERROR(__xludf.DUMMYFUNCTION("""COMPUTED_VALUE"""),"Imperial")</f>
        <v>Imperial</v>
      </c>
      <c r="C297" s="197">
        <f t="shared" si="1"/>
        <v>1</v>
      </c>
      <c r="D297" s="20" t="s">
        <v>2559</v>
      </c>
      <c r="E297" s="20">
        <v>1.0</v>
      </c>
    </row>
    <row r="298">
      <c r="A298" s="196" t="str">
        <f>IFERROR(__xludf.DUMMYFUNCTION("""COMPUTED_VALUE"""),"of")</f>
        <v>of</v>
      </c>
      <c r="B298" s="197" t="str">
        <f>IFERROR(__xludf.DUMMYFUNCTION("""COMPUTED_VALUE"""),"Tyrant")</f>
        <v>Tyrant</v>
      </c>
      <c r="C298" s="197">
        <f t="shared" si="1"/>
        <v>1</v>
      </c>
      <c r="D298" s="20" t="s">
        <v>2560</v>
      </c>
      <c r="E298" s="20">
        <v>1.0</v>
      </c>
    </row>
    <row r="299">
      <c r="A299" s="196" t="str">
        <f>IFERROR(__xludf.DUMMYFUNCTION("""COMPUTED_VALUE"""),"the")</f>
        <v>the</v>
      </c>
      <c r="B299" s="197" t="str">
        <f>IFERROR(__xludf.DUMMYFUNCTION("""COMPUTED_VALUE"""),"Eons-old")</f>
        <v>Eons-old</v>
      </c>
      <c r="C299" s="197">
        <f t="shared" si="1"/>
        <v>1</v>
      </c>
      <c r="D299" s="20" t="s">
        <v>2561</v>
      </c>
      <c r="E299" s="20">
        <v>1.0</v>
      </c>
    </row>
    <row r="300">
      <c r="A300" s="196" t="str">
        <f>IFERROR(__xludf.DUMMYFUNCTION("""COMPUTED_VALUE"""),"Morning")</f>
        <v>Morning</v>
      </c>
      <c r="B300" s="197" t="str">
        <f>IFERROR(__xludf.DUMMYFUNCTION("""COMPUTED_VALUE"""),"Crystalfang")</f>
        <v>Crystalfang</v>
      </c>
      <c r="C300" s="197">
        <f t="shared" si="1"/>
        <v>1</v>
      </c>
      <c r="D300" s="20" t="s">
        <v>2562</v>
      </c>
      <c r="E300" s="20">
        <v>1.0</v>
      </c>
    </row>
    <row r="301">
      <c r="A301" s="196" t="str">
        <f>IFERROR(__xludf.DUMMYFUNCTION("""COMPUTED_VALUE"""),"Dew")</f>
        <v>Dew</v>
      </c>
      <c r="B301" s="197" t="str">
        <f>IFERROR(__xludf.DUMMYFUNCTION("""COMPUTED_VALUE"""),"Makeshift")</f>
        <v>Makeshift</v>
      </c>
      <c r="C301" s="197">
        <f t="shared" si="1"/>
        <v>1</v>
      </c>
      <c r="D301" s="20" t="s">
        <v>2563</v>
      </c>
      <c r="E301" s="20">
        <v>1.0</v>
      </c>
    </row>
    <row r="302">
      <c r="A302" s="196" t="str">
        <f>IFERROR(__xludf.DUMMYFUNCTION("""COMPUTED_VALUE"""),"Arboreal")</f>
        <v>Arboreal</v>
      </c>
      <c r="B302" s="197" t="str">
        <f>IFERROR(__xludf.DUMMYFUNCTION("""COMPUTED_VALUE"""),"Militia")</f>
        <v>Militia</v>
      </c>
      <c r="C302" s="197">
        <f t="shared" si="1"/>
        <v>1</v>
      </c>
      <c r="D302" s="20" t="s">
        <v>2564</v>
      </c>
      <c r="E302" s="20">
        <v>1.0</v>
      </c>
    </row>
    <row r="303">
      <c r="A303" s="196" t="str">
        <f>IFERROR(__xludf.DUMMYFUNCTION("""COMPUTED_VALUE"""),"Messenger")</f>
        <v>Messenger</v>
      </c>
      <c r="B303" s="197" t="str">
        <f>IFERROR(__xludf.DUMMYFUNCTION("""COMPUTED_VALUE"""),"Strategist")</f>
        <v>Strategist</v>
      </c>
      <c r="C303" s="197">
        <f t="shared" si="1"/>
        <v>1</v>
      </c>
      <c r="D303" s="20" t="s">
        <v>2565</v>
      </c>
      <c r="E303" s="20">
        <v>1.0</v>
      </c>
    </row>
    <row r="304">
      <c r="A304" s="196"/>
      <c r="B304" s="197" t="str">
        <f>IFERROR(__xludf.DUMMYFUNCTION("""COMPUTED_VALUE"""),"Wraithknight")</f>
        <v>Wraithknight</v>
      </c>
      <c r="C304" s="197">
        <f t="shared" si="1"/>
        <v>1</v>
      </c>
      <c r="D304" s="20" t="s">
        <v>2566</v>
      </c>
      <c r="E304" s="20">
        <v>1.0</v>
      </c>
    </row>
    <row r="305">
      <c r="A305" s="196"/>
      <c r="B305" s="197" t="str">
        <f>IFERROR(__xludf.DUMMYFUNCTION("""COMPUTED_VALUE"""),"Mountblade")</f>
        <v>Mountblade</v>
      </c>
      <c r="C305" s="197">
        <f t="shared" si="1"/>
        <v>1</v>
      </c>
      <c r="D305" s="20" t="s">
        <v>2567</v>
      </c>
      <c r="E305" s="20">
        <v>1.0</v>
      </c>
    </row>
    <row r="306">
      <c r="A306" s="196"/>
      <c r="B306" s="197" t="str">
        <f>IFERROR(__xludf.DUMMYFUNCTION("""COMPUTED_VALUE"""),"Squire")</f>
        <v>Squire</v>
      </c>
      <c r="C306" s="197">
        <f t="shared" si="1"/>
        <v>1</v>
      </c>
      <c r="D306" s="20" t="s">
        <v>2568</v>
      </c>
      <c r="E306" s="20">
        <v>1.0</v>
      </c>
    </row>
    <row r="307">
      <c r="A307" s="196" t="str">
        <f>IFERROR(__xludf.DUMMYFUNCTION("""COMPUTED_VALUE"""),"Auric")</f>
        <v>Auric</v>
      </c>
      <c r="B307" s="197" t="str">
        <f>IFERROR(__xludf.DUMMYFUNCTION("""COMPUTED_VALUE"""),"Pyroclastic")</f>
        <v>Pyroclastic</v>
      </c>
      <c r="C307" s="197">
        <f t="shared" si="1"/>
        <v>1</v>
      </c>
      <c r="D307" s="20" t="s">
        <v>2569</v>
      </c>
      <c r="E307" s="20">
        <v>1.0</v>
      </c>
    </row>
    <row r="308">
      <c r="A308" s="196" t="str">
        <f>IFERROR(__xludf.DUMMYFUNCTION("""COMPUTED_VALUE"""),"Ant")</f>
        <v>Ant</v>
      </c>
      <c r="B308" s="197" t="str">
        <f>IFERROR(__xludf.DUMMYFUNCTION("""COMPUTED_VALUE"""),"Zombie")</f>
        <v>Zombie</v>
      </c>
      <c r="C308" s="197">
        <f t="shared" si="1"/>
        <v>1</v>
      </c>
      <c r="D308" s="20" t="s">
        <v>2570</v>
      </c>
      <c r="E308" s="20">
        <v>1.0</v>
      </c>
    </row>
    <row r="309">
      <c r="A309" s="196" t="str">
        <f>IFERROR(__xludf.DUMMYFUNCTION("""COMPUTED_VALUE"""),"Regent")</f>
        <v>Regent</v>
      </c>
      <c r="B309" s="197" t="str">
        <f>IFERROR(__xludf.DUMMYFUNCTION("""COMPUTED_VALUE"""),"Old")</f>
        <v>Old</v>
      </c>
      <c r="C309" s="197">
        <f t="shared" si="1"/>
        <v>2</v>
      </c>
      <c r="D309" s="20" t="s">
        <v>982</v>
      </c>
      <c r="E309" s="20">
        <v>1.0</v>
      </c>
    </row>
    <row r="310">
      <c r="A310" s="196"/>
      <c r="B310" s="197" t="str">
        <f>IFERROR(__xludf.DUMMYFUNCTION("""COMPUTED_VALUE"""),"Fisherman")</f>
        <v>Fisherman</v>
      </c>
      <c r="C310" s="197">
        <f t="shared" si="1"/>
        <v>1</v>
      </c>
      <c r="D310" s="20" t="s">
        <v>2571</v>
      </c>
      <c r="E310" s="20">
        <v>1.0</v>
      </c>
    </row>
    <row r="311">
      <c r="A311" s="196"/>
      <c r="B311" s="197" t="str">
        <f>IFERROR(__xludf.DUMMYFUNCTION("""COMPUTED_VALUE"""),"Wasteland")</f>
        <v>Wasteland</v>
      </c>
      <c r="C311" s="197">
        <f t="shared" si="1"/>
        <v>1</v>
      </c>
      <c r="D311" s="20" t="s">
        <v>2572</v>
      </c>
      <c r="E311" s="20">
        <v>1.0</v>
      </c>
    </row>
    <row r="312">
      <c r="A312" s="196" t="str">
        <f>IFERROR(__xludf.DUMMYFUNCTION("""COMPUTED_VALUE"""),"Blessing")</f>
        <v>Blessing</v>
      </c>
      <c r="B312" s="197" t="str">
        <f>IFERROR(__xludf.DUMMYFUNCTION("""COMPUTED_VALUE"""),"Overlord")</f>
        <v>Overlord</v>
      </c>
      <c r="C312" s="197">
        <f t="shared" si="1"/>
        <v>2</v>
      </c>
      <c r="D312" s="20" t="s">
        <v>2573</v>
      </c>
      <c r="E312" s="20">
        <v>1.0</v>
      </c>
    </row>
    <row r="313">
      <c r="A313" s="196" t="str">
        <f>IFERROR(__xludf.DUMMYFUNCTION("""COMPUTED_VALUE"""),"Bestower")</f>
        <v>Bestower</v>
      </c>
      <c r="B313" s="197" t="str">
        <f>IFERROR(__xludf.DUMMYFUNCTION("""COMPUTED_VALUE"""),"Pinwheel")</f>
        <v>Pinwheel</v>
      </c>
      <c r="C313" s="197">
        <f t="shared" si="1"/>
        <v>1</v>
      </c>
      <c r="D313" s="20" t="s">
        <v>2574</v>
      </c>
      <c r="E313" s="20">
        <v>1.0</v>
      </c>
    </row>
    <row r="314">
      <c r="A314" s="196"/>
      <c r="B314" s="197" t="str">
        <f>IFERROR(__xludf.DUMMYFUNCTION("""COMPUTED_VALUE"""),"Illusionist")</f>
        <v>Illusionist</v>
      </c>
      <c r="C314" s="197">
        <f t="shared" si="1"/>
        <v>1</v>
      </c>
      <c r="D314" s="20" t="s">
        <v>2575</v>
      </c>
      <c r="E314" s="20">
        <v>1.0</v>
      </c>
    </row>
    <row r="315">
      <c r="A315" s="196"/>
      <c r="B315" s="197" t="str">
        <f>IFERROR(__xludf.DUMMYFUNCTION("""COMPUTED_VALUE"""),"Marauder")</f>
        <v>Marauder</v>
      </c>
      <c r="C315" s="197">
        <f t="shared" si="1"/>
        <v>1</v>
      </c>
      <c r="D315" s="20" t="s">
        <v>2576</v>
      </c>
      <c r="E315" s="20">
        <v>1.0</v>
      </c>
    </row>
    <row r="316">
      <c r="A316" s="196"/>
      <c r="B316" s="197" t="str">
        <f>IFERROR(__xludf.DUMMYFUNCTION("""COMPUTED_VALUE"""),"Alchemist's")</f>
        <v>Alchemist's</v>
      </c>
      <c r="C316" s="197">
        <f t="shared" si="1"/>
        <v>1</v>
      </c>
      <c r="D316" s="20" t="s">
        <v>2577</v>
      </c>
      <c r="E316" s="20">
        <v>1.0</v>
      </c>
    </row>
    <row r="317">
      <c r="A317" s="196" t="str">
        <f>IFERROR(__xludf.DUMMYFUNCTION("""COMPUTED_VALUE"""),"Obelisk")</f>
        <v>Obelisk</v>
      </c>
      <c r="B317" s="197" t="str">
        <f>IFERROR(__xludf.DUMMYFUNCTION("""COMPUTED_VALUE"""),"Incense")</f>
        <v>Incense</v>
      </c>
      <c r="C317" s="197">
        <f t="shared" si="1"/>
        <v>1</v>
      </c>
      <c r="D317" s="20" t="s">
        <v>2578</v>
      </c>
      <c r="E317" s="20">
        <v>1.0</v>
      </c>
    </row>
    <row r="318">
      <c r="A318" s="196" t="str">
        <f>IFERROR(__xludf.DUMMYFUNCTION("""COMPUTED_VALUE"""),"Waypost")</f>
        <v>Waypost</v>
      </c>
      <c r="B318" s="197" t="str">
        <f>IFERROR(__xludf.DUMMYFUNCTION("""COMPUTED_VALUE"""),"Quadriga")</f>
        <v>Quadriga</v>
      </c>
      <c r="C318" s="197">
        <f t="shared" si="1"/>
        <v>1</v>
      </c>
      <c r="D318" s="20" t="s">
        <v>2579</v>
      </c>
      <c r="E318" s="20">
        <v>1.0</v>
      </c>
    </row>
    <row r="319">
      <c r="A319" s="196"/>
      <c r="B319" s="197" t="str">
        <f>IFERROR(__xludf.DUMMYFUNCTION("""COMPUTED_VALUE"""),"Triumph")</f>
        <v>Triumph</v>
      </c>
      <c r="C319" s="197">
        <f t="shared" si="1"/>
        <v>1</v>
      </c>
      <c r="D319" s="20" t="s">
        <v>2580</v>
      </c>
      <c r="E319" s="20">
        <v>1.0</v>
      </c>
    </row>
    <row r="320">
      <c r="A320" s="196"/>
      <c r="B320" s="197" t="str">
        <f>IFERROR(__xludf.DUMMYFUNCTION("""COMPUTED_VALUE"""),"Ambrosia")</f>
        <v>Ambrosia</v>
      </c>
      <c r="C320" s="197">
        <f t="shared" si="1"/>
        <v>1</v>
      </c>
      <c r="D320" s="20" t="s">
        <v>2581</v>
      </c>
      <c r="E320" s="20">
        <v>1.0</v>
      </c>
    </row>
    <row r="321">
      <c r="A321" s="196"/>
      <c r="B321" s="197" t="str">
        <f>IFERROR(__xludf.DUMMYFUNCTION("""COMPUTED_VALUE"""),"Bee")</f>
        <v>Bee</v>
      </c>
      <c r="C321" s="197">
        <f t="shared" si="1"/>
        <v>1</v>
      </c>
      <c r="D321" s="20" t="s">
        <v>2582</v>
      </c>
      <c r="E321" s="20">
        <v>1.0</v>
      </c>
    </row>
    <row r="322">
      <c r="A322" s="196" t="str">
        <f>IFERROR(__xludf.DUMMYFUNCTION("""COMPUTED_VALUE"""),"Crimson")</f>
        <v>Crimson</v>
      </c>
      <c r="B322" s="197" t="str">
        <f>IFERROR(__xludf.DUMMYFUNCTION("""COMPUTED_VALUE"""),"Recruiting")</f>
        <v>Recruiting</v>
      </c>
      <c r="C322" s="197">
        <f t="shared" si="1"/>
        <v>1</v>
      </c>
      <c r="D322" s="20" t="s">
        <v>1052</v>
      </c>
      <c r="E322" s="20">
        <v>1.0</v>
      </c>
    </row>
    <row r="323">
      <c r="A323" s="196" t="str">
        <f>IFERROR(__xludf.DUMMYFUNCTION("""COMPUTED_VALUE"""),"Flamechick")</f>
        <v>Flamechick</v>
      </c>
      <c r="B323" s="197" t="str">
        <f>IFERROR(__xludf.DUMMYFUNCTION("""COMPUTED_VALUE"""),"Officer")</f>
        <v>Officer</v>
      </c>
      <c r="C323" s="197">
        <f t="shared" si="1"/>
        <v>1</v>
      </c>
      <c r="D323" s="20" t="s">
        <v>1055</v>
      </c>
      <c r="E323" s="20">
        <v>1.0</v>
      </c>
    </row>
    <row r="324">
      <c r="A324" s="196"/>
      <c r="B324" s="197" t="str">
        <f>IFERROR(__xludf.DUMMYFUNCTION("""COMPUTED_VALUE"""),"Remnant")</f>
        <v>Remnant</v>
      </c>
      <c r="C324" s="197">
        <f t="shared" si="1"/>
        <v>1</v>
      </c>
      <c r="D324" s="20" t="s">
        <v>2583</v>
      </c>
      <c r="E324" s="20">
        <v>1.0</v>
      </c>
    </row>
    <row r="325">
      <c r="A325" s="196"/>
      <c r="B325" s="197" t="str">
        <f>IFERROR(__xludf.DUMMYFUNCTION("""COMPUTED_VALUE"""),"Quiet")</f>
        <v>Quiet</v>
      </c>
      <c r="C325" s="197">
        <f t="shared" si="1"/>
        <v>1</v>
      </c>
      <c r="D325" s="20" t="s">
        <v>2584</v>
      </c>
      <c r="E325" s="20">
        <v>1.0</v>
      </c>
    </row>
    <row r="326">
      <c r="A326" s="196"/>
      <c r="B326" s="197" t="str">
        <f>IFERROR(__xludf.DUMMYFUNCTION("""COMPUTED_VALUE"""),"Springs")</f>
        <v>Springs</v>
      </c>
      <c r="C326" s="197">
        <f t="shared" si="1"/>
        <v>2</v>
      </c>
      <c r="D326" s="20" t="s">
        <v>2585</v>
      </c>
      <c r="E326" s="20">
        <v>1.0</v>
      </c>
    </row>
    <row r="327">
      <c r="A327" s="196" t="str">
        <f>IFERROR(__xludf.DUMMYFUNCTION("""COMPUTED_VALUE"""),"The")</f>
        <v>The</v>
      </c>
      <c r="B327" s="197" t="str">
        <f>IFERROR(__xludf.DUMMYFUNCTION("""COMPUTED_VALUE"""),"Sandring")</f>
        <v>Sandring</v>
      </c>
      <c r="C327" s="197">
        <f t="shared" si="1"/>
        <v>1</v>
      </c>
      <c r="D327" s="20" t="s">
        <v>2586</v>
      </c>
      <c r="E327" s="20">
        <v>1.0</v>
      </c>
    </row>
    <row r="328">
      <c r="A328" s="196" t="str">
        <f>IFERROR(__xludf.DUMMYFUNCTION("""COMPUTED_VALUE"""),"Ascended")</f>
        <v>Ascended</v>
      </c>
      <c r="B328" s="197" t="str">
        <f>IFERROR(__xludf.DUMMYFUNCTION("""COMPUTED_VALUE"""),"Pridemane")</f>
        <v>Pridemane</v>
      </c>
      <c r="C328" s="197">
        <f t="shared" si="1"/>
        <v>1</v>
      </c>
      <c r="D328" s="20" t="s">
        <v>2587</v>
      </c>
      <c r="E328" s="20">
        <v>1.0</v>
      </c>
    </row>
    <row r="329">
      <c r="A329" s="196" t="str">
        <f>IFERROR(__xludf.DUMMYFUNCTION("""COMPUTED_VALUE"""),"One")</f>
        <v>One</v>
      </c>
      <c r="B329" s="197" t="str">
        <f>IFERROR(__xludf.DUMMYFUNCTION("""COMPUTED_VALUE"""),"Filthy")</f>
        <v>Filthy</v>
      </c>
      <c r="C329" s="197">
        <f t="shared" si="1"/>
        <v>1</v>
      </c>
      <c r="D329" s="20" t="s">
        <v>2588</v>
      </c>
      <c r="E329" s="20">
        <v>1.0</v>
      </c>
    </row>
    <row r="330">
      <c r="A330" s="196"/>
      <c r="B330" s="197" t="str">
        <f>IFERROR(__xludf.DUMMYFUNCTION("""COMPUTED_VALUE"""),"Peasant")</f>
        <v>Peasant</v>
      </c>
      <c r="C330" s="197">
        <f t="shared" si="1"/>
        <v>1</v>
      </c>
      <c r="D330" s="20" t="s">
        <v>1114</v>
      </c>
      <c r="E330" s="20">
        <v>1.0</v>
      </c>
    </row>
    <row r="331">
      <c r="A331" s="196"/>
      <c r="B331" s="197" t="str">
        <f>IFERROR(__xludf.DUMMYFUNCTION("""COMPUTED_VALUE"""),"Scapegoat")</f>
        <v>Scapegoat</v>
      </c>
      <c r="C331" s="197">
        <f t="shared" si="1"/>
        <v>1</v>
      </c>
      <c r="D331" s="20" t="s">
        <v>2589</v>
      </c>
      <c r="E331" s="20">
        <v>1.0</v>
      </c>
    </row>
    <row r="332">
      <c r="A332" s="196" t="str">
        <f>IFERROR(__xludf.DUMMYFUNCTION("""COMPUTED_VALUE"""),"Tranquil")</f>
        <v>Tranquil</v>
      </c>
      <c r="B332" s="197" t="str">
        <f>IFERROR(__xludf.DUMMYFUNCTION("""COMPUTED_VALUE"""),"Ironstride")</f>
        <v>Ironstride</v>
      </c>
      <c r="C332" s="197">
        <f t="shared" si="1"/>
        <v>1</v>
      </c>
      <c r="D332" s="20" t="s">
        <v>2590</v>
      </c>
      <c r="E332" s="20">
        <v>1.0</v>
      </c>
    </row>
    <row r="333">
      <c r="A333" s="196" t="str">
        <f>IFERROR(__xludf.DUMMYFUNCTION("""COMPUTED_VALUE"""),"Herd")</f>
        <v>Herd</v>
      </c>
      <c r="B333" s="197" t="str">
        <f>IFERROR(__xludf.DUMMYFUNCTION("""COMPUTED_VALUE"""),"Courser")</f>
        <v>Courser</v>
      </c>
      <c r="C333" s="197">
        <f t="shared" si="1"/>
        <v>1</v>
      </c>
      <c r="D333" s="20" t="s">
        <v>2591</v>
      </c>
      <c r="E333" s="20">
        <v>1.0</v>
      </c>
    </row>
    <row r="334">
      <c r="A334" s="196" t="str">
        <f>IFERROR(__xludf.DUMMYFUNCTION("""COMPUTED_VALUE"""),"Rubyskull")</f>
        <v>Rubyskull</v>
      </c>
      <c r="B334" s="197" t="str">
        <f>IFERROR(__xludf.DUMMYFUNCTION("""COMPUTED_VALUE"""),"Pocket")</f>
        <v>Pocket</v>
      </c>
      <c r="C334" s="197">
        <f t="shared" si="1"/>
        <v>1</v>
      </c>
      <c r="D334" s="20" t="s">
        <v>2592</v>
      </c>
      <c r="E334" s="20">
        <v>1.0</v>
      </c>
    </row>
    <row r="335">
      <c r="A335" s="196"/>
      <c r="B335" s="197" t="str">
        <f>IFERROR(__xludf.DUMMYFUNCTION("""COMPUTED_VALUE"""),"Prime")</f>
        <v>Prime</v>
      </c>
      <c r="C335" s="197">
        <f t="shared" si="1"/>
        <v>1</v>
      </c>
      <c r="D335" s="20" t="s">
        <v>2593</v>
      </c>
      <c r="E335" s="20">
        <v>1.0</v>
      </c>
    </row>
    <row r="336">
      <c r="A336" s="196"/>
      <c r="B336" s="197" t="str">
        <f>IFERROR(__xludf.DUMMYFUNCTION("""COMPUTED_VALUE"""),"Golem")</f>
        <v>Golem</v>
      </c>
      <c r="C336" s="197">
        <f t="shared" si="1"/>
        <v>2</v>
      </c>
      <c r="D336" s="20" t="s">
        <v>2594</v>
      </c>
      <c r="E336" s="20">
        <v>1.0</v>
      </c>
    </row>
    <row r="337">
      <c r="A337" s="196" t="str">
        <f>IFERROR(__xludf.DUMMYFUNCTION("""COMPUTED_VALUE"""),"Blackwing")</f>
        <v>Blackwing</v>
      </c>
      <c r="B337" s="197" t="str">
        <f>IFERROR(__xludf.DUMMYFUNCTION("""COMPUTED_VALUE"""),"Siegebreaker")</f>
        <v>Siegebreaker</v>
      </c>
      <c r="C337" s="197">
        <f t="shared" si="1"/>
        <v>1</v>
      </c>
      <c r="D337" s="20" t="s">
        <v>2595</v>
      </c>
      <c r="E337" s="20">
        <v>1.0</v>
      </c>
    </row>
    <row r="338">
      <c r="A338" s="196" t="str">
        <f>IFERROR(__xludf.DUMMYFUNCTION("""COMPUTED_VALUE"""),"Usurper")</f>
        <v>Usurper</v>
      </c>
      <c r="B338" s="197" t="str">
        <f>IFERROR(__xludf.DUMMYFUNCTION("""COMPUTED_VALUE"""),"Surly")</f>
        <v>Surly</v>
      </c>
      <c r="C338" s="197">
        <f t="shared" si="1"/>
        <v>1</v>
      </c>
      <c r="D338" s="20" t="s">
        <v>2596</v>
      </c>
      <c r="E338" s="20">
        <v>1.0</v>
      </c>
    </row>
    <row r="339">
      <c r="A339" s="196"/>
      <c r="B339" s="197" t="str">
        <f>IFERROR(__xludf.DUMMYFUNCTION("""COMPUTED_VALUE"""),"Donkey")</f>
        <v>Donkey</v>
      </c>
      <c r="C339" s="197">
        <f t="shared" si="1"/>
        <v>1</v>
      </c>
      <c r="D339" s="20" t="s">
        <v>2597</v>
      </c>
      <c r="E339" s="20">
        <v>1.0</v>
      </c>
    </row>
    <row r="340">
      <c r="A340" s="196"/>
      <c r="B340" s="197" t="str">
        <f>IFERROR(__xludf.DUMMYFUNCTION("""COMPUTED_VALUE"""),"Grand")</f>
        <v>Grand</v>
      </c>
      <c r="C340" s="197">
        <f t="shared" si="1"/>
        <v>1</v>
      </c>
      <c r="D340" s="20" t="s">
        <v>2598</v>
      </c>
      <c r="E340" s="20">
        <v>1.0</v>
      </c>
    </row>
    <row r="341">
      <c r="A341" s="196"/>
      <c r="B341" s="197" t="str">
        <f>IFERROR(__xludf.DUMMYFUNCTION("""COMPUTED_VALUE"""),"Ruiner")</f>
        <v>Ruiner</v>
      </c>
      <c r="C341" s="197">
        <f t="shared" si="1"/>
        <v>1</v>
      </c>
      <c r="D341" s="20" t="s">
        <v>2599</v>
      </c>
      <c r="E341" s="20">
        <v>1.0</v>
      </c>
    </row>
    <row r="342">
      <c r="A342" s="196" t="str">
        <f>IFERROR(__xludf.DUMMYFUNCTION("""COMPUTED_VALUE"""),"Thunderswarm")</f>
        <v>Thunderswarm</v>
      </c>
      <c r="B342" s="197" t="str">
        <f>IFERROR(__xludf.DUMMYFUNCTION("""COMPUTED_VALUE"""),"Snow")</f>
        <v>Snow</v>
      </c>
      <c r="C342" s="197">
        <f t="shared" si="1"/>
        <v>1</v>
      </c>
      <c r="D342" s="20" t="s">
        <v>2600</v>
      </c>
      <c r="E342" s="20">
        <v>1.0</v>
      </c>
    </row>
    <row r="343">
      <c r="A343" s="196" t="str">
        <f>IFERROR(__xludf.DUMMYFUNCTION("""COMPUTED_VALUE"""),"Celestial")</f>
        <v>Celestial</v>
      </c>
      <c r="B343" s="197" t="str">
        <f>IFERROR(__xludf.DUMMYFUNCTION("""COMPUTED_VALUE"""),"Crane")</f>
        <v>Crane</v>
      </c>
      <c r="C343" s="197">
        <f t="shared" si="1"/>
        <v>1</v>
      </c>
      <c r="D343" s="20" t="s">
        <v>2601</v>
      </c>
      <c r="E343" s="20">
        <v>1.0</v>
      </c>
    </row>
    <row r="344">
      <c r="A344" s="196"/>
      <c r="B344" s="197" t="str">
        <f>IFERROR(__xludf.DUMMYFUNCTION("""COMPUTED_VALUE"""),"Trading")</f>
        <v>Trading</v>
      </c>
      <c r="C344" s="197">
        <f t="shared" si="1"/>
        <v>1</v>
      </c>
      <c r="D344" s="20" t="s">
        <v>2602</v>
      </c>
      <c r="E344" s="20">
        <v>1.0</v>
      </c>
    </row>
    <row r="345">
      <c r="A345" s="196"/>
      <c r="B345" s="197" t="str">
        <f>IFERROR(__xludf.DUMMYFUNCTION("""COMPUTED_VALUE"""),"Post")</f>
        <v>Post</v>
      </c>
      <c r="C345" s="197">
        <f t="shared" si="1"/>
        <v>1</v>
      </c>
      <c r="D345" s="20" t="s">
        <v>2603</v>
      </c>
      <c r="E345" s="20">
        <v>1.0</v>
      </c>
    </row>
    <row r="346">
      <c r="A346" s="196"/>
      <c r="B346" s="197" t="str">
        <f>IFERROR(__xludf.DUMMYFUNCTION("""COMPUTED_VALUE"""),"Camel")</f>
        <v>Camel</v>
      </c>
      <c r="C346" s="197">
        <f t="shared" si="1"/>
        <v>2</v>
      </c>
      <c r="D346" s="20" t="s">
        <v>2604</v>
      </c>
      <c r="E346" s="20">
        <v>1.0</v>
      </c>
    </row>
    <row r="347">
      <c r="A347" s="196" t="str">
        <f>IFERROR(__xludf.DUMMYFUNCTION("""COMPUTED_VALUE"""),"The")</f>
        <v>The</v>
      </c>
      <c r="B347" s="197" t="str">
        <f>IFERROR(__xludf.DUMMYFUNCTION("""COMPUTED_VALUE"""),"Stormforged")</f>
        <v>Stormforged</v>
      </c>
      <c r="C347" s="197">
        <f t="shared" si="1"/>
        <v>1</v>
      </c>
      <c r="D347" s="20" t="s">
        <v>2605</v>
      </c>
      <c r="E347" s="20">
        <v>1.0</v>
      </c>
    </row>
    <row r="348">
      <c r="A348" s="196" t="str">
        <f>IFERROR(__xludf.DUMMYFUNCTION("""COMPUTED_VALUE"""),"Second")</f>
        <v>Second</v>
      </c>
      <c r="B348" s="197" t="str">
        <f>IFERROR(__xludf.DUMMYFUNCTION("""COMPUTED_VALUE"""),"Recruit")</f>
        <v>Recruit</v>
      </c>
      <c r="C348" s="197">
        <f t="shared" si="1"/>
        <v>1</v>
      </c>
      <c r="D348" s="20" t="s">
        <v>2606</v>
      </c>
      <c r="E348" s="20">
        <v>1.0</v>
      </c>
    </row>
    <row r="349">
      <c r="A349" s="196" t="str">
        <f>IFERROR(__xludf.DUMMYFUNCTION("""COMPUTED_VALUE"""),"Wing")</f>
        <v>Wing</v>
      </c>
      <c r="B349" s="197" t="str">
        <f>IFERROR(__xludf.DUMMYFUNCTION("""COMPUTED_VALUE"""),"Supply")</f>
        <v>Supply</v>
      </c>
      <c r="C349" s="197">
        <f t="shared" si="1"/>
        <v>1</v>
      </c>
      <c r="D349" s="20" t="s">
        <v>2607</v>
      </c>
      <c r="E349" s="20">
        <v>1.0</v>
      </c>
    </row>
    <row r="350">
      <c r="A350" s="196"/>
      <c r="B350" s="197" t="str">
        <f>IFERROR(__xludf.DUMMYFUNCTION("""COMPUTED_VALUE"""),"Trusty")</f>
        <v>Trusty</v>
      </c>
      <c r="C350" s="197">
        <f t="shared" si="1"/>
        <v>1</v>
      </c>
      <c r="D350" s="20" t="s">
        <v>2608</v>
      </c>
      <c r="E350" s="20">
        <v>1.0</v>
      </c>
    </row>
    <row r="351">
      <c r="A351" s="196"/>
      <c r="B351" s="197" t="str">
        <f>IFERROR(__xludf.DUMMYFUNCTION("""COMPUTED_VALUE"""),"Companion")</f>
        <v>Companion</v>
      </c>
      <c r="C351" s="197">
        <f t="shared" si="1"/>
        <v>1</v>
      </c>
      <c r="D351" s="20" t="s">
        <v>2609</v>
      </c>
      <c r="E351" s="20">
        <v>1.0</v>
      </c>
    </row>
    <row r="352">
      <c r="A352" s="196" t="str">
        <f>IFERROR(__xludf.DUMMYFUNCTION("""COMPUTED_VALUE"""),"Ivoryscar")</f>
        <v>Ivoryscar</v>
      </c>
      <c r="B352" s="197" t="str">
        <f>IFERROR(__xludf.DUMMYFUNCTION("""COMPUTED_VALUE"""),"Bloodfleet")</f>
        <v>Bloodfleet</v>
      </c>
      <c r="C352" s="197">
        <f t="shared" si="1"/>
        <v>2</v>
      </c>
      <c r="D352" s="20" t="s">
        <v>2610</v>
      </c>
      <c r="E352" s="20">
        <v>1.0</v>
      </c>
    </row>
    <row r="353">
      <c r="A353" s="196" t="str">
        <f>IFERROR(__xludf.DUMMYFUNCTION("""COMPUTED_VALUE"""),"Fatebreaker")</f>
        <v>Fatebreaker</v>
      </c>
      <c r="B353" s="197" t="str">
        <f>IFERROR(__xludf.DUMMYFUNCTION("""COMPUTED_VALUE"""),"Raider")</f>
        <v>Raider</v>
      </c>
      <c r="C353" s="197">
        <f t="shared" si="1"/>
        <v>2</v>
      </c>
      <c r="D353" s="20" t="s">
        <v>2611</v>
      </c>
      <c r="E353" s="20">
        <v>1.0</v>
      </c>
    </row>
    <row r="354">
      <c r="A354" s="196"/>
      <c r="B354" s="197" t="str">
        <f>IFERROR(__xludf.DUMMYFUNCTION("""COMPUTED_VALUE"""),"Caring")</f>
        <v>Caring</v>
      </c>
      <c r="C354" s="197">
        <f t="shared" si="1"/>
        <v>2</v>
      </c>
      <c r="D354" s="20" t="s">
        <v>2612</v>
      </c>
      <c r="E354" s="20">
        <v>1.0</v>
      </c>
    </row>
    <row r="355">
      <c r="A355" s="196"/>
      <c r="B355" s="197" t="str">
        <f>IFERROR(__xludf.DUMMYFUNCTION("""COMPUTED_VALUE"""),"Mother")</f>
        <v>Mother</v>
      </c>
      <c r="C355" s="197">
        <f t="shared" si="1"/>
        <v>1</v>
      </c>
      <c r="D355" s="20" t="s">
        <v>2613</v>
      </c>
      <c r="E355" s="20">
        <v>1.0</v>
      </c>
    </row>
    <row r="356">
      <c r="A356" s="196"/>
      <c r="B356" s="197" t="str">
        <f>IFERROR(__xludf.DUMMYFUNCTION("""COMPUTED_VALUE"""),"Wayward")</f>
        <v>Wayward</v>
      </c>
      <c r="C356" s="197">
        <f t="shared" si="1"/>
        <v>1</v>
      </c>
      <c r="D356" s="20" t="s">
        <v>2614</v>
      </c>
      <c r="E356" s="20">
        <v>1.0</v>
      </c>
    </row>
    <row r="357">
      <c r="A357" s="196" t="str">
        <f>IFERROR(__xludf.DUMMYFUNCTION("""COMPUTED_VALUE"""),"Moon")</f>
        <v>Moon</v>
      </c>
      <c r="B357" s="197" t="str">
        <f>IFERROR(__xludf.DUMMYFUNCTION("""COMPUTED_VALUE"""),"Battle")</f>
        <v>Battle</v>
      </c>
      <c r="C357" s="197">
        <f t="shared" si="1"/>
        <v>1</v>
      </c>
      <c r="D357" s="20" t="s">
        <v>2615</v>
      </c>
      <c r="E357" s="20">
        <v>1.0</v>
      </c>
    </row>
    <row r="358">
      <c r="A358" s="196" t="str">
        <f>IFERROR(__xludf.DUMMYFUNCTION("""COMPUTED_VALUE"""),"Priestess")</f>
        <v>Priestess</v>
      </c>
      <c r="B358" s="197" t="str">
        <f>IFERROR(__xludf.DUMMYFUNCTION("""COMPUTED_VALUE"""),"Dreadnought")</f>
        <v>Dreadnought</v>
      </c>
      <c r="C358" s="197">
        <f t="shared" si="1"/>
        <v>1</v>
      </c>
      <c r="D358" s="20" t="s">
        <v>2616</v>
      </c>
      <c r="E358" s="20">
        <v>1.0</v>
      </c>
    </row>
    <row r="359">
      <c r="A359" s="196"/>
      <c r="B359" s="197" t="str">
        <f>IFERROR(__xludf.DUMMYFUNCTION("""COMPUTED_VALUE"""),"Dojo")</f>
        <v>Dojo</v>
      </c>
      <c r="C359" s="197">
        <f t="shared" si="1"/>
        <v>1</v>
      </c>
      <c r="D359" s="20" t="s">
        <v>2617</v>
      </c>
      <c r="E359" s="20">
        <v>1.0</v>
      </c>
    </row>
    <row r="360">
      <c r="A360" s="196"/>
      <c r="B360" s="197" t="str">
        <f>IFERROR(__xludf.DUMMYFUNCTION("""COMPUTED_VALUE"""),"Drill")</f>
        <v>Drill</v>
      </c>
      <c r="C360" s="197">
        <f t="shared" si="1"/>
        <v>1</v>
      </c>
      <c r="D360" s="20" t="s">
        <v>2618</v>
      </c>
      <c r="E360" s="20">
        <v>1.0</v>
      </c>
    </row>
    <row r="361">
      <c r="A361" s="196"/>
      <c r="B361" s="197" t="str">
        <f>IFERROR(__xludf.DUMMYFUNCTION("""COMPUTED_VALUE"""),"Instructor")</f>
        <v>Instructor</v>
      </c>
      <c r="C361" s="197">
        <f t="shared" si="1"/>
        <v>1</v>
      </c>
      <c r="D361" s="20" t="s">
        <v>2619</v>
      </c>
      <c r="E361" s="20">
        <v>1.0</v>
      </c>
    </row>
    <row r="362">
      <c r="A362" s="196" t="str">
        <f>IFERROR(__xludf.DUMMYFUNCTION("""COMPUTED_VALUE"""),"Airstep")</f>
        <v>Airstep</v>
      </c>
      <c r="B362" s="197" t="str">
        <f>IFERROR(__xludf.DUMMYFUNCTION("""COMPUTED_VALUE"""),"Rune")</f>
        <v>Rune</v>
      </c>
      <c r="C362" s="197">
        <f t="shared" si="1"/>
        <v>1</v>
      </c>
      <c r="D362" s="20" t="s">
        <v>1258</v>
      </c>
      <c r="E362" s="20">
        <v>1.0</v>
      </c>
    </row>
    <row r="363">
      <c r="A363" s="196" t="str">
        <f>IFERROR(__xludf.DUMMYFUNCTION("""COMPUTED_VALUE"""),"Sifu")</f>
        <v>Sifu</v>
      </c>
      <c r="B363" s="197" t="str">
        <f>IFERROR(__xludf.DUMMYFUNCTION("""COMPUTED_VALUE"""),"Whisperer")</f>
        <v>Whisperer</v>
      </c>
      <c r="C363" s="197">
        <f t="shared" si="1"/>
        <v>1</v>
      </c>
      <c r="D363" s="20" t="s">
        <v>2620</v>
      </c>
      <c r="E363" s="20">
        <v>1.0</v>
      </c>
    </row>
    <row r="364">
      <c r="A364" s="196"/>
      <c r="B364" s="197" t="str">
        <f>IFERROR(__xludf.DUMMYFUNCTION("""COMPUTED_VALUE"""),"Ironclad")</f>
        <v>Ironclad</v>
      </c>
      <c r="C364" s="197">
        <f t="shared" si="1"/>
        <v>1</v>
      </c>
      <c r="D364" s="20" t="s">
        <v>2621</v>
      </c>
      <c r="E364" s="20">
        <v>1.0</v>
      </c>
    </row>
    <row r="365">
      <c r="A365" s="196"/>
      <c r="B365" s="197" t="str">
        <f>IFERROR(__xludf.DUMMYFUNCTION("""COMPUTED_VALUE"""),"Jailwalker")</f>
        <v>Jailwalker</v>
      </c>
      <c r="C365" s="197">
        <f t="shared" si="1"/>
        <v>1</v>
      </c>
      <c r="D365" s="20" t="s">
        <v>2622</v>
      </c>
      <c r="E365" s="20">
        <v>1.0</v>
      </c>
    </row>
    <row r="366">
      <c r="A366" s="196"/>
      <c r="B366" s="197" t="str">
        <f>IFERROR(__xludf.DUMMYFUNCTION("""COMPUTED_VALUE"""),"Holy")</f>
        <v>Holy</v>
      </c>
      <c r="C366" s="197">
        <f t="shared" si="1"/>
        <v>1</v>
      </c>
      <c r="D366" s="20" t="s">
        <v>2623</v>
      </c>
      <c r="E366" s="20">
        <v>1.0</v>
      </c>
    </row>
    <row r="367">
      <c r="A367" s="196" t="str">
        <f>IFERROR(__xludf.DUMMYFUNCTION("""COMPUTED_VALUE"""),"Moonspear")</f>
        <v>Moonspear</v>
      </c>
      <c r="B367" s="197" t="str">
        <f>IFERROR(__xludf.DUMMYFUNCTION("""COMPUTED_VALUE"""),"Chicken")</f>
        <v>Chicken</v>
      </c>
      <c r="C367" s="197">
        <f t="shared" si="1"/>
        <v>1</v>
      </c>
      <c r="D367" s="20" t="s">
        <v>1292</v>
      </c>
      <c r="E367" s="20">
        <v>1.0</v>
      </c>
    </row>
    <row r="368">
      <c r="A368" s="196" t="str">
        <f>IFERROR(__xludf.DUMMYFUNCTION("""COMPUTED_VALUE"""),"Paladin")</f>
        <v>Paladin</v>
      </c>
      <c r="B368" s="197" t="str">
        <f>IFERROR(__xludf.DUMMYFUNCTION("""COMPUTED_VALUE"""),"Life")</f>
        <v>Life</v>
      </c>
      <c r="C368" s="197">
        <f t="shared" si="1"/>
        <v>1</v>
      </c>
      <c r="D368" s="20" t="s">
        <v>2624</v>
      </c>
      <c r="E368" s="20">
        <v>1.0</v>
      </c>
    </row>
    <row r="369">
      <c r="A369" s="196"/>
      <c r="B369" s="197" t="str">
        <f>IFERROR(__xludf.DUMMYFUNCTION("""COMPUTED_VALUE"""),"Tree")</f>
        <v>Tree</v>
      </c>
      <c r="C369" s="197">
        <f t="shared" si="1"/>
        <v>2</v>
      </c>
      <c r="D369" s="20" t="s">
        <v>2625</v>
      </c>
      <c r="E369" s="20">
        <v>1.0</v>
      </c>
    </row>
    <row r="370">
      <c r="A370" s="196"/>
      <c r="B370" s="197" t="str">
        <f>IFERROR(__xludf.DUMMYFUNCTION("""COMPUTED_VALUE"""),"Rampart")</f>
        <v>Rampart</v>
      </c>
      <c r="C370" s="197">
        <f t="shared" si="1"/>
        <v>1</v>
      </c>
      <c r="D370" s="20" t="s">
        <v>2626</v>
      </c>
      <c r="E370" s="20">
        <v>1.0</v>
      </c>
    </row>
    <row r="371">
      <c r="A371" s="196"/>
      <c r="B371" s="197" t="str">
        <f>IFERROR(__xludf.DUMMYFUNCTION("""COMPUTED_VALUE"""),"Shellback")</f>
        <v>Shellback</v>
      </c>
      <c r="C371" s="197">
        <f t="shared" si="1"/>
        <v>1</v>
      </c>
      <c r="D371" s="20" t="s">
        <v>2627</v>
      </c>
      <c r="E371" s="20">
        <v>1.0</v>
      </c>
    </row>
    <row r="372">
      <c r="A372" s="196" t="str">
        <f>IFERROR(__xludf.DUMMYFUNCTION("""COMPUTED_VALUE"""),"Arcanum")</f>
        <v>Arcanum</v>
      </c>
      <c r="B372" s="197" t="str">
        <f>IFERROR(__xludf.DUMMYFUNCTION("""COMPUTED_VALUE"""),"Zodiac")</f>
        <v>Zodiac</v>
      </c>
      <c r="C372" s="197">
        <f t="shared" si="1"/>
        <v>1</v>
      </c>
      <c r="D372" s="20" t="s">
        <v>2628</v>
      </c>
      <c r="E372" s="20">
        <v>1.0</v>
      </c>
    </row>
    <row r="373">
      <c r="A373" s="196" t="str">
        <f>IFERROR(__xludf.DUMMYFUNCTION("""COMPUTED_VALUE"""),"Grandmaster")</f>
        <v>Grandmaster</v>
      </c>
      <c r="B373" s="197" t="str">
        <f>IFERROR(__xludf.DUMMYFUNCTION("""COMPUTED_VALUE"""),"Samurai")</f>
        <v>Samurai</v>
      </c>
      <c r="C373" s="197">
        <f t="shared" si="1"/>
        <v>1</v>
      </c>
      <c r="D373" s="20" t="s">
        <v>2629</v>
      </c>
      <c r="E373" s="20">
        <v>1.0</v>
      </c>
    </row>
    <row r="374">
      <c r="A374" s="196"/>
      <c r="B374" s="197" t="str">
        <f>IFERROR(__xludf.DUMMYFUNCTION("""COMPUTED_VALUE"""),"Scalehide")</f>
        <v>Scalehide</v>
      </c>
      <c r="C374" s="197">
        <f t="shared" si="1"/>
        <v>1</v>
      </c>
      <c r="D374" s="20" t="s">
        <v>2630</v>
      </c>
      <c r="E374" s="20">
        <v>1.0</v>
      </c>
    </row>
    <row r="375">
      <c r="A375" s="196"/>
      <c r="B375" s="197" t="str">
        <f>IFERROR(__xludf.DUMMYFUNCTION("""COMPUTED_VALUE"""),"Trapper")</f>
        <v>Trapper</v>
      </c>
      <c r="C375" s="197">
        <f t="shared" si="1"/>
        <v>1</v>
      </c>
      <c r="D375" s="20" t="s">
        <v>2631</v>
      </c>
      <c r="E375" s="20">
        <v>1.0</v>
      </c>
    </row>
    <row r="376">
      <c r="A376" s="196"/>
      <c r="B376" s="197" t="str">
        <f>IFERROR(__xludf.DUMMYFUNCTION("""COMPUTED_VALUE"""),"Crescent")</f>
        <v>Crescent</v>
      </c>
      <c r="C376" s="197">
        <f t="shared" si="1"/>
        <v>1</v>
      </c>
      <c r="D376" s="20" t="s">
        <v>2632</v>
      </c>
      <c r="E376" s="20">
        <v>1.0</v>
      </c>
    </row>
    <row r="377">
      <c r="A377" s="196" t="str">
        <f>IFERROR(__xludf.DUMMYFUNCTION("""COMPUTED_VALUE"""),"Auraborne")</f>
        <v>Auraborne</v>
      </c>
      <c r="B377" s="197" t="str">
        <f>IFERROR(__xludf.DUMMYFUNCTION("""COMPUTED_VALUE"""),"Trapmaster")</f>
        <v>Trapmaster</v>
      </c>
      <c r="C377" s="197">
        <f t="shared" si="1"/>
        <v>1</v>
      </c>
      <c r="D377" s="20" t="s">
        <v>2633</v>
      </c>
      <c r="E377" s="20">
        <v>1.0</v>
      </c>
    </row>
    <row r="378">
      <c r="A378" s="196" t="str">
        <f>IFERROR(__xludf.DUMMYFUNCTION("""COMPUTED_VALUE"""),"Wyvern")</f>
        <v>Wyvern</v>
      </c>
      <c r="B378" s="197" t="str">
        <f>IFERROR(__xludf.DUMMYFUNCTION("""COMPUTED_VALUE"""),"Gemcrazed")</f>
        <v>Gemcrazed</v>
      </c>
      <c r="C378" s="197">
        <f t="shared" si="1"/>
        <v>1</v>
      </c>
      <c r="D378" s="20" t="s">
        <v>2634</v>
      </c>
      <c r="E378" s="20">
        <v>1.0</v>
      </c>
    </row>
    <row r="379">
      <c r="A379" s="196"/>
      <c r="B379" s="197" t="str">
        <f>IFERROR(__xludf.DUMMYFUNCTION("""COMPUTED_VALUE"""),"Clown")</f>
        <v>Clown</v>
      </c>
      <c r="C379" s="197">
        <f t="shared" si="1"/>
        <v>1</v>
      </c>
      <c r="D379" s="20" t="s">
        <v>2635</v>
      </c>
      <c r="E379" s="20">
        <v>1.0</v>
      </c>
    </row>
    <row r="380">
      <c r="A380" s="196"/>
      <c r="B380" s="197" t="str">
        <f>IFERROR(__xludf.DUMMYFUNCTION("""COMPUTED_VALUE"""),"Augur")</f>
        <v>Augur</v>
      </c>
      <c r="C380" s="197">
        <f t="shared" si="1"/>
        <v>1</v>
      </c>
      <c r="D380" s="20" t="s">
        <v>2636</v>
      </c>
      <c r="E380" s="20">
        <v>1.0</v>
      </c>
    </row>
    <row r="381">
      <c r="A381" s="196"/>
      <c r="B381" s="197" t="str">
        <f>IFERROR(__xludf.DUMMYFUNCTION("""COMPUTED_VALUE"""),"Sanguine")</f>
        <v>Sanguine</v>
      </c>
      <c r="C381" s="197">
        <f t="shared" si="1"/>
        <v>2</v>
      </c>
      <c r="D381" s="20" t="s">
        <v>2637</v>
      </c>
      <c r="E381" s="20">
        <v>1.0</v>
      </c>
    </row>
    <row r="382">
      <c r="A382" s="196" t="str">
        <f>IFERROR(__xludf.DUMMYFUNCTION("""COMPUTED_VALUE"""),"Blazecharm")</f>
        <v>Blazecharm</v>
      </c>
      <c r="B382" s="197" t="str">
        <f>IFERROR(__xludf.DUMMYFUNCTION("""COMPUTED_VALUE"""),"Student")</f>
        <v>Student</v>
      </c>
      <c r="C382" s="197">
        <f t="shared" si="1"/>
        <v>1</v>
      </c>
      <c r="D382" s="20" t="s">
        <v>2638</v>
      </c>
      <c r="E382" s="20">
        <v>1.0</v>
      </c>
    </row>
    <row r="383">
      <c r="A383" s="196" t="str">
        <f>IFERROR(__xludf.DUMMYFUNCTION("""COMPUTED_VALUE"""),"Kitsune")</f>
        <v>Kitsune</v>
      </c>
      <c r="B383" s="197" t="str">
        <f>IFERROR(__xludf.DUMMYFUNCTION("""COMPUTED_VALUE"""),"Shade")</f>
        <v>Shade</v>
      </c>
      <c r="C383" s="197">
        <f t="shared" si="1"/>
        <v>1</v>
      </c>
      <c r="D383" s="20" t="s">
        <v>2639</v>
      </c>
      <c r="E383" s="20">
        <v>1.0</v>
      </c>
    </row>
    <row r="384">
      <c r="A384" s="196"/>
      <c r="B384" s="197" t="str">
        <f>IFERROR(__xludf.DUMMYFUNCTION("""COMPUTED_VALUE"""),"in")</f>
        <v>in</v>
      </c>
      <c r="C384" s="197">
        <f t="shared" si="1"/>
        <v>1</v>
      </c>
      <c r="D384" s="20" t="s">
        <v>2640</v>
      </c>
      <c r="E384" s="20">
        <v>1.0</v>
      </c>
    </row>
    <row r="385">
      <c r="A385" s="196"/>
      <c r="B385" s="197" t="str">
        <f>IFERROR(__xludf.DUMMYFUNCTION("""COMPUTED_VALUE"""),"Alley")</f>
        <v>Alley</v>
      </c>
      <c r="C385" s="197">
        <f t="shared" si="1"/>
        <v>1</v>
      </c>
      <c r="D385" s="20" t="s">
        <v>2641</v>
      </c>
      <c r="E385" s="20">
        <v>1.0</v>
      </c>
    </row>
    <row r="386">
      <c r="A386" s="196"/>
      <c r="B386" s="197" t="str">
        <f>IFERROR(__xludf.DUMMYFUNCTION("""COMPUTED_VALUE"""),"Vindictive")</f>
        <v>Vindictive</v>
      </c>
      <c r="C386" s="197">
        <f t="shared" si="1"/>
        <v>1</v>
      </c>
      <c r="D386" s="20" t="s">
        <v>2642</v>
      </c>
      <c r="E386" s="20">
        <v>1.0</v>
      </c>
    </row>
    <row r="387">
      <c r="A387" s="196" t="str">
        <f>IFERROR(__xludf.DUMMYFUNCTION("""COMPUTED_VALUE"""),"Glowing")</f>
        <v>Glowing</v>
      </c>
      <c r="B387" s="197" t="str">
        <f>IFERROR(__xludf.DUMMYFUNCTION("""COMPUTED_VALUE"""),"Forsaken")</f>
        <v>Forsaken</v>
      </c>
      <c r="C387" s="197">
        <f t="shared" si="1"/>
        <v>5</v>
      </c>
      <c r="D387" s="20" t="s">
        <v>2643</v>
      </c>
      <c r="E387" s="20">
        <v>1.0</v>
      </c>
    </row>
    <row r="388">
      <c r="A388" s="196" t="str">
        <f>IFERROR(__xludf.DUMMYFUNCTION("""COMPUTED_VALUE"""),"Gearhulk")</f>
        <v>Gearhulk</v>
      </c>
      <c r="B388" s="197" t="str">
        <f>IFERROR(__xludf.DUMMYFUNCTION("""COMPUTED_VALUE"""),"Willing")</f>
        <v>Willing</v>
      </c>
      <c r="C388" s="197">
        <f t="shared" si="1"/>
        <v>1</v>
      </c>
      <c r="D388" s="20" t="s">
        <v>2644</v>
      </c>
      <c r="E388" s="20">
        <v>1.0</v>
      </c>
    </row>
    <row r="389">
      <c r="A389" s="196"/>
      <c r="B389" s="197" t="str">
        <f>IFERROR(__xludf.DUMMYFUNCTION("""COMPUTED_VALUE"""),"Sacrifice")</f>
        <v>Sacrifice</v>
      </c>
      <c r="C389" s="197">
        <f t="shared" si="1"/>
        <v>1</v>
      </c>
      <c r="D389" s="20" t="s">
        <v>2645</v>
      </c>
      <c r="E389" s="20">
        <v>1.0</v>
      </c>
    </row>
    <row r="390">
      <c r="A390" s="196"/>
      <c r="B390" s="197" t="str">
        <f>IFERROR(__xludf.DUMMYFUNCTION("""COMPUTED_VALUE"""),"Harpooneer")</f>
        <v>Harpooneer</v>
      </c>
      <c r="C390" s="197">
        <f t="shared" si="1"/>
        <v>1</v>
      </c>
      <c r="D390" s="20" t="s">
        <v>2646</v>
      </c>
      <c r="E390" s="20">
        <v>1.0</v>
      </c>
    </row>
    <row r="391">
      <c r="A391" s="196"/>
      <c r="B391" s="197" t="str">
        <f>IFERROR(__xludf.DUMMYFUNCTION("""COMPUTED_VALUE"""),"Gold")</f>
        <v>Gold</v>
      </c>
      <c r="C391" s="197">
        <f t="shared" si="1"/>
        <v>1</v>
      </c>
      <c r="D391" s="20" t="s">
        <v>2647</v>
      </c>
      <c r="E391" s="20">
        <v>1.0</v>
      </c>
    </row>
    <row r="392">
      <c r="A392" s="196" t="str">
        <f>IFERROR(__xludf.DUMMYFUNCTION("""COMPUTED_VALUE"""),"Boiling")</f>
        <v>Boiling</v>
      </c>
      <c r="B392" s="197" t="str">
        <f>IFERROR(__xludf.DUMMYFUNCTION("""COMPUTED_VALUE"""),"Colibri")</f>
        <v>Colibri</v>
      </c>
      <c r="C392" s="197">
        <f t="shared" si="1"/>
        <v>1</v>
      </c>
      <c r="D392" s="20" t="s">
        <v>2648</v>
      </c>
      <c r="E392" s="20">
        <v>1.0</v>
      </c>
    </row>
    <row r="393">
      <c r="A393" s="196" t="str">
        <f>IFERROR(__xludf.DUMMYFUNCTION("""COMPUTED_VALUE"""),"Blood")</f>
        <v>Blood</v>
      </c>
      <c r="B393" s="197" t="str">
        <f>IFERROR(__xludf.DUMMYFUNCTION("""COMPUTED_VALUE"""),"Greedy")</f>
        <v>Greedy</v>
      </c>
      <c r="C393" s="197">
        <f t="shared" si="1"/>
        <v>1</v>
      </c>
      <c r="D393" s="20" t="s">
        <v>2649</v>
      </c>
      <c r="E393" s="20">
        <v>1.0</v>
      </c>
    </row>
    <row r="394">
      <c r="A394" s="196" t="str">
        <f>IFERROR(__xludf.DUMMYFUNCTION("""COMPUTED_VALUE"""),"Berserker")</f>
        <v>Berserker</v>
      </c>
      <c r="B394" s="197" t="str">
        <f>IFERROR(__xludf.DUMMYFUNCTION("""COMPUTED_VALUE"""),"Senator")</f>
        <v>Senator</v>
      </c>
      <c r="C394" s="197">
        <f t="shared" si="1"/>
        <v>1</v>
      </c>
      <c r="D394" s="20" t="s">
        <v>2650</v>
      </c>
      <c r="E394" s="20">
        <v>1.0</v>
      </c>
    </row>
    <row r="395">
      <c r="A395" s="196"/>
      <c r="B395" s="197" t="str">
        <f>IFERROR(__xludf.DUMMYFUNCTION("""COMPUTED_VALUE"""),"Armordillo")</f>
        <v>Armordillo</v>
      </c>
      <c r="C395" s="197">
        <f t="shared" si="1"/>
        <v>1</v>
      </c>
      <c r="D395" s="20" t="s">
        <v>2651</v>
      </c>
      <c r="E395" s="20">
        <v>1.0</v>
      </c>
    </row>
    <row r="396">
      <c r="A396" s="196"/>
      <c r="B396" s="197" t="str">
        <f>IFERROR(__xludf.DUMMYFUNCTION("""COMPUTED_VALUE"""),"Paragon")</f>
        <v>Paragon</v>
      </c>
      <c r="C396" s="197">
        <f t="shared" si="1"/>
        <v>1</v>
      </c>
      <c r="D396" s="20" t="s">
        <v>2652</v>
      </c>
      <c r="E396" s="20">
        <v>1.0</v>
      </c>
    </row>
    <row r="397">
      <c r="A397" s="196" t="str">
        <f>IFERROR(__xludf.DUMMYFUNCTION("""COMPUTED_VALUE"""),"Goat")</f>
        <v>Goat</v>
      </c>
      <c r="B397" s="197" t="str">
        <f>IFERROR(__xludf.DUMMYFUNCTION("""COMPUTED_VALUE"""),"Conquest")</f>
        <v>Conquest</v>
      </c>
      <c r="C397" s="197">
        <f t="shared" si="1"/>
        <v>1</v>
      </c>
      <c r="D397" s="20" t="s">
        <v>2653</v>
      </c>
      <c r="E397" s="20">
        <v>1.0</v>
      </c>
    </row>
    <row r="398">
      <c r="A398" s="196" t="str">
        <f>IFERROR(__xludf.DUMMYFUNCTION("""COMPUTED_VALUE"""),"Oracle")</f>
        <v>Oracle</v>
      </c>
      <c r="B398" s="197" t="str">
        <f>IFERROR(__xludf.DUMMYFUNCTION("""COMPUTED_VALUE"""),"Tilling")</f>
        <v>Tilling</v>
      </c>
      <c r="C398" s="197">
        <f t="shared" si="1"/>
        <v>1</v>
      </c>
      <c r="D398" s="20" t="s">
        <v>2654</v>
      </c>
      <c r="E398" s="20">
        <v>1.0</v>
      </c>
    </row>
    <row r="399">
      <c r="A399" s="196"/>
      <c r="B399" s="197" t="str">
        <f>IFERROR(__xludf.DUMMYFUNCTION("""COMPUTED_VALUE"""),"Yoke")</f>
        <v>Yoke</v>
      </c>
      <c r="C399" s="197">
        <f t="shared" si="1"/>
        <v>1</v>
      </c>
      <c r="D399" s="20" t="s">
        <v>2655</v>
      </c>
      <c r="E399" s="20">
        <v>1.0</v>
      </c>
    </row>
    <row r="400">
      <c r="A400" s="196"/>
      <c r="B400" s="197" t="str">
        <f>IFERROR(__xludf.DUMMYFUNCTION("""COMPUTED_VALUE"""),"Beast")</f>
        <v>Beast</v>
      </c>
      <c r="C400" s="197">
        <f t="shared" si="1"/>
        <v>1</v>
      </c>
      <c r="D400" s="20" t="s">
        <v>2656</v>
      </c>
      <c r="E400" s="20">
        <v>1.0</v>
      </c>
    </row>
    <row r="401">
      <c r="A401" s="196"/>
      <c r="B401" s="197" t="str">
        <f>IFERROR(__xludf.DUMMYFUNCTION("""COMPUTED_VALUE"""),"Blossombeast")</f>
        <v>Blossombeast</v>
      </c>
      <c r="C401" s="197">
        <f t="shared" si="1"/>
        <v>1</v>
      </c>
      <c r="D401" s="20" t="s">
        <v>2657</v>
      </c>
      <c r="E401" s="20">
        <v>1.0</v>
      </c>
    </row>
    <row r="402">
      <c r="A402" s="196" t="str">
        <f>IFERROR(__xludf.DUMMYFUNCTION("""COMPUTED_VALUE"""),"Tranquil")</f>
        <v>Tranquil</v>
      </c>
      <c r="B402" s="197" t="str">
        <f>IFERROR(__xludf.DUMMYFUNCTION("""COMPUTED_VALUE"""),"Bug")</f>
        <v>Bug</v>
      </c>
      <c r="C402" s="197">
        <f t="shared" si="1"/>
        <v>2</v>
      </c>
      <c r="D402" s="20" t="s">
        <v>1432</v>
      </c>
      <c r="E402" s="20">
        <v>1.0</v>
      </c>
    </row>
    <row r="403">
      <c r="A403" s="196" t="str">
        <f>IFERROR(__xludf.DUMMYFUNCTION("""COMPUTED_VALUE"""),"Herd")</f>
        <v>Herd</v>
      </c>
      <c r="B403" s="197" t="str">
        <f>IFERROR(__xludf.DUMMYFUNCTION("""COMPUTED_VALUE"""),"Curator")</f>
        <v>Curator</v>
      </c>
      <c r="C403" s="197">
        <f t="shared" si="1"/>
        <v>1</v>
      </c>
      <c r="D403" s="20" t="s">
        <v>2658</v>
      </c>
      <c r="E403" s="20">
        <v>1.0</v>
      </c>
    </row>
    <row r="404">
      <c r="A404" s="196" t="str">
        <f>IFERROR(__xludf.DUMMYFUNCTION("""COMPUTED_VALUE"""),"Sagehorn")</f>
        <v>Sagehorn</v>
      </c>
      <c r="B404" s="197" t="str">
        <f>IFERROR(__xludf.DUMMYFUNCTION("""COMPUTED_VALUE"""),"Buzzing")</f>
        <v>Buzzing</v>
      </c>
      <c r="C404" s="197">
        <f t="shared" si="1"/>
        <v>1</v>
      </c>
      <c r="D404" s="20" t="s">
        <v>2659</v>
      </c>
      <c r="E404" s="20">
        <v>1.0</v>
      </c>
    </row>
    <row r="405">
      <c r="A405" s="196"/>
      <c r="B405" s="197" t="str">
        <f>IFERROR(__xludf.DUMMYFUNCTION("""COMPUTED_VALUE"""),"Hivetitan")</f>
        <v>Hivetitan</v>
      </c>
      <c r="C405" s="197">
        <f t="shared" si="1"/>
        <v>1</v>
      </c>
      <c r="D405" s="20" t="s">
        <v>2660</v>
      </c>
      <c r="E405" s="20">
        <v>1.0</v>
      </c>
    </row>
    <row r="406">
      <c r="A406" s="196"/>
      <c r="B406" s="197" t="str">
        <f>IFERROR(__xludf.DUMMYFUNCTION("""COMPUTED_VALUE"""),"Caleidoscope")</f>
        <v>Caleidoscope</v>
      </c>
      <c r="C406" s="197">
        <f t="shared" si="1"/>
        <v>1</v>
      </c>
      <c r="D406" s="20" t="s">
        <v>2661</v>
      </c>
      <c r="E406" s="20">
        <v>1.0</v>
      </c>
    </row>
    <row r="407">
      <c r="A407" s="196" t="str">
        <f>IFERROR(__xludf.DUMMYFUNCTION("""COMPUTED_VALUE"""),"Sunblessed")</f>
        <v>Sunblessed</v>
      </c>
      <c r="B407" s="197" t="str">
        <f>IFERROR(__xludf.DUMMYFUNCTION("""COMPUTED_VALUE"""),"Spider")</f>
        <v>Spider</v>
      </c>
      <c r="C407" s="197">
        <f t="shared" si="1"/>
        <v>1</v>
      </c>
      <c r="D407" s="20" t="s">
        <v>2662</v>
      </c>
      <c r="E407" s="20">
        <v>1.0</v>
      </c>
    </row>
    <row r="408">
      <c r="A408" s="196" t="str">
        <f>IFERROR(__xludf.DUMMYFUNCTION("""COMPUTED_VALUE"""),"Crocodile")</f>
        <v>Crocodile</v>
      </c>
      <c r="B408" s="197" t="str">
        <f>IFERROR(__xludf.DUMMYFUNCTION("""COMPUTED_VALUE"""),"Emberblade")</f>
        <v>Emberblade</v>
      </c>
      <c r="C408" s="197">
        <f t="shared" si="1"/>
        <v>1</v>
      </c>
      <c r="D408" s="20" t="s">
        <v>2663</v>
      </c>
      <c r="E408" s="20">
        <v>1.0</v>
      </c>
    </row>
    <row r="409">
      <c r="A409" s="196"/>
      <c r="B409" s="197" t="str">
        <f>IFERROR(__xludf.DUMMYFUNCTION("""COMPUTED_VALUE"""),"Senatorial")</f>
        <v>Senatorial</v>
      </c>
      <c r="C409" s="197">
        <f t="shared" si="1"/>
        <v>1</v>
      </c>
      <c r="D409" s="20" t="s">
        <v>2664</v>
      </c>
      <c r="E409" s="20">
        <v>1.0</v>
      </c>
    </row>
    <row r="410">
      <c r="A410" s="196"/>
      <c r="B410" s="197" t="str">
        <f>IFERROR(__xludf.DUMMYFUNCTION("""COMPUTED_VALUE"""),"Phalanx")</f>
        <v>Phalanx</v>
      </c>
      <c r="C410" s="197">
        <f t="shared" si="1"/>
        <v>1</v>
      </c>
      <c r="D410" s="20" t="s">
        <v>2665</v>
      </c>
      <c r="E410" s="20">
        <v>1.0</v>
      </c>
    </row>
    <row r="411">
      <c r="A411" s="196"/>
      <c r="B411" s="197" t="str">
        <f>IFERROR(__xludf.DUMMYFUNCTION("""COMPUTED_VALUE"""),"Ferromancer")</f>
        <v>Ferromancer</v>
      </c>
      <c r="C411" s="197">
        <f t="shared" si="1"/>
        <v>1</v>
      </c>
      <c r="D411" s="20" t="s">
        <v>2666</v>
      </c>
      <c r="E411" s="20">
        <v>1.0</v>
      </c>
    </row>
    <row r="412">
      <c r="A412" s="196" t="str">
        <f>IFERROR(__xludf.DUMMYFUNCTION("""COMPUTED_VALUE"""),"Kois")</f>
        <v>Kois</v>
      </c>
      <c r="B412" s="197" t="str">
        <f>IFERROR(__xludf.DUMMYFUNCTION("""COMPUTED_VALUE"""),"Frontier")</f>
        <v>Frontier</v>
      </c>
      <c r="C412" s="197">
        <f t="shared" si="1"/>
        <v>1</v>
      </c>
      <c r="D412" s="20" t="s">
        <v>2667</v>
      </c>
      <c r="E412" s="20">
        <v>1.0</v>
      </c>
    </row>
    <row r="413">
      <c r="A413" s="196" t="str">
        <f>IFERROR(__xludf.DUMMYFUNCTION("""COMPUTED_VALUE"""),"of")</f>
        <v>of</v>
      </c>
      <c r="B413" s="197" t="str">
        <f>IFERROR(__xludf.DUMMYFUNCTION("""COMPUTED_VALUE"""),"Centurion")</f>
        <v>Centurion</v>
      </c>
      <c r="C413" s="197">
        <f t="shared" si="1"/>
        <v>1</v>
      </c>
      <c r="D413" s="20" t="s">
        <v>2668</v>
      </c>
      <c r="E413" s="20">
        <v>1.0</v>
      </c>
    </row>
    <row r="414">
      <c r="A414" s="196" t="str">
        <f>IFERROR(__xludf.DUMMYFUNCTION("""COMPUTED_VALUE"""),"Duality")</f>
        <v>Duality</v>
      </c>
      <c r="B414" s="197" t="str">
        <f>IFERROR(__xludf.DUMMYFUNCTION("""COMPUTED_VALUE"""),"Saboteur")</f>
        <v>Saboteur</v>
      </c>
      <c r="C414" s="197">
        <f t="shared" si="1"/>
        <v>1</v>
      </c>
      <c r="D414" s="20" t="s">
        <v>2669</v>
      </c>
      <c r="E414" s="20">
        <v>1.0</v>
      </c>
    </row>
    <row r="415">
      <c r="A415" s="196"/>
      <c r="B415" s="197" t="str">
        <f>IFERROR(__xludf.DUMMYFUNCTION("""COMPUTED_VALUE"""),"Rustblood")</f>
        <v>Rustblood</v>
      </c>
      <c r="C415" s="197">
        <f t="shared" si="1"/>
        <v>1</v>
      </c>
      <c r="D415" s="20" t="s">
        <v>2670</v>
      </c>
      <c r="E415" s="20">
        <v>1.0</v>
      </c>
    </row>
    <row r="416">
      <c r="A416" s="196"/>
      <c r="B416" s="197" t="str">
        <f>IFERROR(__xludf.DUMMYFUNCTION("""COMPUTED_VALUE"""),"Fairgrove")</f>
        <v>Fairgrove</v>
      </c>
      <c r="C416" s="197">
        <f t="shared" si="1"/>
        <v>1</v>
      </c>
      <c r="D416" s="20" t="s">
        <v>2671</v>
      </c>
      <c r="E416" s="20">
        <v>1.0</v>
      </c>
    </row>
    <row r="417">
      <c r="A417" s="196" t="str">
        <f>IFERROR(__xludf.DUMMYFUNCTION("""COMPUTED_VALUE"""),"Ivoryscar")</f>
        <v>Ivoryscar</v>
      </c>
      <c r="B417" s="197" t="str">
        <f>IFERROR(__xludf.DUMMYFUNCTION("""COMPUTED_VALUE"""),"Dryad")</f>
        <v>Dryad</v>
      </c>
      <c r="C417" s="197">
        <f t="shared" si="1"/>
        <v>1</v>
      </c>
      <c r="D417" s="20" t="s">
        <v>2672</v>
      </c>
      <c r="E417" s="20">
        <v>1.0</v>
      </c>
    </row>
    <row r="418">
      <c r="A418" s="196" t="str">
        <f>IFERROR(__xludf.DUMMYFUNCTION("""COMPUTED_VALUE"""),"Eclipsion")</f>
        <v>Eclipsion</v>
      </c>
      <c r="B418" s="197" t="str">
        <f>IFERROR(__xludf.DUMMYFUNCTION("""COMPUTED_VALUE"""),"Fairy")</f>
        <v>Fairy</v>
      </c>
      <c r="C418" s="197">
        <f t="shared" si="1"/>
        <v>1</v>
      </c>
      <c r="D418" s="20" t="s">
        <v>1500</v>
      </c>
      <c r="E418" s="20">
        <v>1.0</v>
      </c>
    </row>
    <row r="419">
      <c r="A419" s="196"/>
      <c r="B419" s="197" t="str">
        <f>IFERROR(__xludf.DUMMYFUNCTION("""COMPUTED_VALUE"""),"Fountain")</f>
        <v>Fountain</v>
      </c>
      <c r="C419" s="197">
        <f t="shared" si="1"/>
        <v>1</v>
      </c>
      <c r="D419" s="20" t="s">
        <v>2673</v>
      </c>
      <c r="E419" s="20">
        <v>1.0</v>
      </c>
    </row>
    <row r="420">
      <c r="A420" s="196"/>
      <c r="B420" s="197" t="str">
        <f>IFERROR(__xludf.DUMMYFUNCTION("""COMPUTED_VALUE"""),"Harvest")</f>
        <v>Harvest</v>
      </c>
      <c r="C420" s="197">
        <f t="shared" si="1"/>
        <v>1</v>
      </c>
      <c r="D420" s="20" t="s">
        <v>2674</v>
      </c>
      <c r="E420" s="20">
        <v>1.0</v>
      </c>
    </row>
    <row r="421">
      <c r="A421" s="196"/>
      <c r="B421" s="197" t="str">
        <f>IFERROR(__xludf.DUMMYFUNCTION("""COMPUTED_VALUE"""),"Sanctifier")</f>
        <v>Sanctifier</v>
      </c>
      <c r="C421" s="197">
        <f t="shared" si="1"/>
        <v>1</v>
      </c>
      <c r="D421" s="20" t="s">
        <v>2675</v>
      </c>
      <c r="E421" s="20">
        <v>1.0</v>
      </c>
    </row>
    <row r="422">
      <c r="A422" s="196" t="str">
        <f>IFERROR(__xludf.DUMMYFUNCTION("""COMPUTED_VALUE"""),"Fallen")</f>
        <v>Fallen</v>
      </c>
      <c r="B422" s="197" t="str">
        <f>IFERROR(__xludf.DUMMYFUNCTION("""COMPUTED_VALUE"""),"Goliath")</f>
        <v>Goliath</v>
      </c>
      <c r="C422" s="197">
        <f t="shared" si="1"/>
        <v>1</v>
      </c>
      <c r="D422" s="20" t="s">
        <v>2676</v>
      </c>
      <c r="E422" s="20">
        <v>1.0</v>
      </c>
    </row>
    <row r="423">
      <c r="A423" s="196" t="str">
        <f>IFERROR(__xludf.DUMMYFUNCTION("""COMPUTED_VALUE"""),"Angel")</f>
        <v>Angel</v>
      </c>
      <c r="B423" s="197" t="str">
        <f>IFERROR(__xludf.DUMMYFUNCTION("""COMPUTED_VALUE"""),"Green")</f>
        <v>Green</v>
      </c>
      <c r="C423" s="197">
        <f t="shared" si="1"/>
        <v>2</v>
      </c>
      <c r="D423" s="20" t="s">
        <v>2677</v>
      </c>
      <c r="E423" s="20">
        <v>1.0</v>
      </c>
    </row>
    <row r="424">
      <c r="A424" s="196"/>
      <c r="B424" s="197" t="str">
        <f>IFERROR(__xludf.DUMMYFUNCTION("""COMPUTED_VALUE"""),"Grizzly")</f>
        <v>Grizzly</v>
      </c>
      <c r="C424" s="197">
        <f t="shared" si="1"/>
        <v>1</v>
      </c>
      <c r="D424" s="20" t="s">
        <v>1523</v>
      </c>
      <c r="E424" s="20">
        <v>1.0</v>
      </c>
    </row>
    <row r="425">
      <c r="A425" s="196"/>
      <c r="B425" s="197" t="str">
        <f>IFERROR(__xludf.DUMMYFUNCTION("""COMPUTED_VALUE"""),"Trap")</f>
        <v>Trap</v>
      </c>
      <c r="C425" s="197">
        <f t="shared" si="1"/>
        <v>1</v>
      </c>
      <c r="D425" s="20" t="s">
        <v>2678</v>
      </c>
      <c r="E425" s="20">
        <v>1.0</v>
      </c>
    </row>
    <row r="426">
      <c r="A426" s="196"/>
      <c r="B426" s="197" t="str">
        <f>IFERROR(__xludf.DUMMYFUNCTION("""COMPUTED_VALUE"""),"Volatile")</f>
        <v>Volatile</v>
      </c>
      <c r="C426" s="197">
        <f t="shared" si="1"/>
        <v>1</v>
      </c>
      <c r="D426" s="20" t="s">
        <v>2679</v>
      </c>
      <c r="E426" s="20">
        <v>1.0</v>
      </c>
    </row>
    <row r="427">
      <c r="A427" s="196" t="str">
        <f>IFERROR(__xludf.DUMMYFUNCTION("""COMPUTED_VALUE"""),"Diamond")</f>
        <v>Diamond</v>
      </c>
      <c r="B427" s="197" t="str">
        <f>IFERROR(__xludf.DUMMYFUNCTION("""COMPUTED_VALUE"""),"Battlemage")</f>
        <v>Battlemage</v>
      </c>
      <c r="C427" s="197">
        <f t="shared" si="1"/>
        <v>1</v>
      </c>
      <c r="D427" s="20" t="s">
        <v>2680</v>
      </c>
      <c r="E427" s="20">
        <v>1.0</v>
      </c>
    </row>
    <row r="428">
      <c r="A428" s="196" t="str">
        <f>IFERROR(__xludf.DUMMYFUNCTION("""COMPUTED_VALUE"""),"Phantom")</f>
        <v>Phantom</v>
      </c>
      <c r="B428" s="197" t="str">
        <f>IFERROR(__xludf.DUMMYFUNCTION("""COMPUTED_VALUE"""),"Ordinary")</f>
        <v>Ordinary</v>
      </c>
      <c r="C428" s="197">
        <f t="shared" si="1"/>
        <v>1</v>
      </c>
      <c r="D428" s="20" t="s">
        <v>2681</v>
      </c>
      <c r="E428" s="20">
        <v>1.0</v>
      </c>
    </row>
    <row r="429">
      <c r="A429" s="196"/>
      <c r="B429" s="197" t="str">
        <f>IFERROR(__xludf.DUMMYFUNCTION("""COMPUTED_VALUE"""),"Flower")</f>
        <v>Flower</v>
      </c>
      <c r="C429" s="197">
        <f t="shared" si="1"/>
        <v>1</v>
      </c>
      <c r="D429" s="20" t="s">
        <v>2682</v>
      </c>
      <c r="E429" s="20">
        <v>1.0</v>
      </c>
    </row>
    <row r="430">
      <c r="A430" s="196"/>
      <c r="B430" s="197" t="str">
        <f>IFERROR(__xludf.DUMMYFUNCTION("""COMPUTED_VALUE"""),"Pot")</f>
        <v>Pot</v>
      </c>
      <c r="C430" s="197">
        <f t="shared" si="1"/>
        <v>1</v>
      </c>
      <c r="D430" s="20" t="s">
        <v>2683</v>
      </c>
      <c r="E430" s="20">
        <v>1.0</v>
      </c>
    </row>
    <row r="431">
      <c r="A431" s="196"/>
      <c r="B431" s="197" t="str">
        <f>IFERROR(__xludf.DUMMYFUNCTION("""COMPUTED_VALUE"""),"Ancient")</f>
        <v>Ancient</v>
      </c>
      <c r="C431" s="197">
        <f t="shared" si="1"/>
        <v>3</v>
      </c>
      <c r="D431" s="20" t="s">
        <v>2684</v>
      </c>
      <c r="E431" s="20">
        <v>1.0</v>
      </c>
    </row>
    <row r="432">
      <c r="A432" s="196" t="str">
        <f>IFERROR(__xludf.DUMMYFUNCTION("""COMPUTED_VALUE"""),"Draconic")</f>
        <v>Draconic</v>
      </c>
      <c r="B432" s="197" t="str">
        <f>IFERROR(__xludf.DUMMYFUNCTION("""COMPUTED_VALUE"""),"Scholar")</f>
        <v>Scholar</v>
      </c>
      <c r="C432" s="197">
        <f t="shared" si="1"/>
        <v>1</v>
      </c>
      <c r="D432" s="20" t="s">
        <v>2685</v>
      </c>
      <c r="E432" s="20">
        <v>1.0</v>
      </c>
    </row>
    <row r="433">
      <c r="A433" s="196" t="str">
        <f>IFERROR(__xludf.DUMMYFUNCTION("""COMPUTED_VALUE"""),"Highpriest")</f>
        <v>Highpriest</v>
      </c>
      <c r="B433" s="197" t="str">
        <f>IFERROR(__xludf.DUMMYFUNCTION("""COMPUTED_VALUE"""),"Little")</f>
        <v>Little</v>
      </c>
      <c r="C433" s="197">
        <f t="shared" si="1"/>
        <v>1</v>
      </c>
      <c r="D433" s="20" t="s">
        <v>1557</v>
      </c>
      <c r="E433" s="20">
        <v>1.0</v>
      </c>
    </row>
    <row r="434">
      <c r="A434" s="196"/>
      <c r="B434" s="197" t="str">
        <f>IFERROR(__xludf.DUMMYFUNCTION("""COMPUTED_VALUE"""),"Lamb")</f>
        <v>Lamb</v>
      </c>
      <c r="C434" s="197">
        <f t="shared" si="1"/>
        <v>1</v>
      </c>
      <c r="D434" s="20" t="s">
        <v>2686</v>
      </c>
      <c r="E434" s="20">
        <v>1.0</v>
      </c>
    </row>
    <row r="435">
      <c r="A435" s="196"/>
      <c r="B435" s="197" t="str">
        <f>IFERROR(__xludf.DUMMYFUNCTION("""COMPUTED_VALUE"""),"Weaponized")</f>
        <v>Weaponized</v>
      </c>
      <c r="C435" s="197">
        <f t="shared" si="1"/>
        <v>1</v>
      </c>
      <c r="D435" s="20" t="s">
        <v>2687</v>
      </c>
      <c r="E435" s="20">
        <v>1.0</v>
      </c>
    </row>
    <row r="436">
      <c r="A436" s="196"/>
      <c r="B436" s="197" t="str">
        <f>IFERROR(__xludf.DUMMYFUNCTION("""COMPUTED_VALUE"""),"Pest")</f>
        <v>Pest</v>
      </c>
      <c r="C436" s="197">
        <f t="shared" si="1"/>
        <v>1</v>
      </c>
      <c r="D436" s="20" t="s">
        <v>2688</v>
      </c>
      <c r="E436" s="20">
        <v>1.0</v>
      </c>
    </row>
    <row r="437">
      <c r="A437" s="196" t="str">
        <f>IFERROR(__xludf.DUMMYFUNCTION("""COMPUTED_VALUE"""),"Cavern")</f>
        <v>Cavern</v>
      </c>
      <c r="B437" s="197" t="str">
        <f>IFERROR(__xludf.DUMMYFUNCTION("""COMPUTED_VALUE"""),"Beastcaster")</f>
        <v>Beastcaster</v>
      </c>
      <c r="C437" s="197">
        <f t="shared" si="1"/>
        <v>1</v>
      </c>
      <c r="D437" s="20" t="s">
        <v>1586</v>
      </c>
      <c r="E437" s="20">
        <v>1.0</v>
      </c>
    </row>
    <row r="438">
      <c r="A438" s="196" t="str">
        <f>IFERROR(__xludf.DUMMYFUNCTION("""COMPUTED_VALUE"""),"Lindwurm")</f>
        <v>Lindwurm</v>
      </c>
      <c r="B438" s="197" t="str">
        <f>IFERROR(__xludf.DUMMYFUNCTION("""COMPUTED_VALUE"""),"Trained")</f>
        <v>Trained</v>
      </c>
      <c r="C438" s="197">
        <f t="shared" si="1"/>
        <v>1</v>
      </c>
      <c r="D438" s="20" t="s">
        <v>2689</v>
      </c>
      <c r="E438" s="20">
        <v>1.0</v>
      </c>
    </row>
    <row r="439">
      <c r="A439" s="196"/>
      <c r="B439" s="197" t="str">
        <f>IFERROR(__xludf.DUMMYFUNCTION("""COMPUTED_VALUE"""),"War")</f>
        <v>War</v>
      </c>
      <c r="C439" s="197">
        <f t="shared" si="1"/>
        <v>1</v>
      </c>
      <c r="D439" s="20" t="s">
        <v>2690</v>
      </c>
      <c r="E439" s="20">
        <v>1.0</v>
      </c>
    </row>
    <row r="440">
      <c r="A440" s="196"/>
      <c r="B440" s="197" t="str">
        <f>IFERROR(__xludf.DUMMYFUNCTION("""COMPUTED_VALUE"""),"Elephant")</f>
        <v>Elephant</v>
      </c>
      <c r="C440" s="197">
        <f t="shared" si="1"/>
        <v>1</v>
      </c>
      <c r="D440" s="20" t="s">
        <v>2691</v>
      </c>
      <c r="E440" s="20">
        <v>1.0</v>
      </c>
    </row>
    <row r="441">
      <c r="A441" s="196"/>
      <c r="B441" s="197" t="str">
        <f>IFERROR(__xludf.DUMMYFUNCTION("""COMPUTED_VALUE"""),"Starborne")</f>
        <v>Starborne</v>
      </c>
      <c r="C441" s="197">
        <f t="shared" si="1"/>
        <v>1</v>
      </c>
      <c r="D441" s="20" t="s">
        <v>2692</v>
      </c>
      <c r="E441" s="20">
        <v>1.0</v>
      </c>
    </row>
    <row r="442">
      <c r="A442" s="196" t="str">
        <f>IFERROR(__xludf.DUMMYFUNCTION("""COMPUTED_VALUE"""),"Cheerful")</f>
        <v>Cheerful</v>
      </c>
      <c r="B442" s="197" t="str">
        <f>IFERROR(__xludf.DUMMYFUNCTION("""COMPUTED_VALUE"""),"Kyudo")</f>
        <v>Kyudo</v>
      </c>
      <c r="C442" s="197">
        <f t="shared" si="1"/>
        <v>1</v>
      </c>
      <c r="D442" s="20" t="s">
        <v>2693</v>
      </c>
      <c r="E442" s="20">
        <v>1.0</v>
      </c>
    </row>
    <row r="443">
      <c r="A443" s="196" t="str">
        <f>IFERROR(__xludf.DUMMYFUNCTION("""COMPUTED_VALUE"""),"Pixies")</f>
        <v>Pixies</v>
      </c>
      <c r="B443" s="197" t="str">
        <f>IFERROR(__xludf.DUMMYFUNCTION("""COMPUTED_VALUE"""),"Chalice")</f>
        <v>Chalice</v>
      </c>
      <c r="C443" s="197">
        <f t="shared" si="1"/>
        <v>1</v>
      </c>
      <c r="D443" s="20" t="s">
        <v>2694</v>
      </c>
      <c r="E443" s="20">
        <v>1.0</v>
      </c>
    </row>
    <row r="444">
      <c r="A444" s="196"/>
      <c r="B444" s="197" t="str">
        <f>IFERROR(__xludf.DUMMYFUNCTION("""COMPUTED_VALUE"""),"Bloodbrewer")</f>
        <v>Bloodbrewer</v>
      </c>
      <c r="C444" s="197">
        <f t="shared" si="1"/>
        <v>1</v>
      </c>
      <c r="D444" s="20" t="s">
        <v>2695</v>
      </c>
      <c r="E444" s="20">
        <v>1.0</v>
      </c>
    </row>
    <row r="445">
      <c r="A445" s="196"/>
      <c r="B445" s="197" t="str">
        <f>IFERROR(__xludf.DUMMYFUNCTION("""COMPUTED_VALUE"""),"Packhunting")</f>
        <v>Packhunting</v>
      </c>
      <c r="C445" s="197">
        <f t="shared" si="1"/>
        <v>1</v>
      </c>
      <c r="D445" s="20" t="s">
        <v>2696</v>
      </c>
      <c r="E445" s="20">
        <v>1.0</v>
      </c>
    </row>
    <row r="446">
      <c r="A446" s="196"/>
      <c r="B446" s="197" t="str">
        <f>IFERROR(__xludf.DUMMYFUNCTION("""COMPUTED_VALUE"""),"Crystalbeast")</f>
        <v>Crystalbeast</v>
      </c>
      <c r="C446" s="197">
        <f t="shared" si="1"/>
        <v>1</v>
      </c>
      <c r="D446" s="20" t="s">
        <v>2697</v>
      </c>
      <c r="E446" s="20">
        <v>1.0</v>
      </c>
    </row>
    <row r="447">
      <c r="A447" s="196" t="str">
        <f>IFERROR(__xludf.DUMMYFUNCTION("""COMPUTED_VALUE"""),"Cinderguard")</f>
        <v>Cinderguard</v>
      </c>
      <c r="B447" s="197" t="str">
        <f>IFERROR(__xludf.DUMMYFUNCTION("""COMPUTED_VALUE"""),"Pebble")</f>
        <v>Pebble</v>
      </c>
      <c r="C447" s="197">
        <f t="shared" si="1"/>
        <v>1</v>
      </c>
      <c r="D447" s="20" t="s">
        <v>2698</v>
      </c>
      <c r="E447" s="20">
        <v>1.0</v>
      </c>
    </row>
    <row r="448">
      <c r="A448" s="196" t="str">
        <f>IFERROR(__xludf.DUMMYFUNCTION("""COMPUTED_VALUE"""),"Scribe")</f>
        <v>Scribe</v>
      </c>
      <c r="B448" s="197" t="str">
        <f>IFERROR(__xludf.DUMMYFUNCTION("""COMPUTED_VALUE"""),"Gekko")</f>
        <v>Gekko</v>
      </c>
      <c r="C448" s="197">
        <f t="shared" si="1"/>
        <v>1</v>
      </c>
      <c r="D448" s="20" t="s">
        <v>2699</v>
      </c>
      <c r="E448" s="20">
        <v>1.0</v>
      </c>
    </row>
    <row r="449">
      <c r="A449" s="196"/>
      <c r="B449" s="197" t="str">
        <f>IFERROR(__xludf.DUMMYFUNCTION("""COMPUTED_VALUE"""),"Platinum")</f>
        <v>Platinum</v>
      </c>
      <c r="C449" s="197">
        <f t="shared" si="1"/>
        <v>1</v>
      </c>
      <c r="D449" s="20" t="s">
        <v>2700</v>
      </c>
      <c r="E449" s="20">
        <v>1.0</v>
      </c>
    </row>
    <row r="450">
      <c r="A450" s="196"/>
      <c r="B450" s="197" t="str">
        <f>IFERROR(__xludf.DUMMYFUNCTION("""COMPUTED_VALUE"""),"Ladybug")</f>
        <v>Ladybug</v>
      </c>
      <c r="C450" s="197">
        <f t="shared" si="1"/>
        <v>1</v>
      </c>
      <c r="D450" s="20" t="s">
        <v>2701</v>
      </c>
      <c r="E450" s="20">
        <v>1.0</v>
      </c>
    </row>
    <row r="451">
      <c r="A451" s="196"/>
      <c r="B451" s="197" t="str">
        <f>IFERROR(__xludf.DUMMYFUNCTION("""COMPUTED_VALUE"""),"Necromancer")</f>
        <v>Necromancer</v>
      </c>
      <c r="C451" s="197">
        <f t="shared" si="1"/>
        <v>1</v>
      </c>
      <c r="D451" s="20" t="s">
        <v>2702</v>
      </c>
      <c r="E451" s="20">
        <v>1.0</v>
      </c>
    </row>
    <row r="452">
      <c r="A452" s="196" t="str">
        <f>IFERROR(__xludf.DUMMYFUNCTION("""COMPUTED_VALUE"""),"Daredevil")</f>
        <v>Daredevil</v>
      </c>
      <c r="B452" s="197" t="str">
        <f>IFERROR(__xludf.DUMMYFUNCTION("""COMPUTED_VALUE"""),"Pollen")</f>
        <v>Pollen</v>
      </c>
      <c r="C452" s="197">
        <f t="shared" si="1"/>
        <v>1</v>
      </c>
      <c r="D452" s="20" t="s">
        <v>2703</v>
      </c>
      <c r="E452" s="20">
        <v>1.0</v>
      </c>
    </row>
    <row r="453">
      <c r="A453" s="196" t="str">
        <f>IFERROR(__xludf.DUMMYFUNCTION("""COMPUTED_VALUE"""),"Duo")</f>
        <v>Duo</v>
      </c>
      <c r="B453" s="197" t="str">
        <f>IFERROR(__xludf.DUMMYFUNCTION("""COMPUTED_VALUE"""),"Buzz")</f>
        <v>Buzz</v>
      </c>
      <c r="C453" s="197">
        <f t="shared" si="1"/>
        <v>1</v>
      </c>
      <c r="D453" s="20" t="s">
        <v>2704</v>
      </c>
      <c r="E453" s="20">
        <v>1.0</v>
      </c>
    </row>
    <row r="454">
      <c r="A454" s="196"/>
      <c r="B454" s="197" t="str">
        <f>IFERROR(__xludf.DUMMYFUNCTION("""COMPUTED_VALUE"""),"Primal")</f>
        <v>Primal</v>
      </c>
      <c r="C454" s="197">
        <f t="shared" si="1"/>
        <v>1</v>
      </c>
      <c r="D454" s="20" t="s">
        <v>2705</v>
      </c>
      <c r="E454" s="20">
        <v>1.0</v>
      </c>
    </row>
    <row r="455">
      <c r="A455" s="196"/>
      <c r="B455" s="197" t="str">
        <f>IFERROR(__xludf.DUMMYFUNCTION("""COMPUTED_VALUE"""),"Horde")</f>
        <v>Horde</v>
      </c>
      <c r="C455" s="197">
        <f t="shared" si="1"/>
        <v>1</v>
      </c>
      <c r="D455" s="20" t="s">
        <v>2706</v>
      </c>
      <c r="E455" s="20">
        <v>1.0</v>
      </c>
    </row>
    <row r="456">
      <c r="A456" s="196"/>
      <c r="B456" s="197" t="str">
        <f>IFERROR(__xludf.DUMMYFUNCTION("""COMPUTED_VALUE"""),"Prowling")</f>
        <v>Prowling</v>
      </c>
      <c r="C456" s="197">
        <f t="shared" si="1"/>
        <v>1</v>
      </c>
      <c r="D456" s="20" t="s">
        <v>2707</v>
      </c>
      <c r="E456" s="20">
        <v>1.0</v>
      </c>
    </row>
    <row r="457">
      <c r="A457" s="196" t="str">
        <f>IFERROR(__xludf.DUMMYFUNCTION("""COMPUTED_VALUE"""),"Echo")</f>
        <v>Echo</v>
      </c>
      <c r="B457" s="197" t="str">
        <f>IFERROR(__xludf.DUMMYFUNCTION("""COMPUTED_VALUE"""),"Puma")</f>
        <v>Puma</v>
      </c>
      <c r="C457" s="197">
        <f t="shared" si="1"/>
        <v>1</v>
      </c>
      <c r="D457" s="20" t="s">
        <v>1644</v>
      </c>
      <c r="E457" s="20">
        <v>1.0</v>
      </c>
    </row>
    <row r="458">
      <c r="A458" s="196" t="str">
        <f>IFERROR(__xludf.DUMMYFUNCTION("""COMPUTED_VALUE"""),"Beetle")</f>
        <v>Beetle</v>
      </c>
      <c r="B458" s="197" t="str">
        <f>IFERROR(__xludf.DUMMYFUNCTION("""COMPUTED_VALUE"""),"Crystal")</f>
        <v>Crystal</v>
      </c>
      <c r="C458" s="197">
        <f t="shared" si="1"/>
        <v>2</v>
      </c>
      <c r="D458" s="20" t="s">
        <v>2708</v>
      </c>
      <c r="E458" s="20">
        <v>1.0</v>
      </c>
    </row>
    <row r="459">
      <c r="A459" s="196"/>
      <c r="B459" s="197" t="str">
        <f>IFERROR(__xludf.DUMMYFUNCTION("""COMPUTED_VALUE"""),"Catacombs")</f>
        <v>Catacombs</v>
      </c>
      <c r="C459" s="197">
        <f t="shared" si="1"/>
        <v>1</v>
      </c>
      <c r="D459" s="20" t="s">
        <v>2709</v>
      </c>
      <c r="E459" s="20">
        <v>1.0</v>
      </c>
    </row>
    <row r="460">
      <c r="A460" s="196"/>
      <c r="B460" s="197" t="str">
        <f>IFERROR(__xludf.DUMMYFUNCTION("""COMPUTED_VALUE"""),"Aristocrat")</f>
        <v>Aristocrat</v>
      </c>
      <c r="C460" s="197">
        <f t="shared" si="1"/>
        <v>1</v>
      </c>
      <c r="D460" s="20" t="s">
        <v>2710</v>
      </c>
      <c r="E460" s="20">
        <v>1.0</v>
      </c>
    </row>
    <row r="461">
      <c r="A461" s="196"/>
      <c r="B461" s="197" t="str">
        <f>IFERROR(__xludf.DUMMYFUNCTION("""COMPUTED_VALUE"""),"Roar")</f>
        <v>Roar</v>
      </c>
      <c r="C461" s="197">
        <f t="shared" si="1"/>
        <v>1</v>
      </c>
      <c r="D461" s="20" t="s">
        <v>2711</v>
      </c>
      <c r="E461" s="20">
        <v>1.0</v>
      </c>
    </row>
    <row r="462">
      <c r="A462" s="196" t="str">
        <f>IFERROR(__xludf.DUMMYFUNCTION("""COMPUTED_VALUE"""),"Ember")</f>
        <v>Ember</v>
      </c>
      <c r="B462" s="197" t="str">
        <f>IFERROR(__xludf.DUMMYFUNCTION("""COMPUTED_VALUE"""),"from")</f>
        <v>from</v>
      </c>
      <c r="C462" s="197">
        <f t="shared" si="1"/>
        <v>2</v>
      </c>
      <c r="D462" s="20" t="s">
        <v>2712</v>
      </c>
      <c r="E462" s="20">
        <v>1.0</v>
      </c>
    </row>
    <row r="463">
      <c r="A463" s="196" t="str">
        <f>IFERROR(__xludf.DUMMYFUNCTION("""COMPUTED_VALUE"""),"Whelp")</f>
        <v>Whelp</v>
      </c>
      <c r="B463" s="197" t="str">
        <f>IFERROR(__xludf.DUMMYFUNCTION("""COMPUTED_VALUE"""),"Past")</f>
        <v>Past</v>
      </c>
      <c r="C463" s="197">
        <f t="shared" si="1"/>
        <v>1</v>
      </c>
      <c r="D463" s="20" t="s">
        <v>2713</v>
      </c>
      <c r="E463" s="20">
        <v>1.0</v>
      </c>
    </row>
    <row r="464">
      <c r="A464" s="196"/>
      <c r="B464" s="197" t="str">
        <f>IFERROR(__xludf.DUMMYFUNCTION("""COMPUTED_VALUE"""),"Rootseed")</f>
        <v>Rootseed</v>
      </c>
      <c r="C464" s="197">
        <f t="shared" si="1"/>
        <v>1</v>
      </c>
      <c r="D464" s="20" t="s">
        <v>2714</v>
      </c>
      <c r="E464" s="20">
        <v>1.0</v>
      </c>
    </row>
    <row r="465">
      <c r="A465" s="196"/>
      <c r="B465" s="197" t="str">
        <f>IFERROR(__xludf.DUMMYFUNCTION("""COMPUTED_VALUE"""),"Snapscale")</f>
        <v>Snapscale</v>
      </c>
      <c r="C465" s="197">
        <f t="shared" si="1"/>
        <v>1</v>
      </c>
      <c r="D465" s="20" t="s">
        <v>2715</v>
      </c>
      <c r="E465" s="20">
        <v>1.0</v>
      </c>
    </row>
    <row r="466">
      <c r="A466" s="196"/>
      <c r="B466" s="197" t="str">
        <f>IFERROR(__xludf.DUMMYFUNCTION("""COMPUTED_VALUE"""),"Alpha")</f>
        <v>Alpha</v>
      </c>
      <c r="C466" s="197">
        <f t="shared" si="1"/>
        <v>1</v>
      </c>
      <c r="D466" s="20" t="s">
        <v>2716</v>
      </c>
      <c r="E466" s="20">
        <v>1.0</v>
      </c>
    </row>
    <row r="467">
      <c r="A467" s="196" t="str">
        <f>IFERROR(__xludf.DUMMYFUNCTION("""COMPUTED_VALUE"""),"Floating")</f>
        <v>Floating</v>
      </c>
      <c r="B467" s="197" t="str">
        <f>IFERROR(__xludf.DUMMYFUNCTION("""COMPUTED_VALUE"""),"Stampede")</f>
        <v>Stampede</v>
      </c>
      <c r="C467" s="197">
        <f t="shared" si="1"/>
        <v>1</v>
      </c>
      <c r="D467" s="20" t="s">
        <v>2717</v>
      </c>
      <c r="E467" s="20">
        <v>1.0</v>
      </c>
    </row>
    <row r="468">
      <c r="A468" s="196" t="str">
        <f>IFERROR(__xludf.DUMMYFUNCTION("""COMPUTED_VALUE"""),"Djinn")</f>
        <v>Djinn</v>
      </c>
      <c r="B468" s="197" t="str">
        <f>IFERROR(__xludf.DUMMYFUNCTION("""COMPUTED_VALUE"""),"Amethyst")</f>
        <v>Amethyst</v>
      </c>
      <c r="C468" s="197">
        <f t="shared" si="1"/>
        <v>1</v>
      </c>
      <c r="D468" s="20" t="s">
        <v>2718</v>
      </c>
      <c r="E468" s="20">
        <v>1.0</v>
      </c>
    </row>
    <row r="469">
      <c r="A469" s="196"/>
      <c r="B469" s="197" t="str">
        <f>IFERROR(__xludf.DUMMYFUNCTION("""COMPUTED_VALUE"""),"Argosaurus")</f>
        <v>Argosaurus</v>
      </c>
      <c r="C469" s="197">
        <f t="shared" si="1"/>
        <v>1</v>
      </c>
      <c r="D469" s="20" t="s">
        <v>2719</v>
      </c>
      <c r="E469" s="20">
        <v>1.0</v>
      </c>
    </row>
    <row r="470">
      <c r="A470" s="196"/>
      <c r="B470" s="197" t="str">
        <f>IFERROR(__xludf.DUMMYFUNCTION("""COMPUTED_VALUE"""),"Astral")</f>
        <v>Astral</v>
      </c>
      <c r="C470" s="197">
        <f t="shared" si="1"/>
        <v>1</v>
      </c>
      <c r="D470" s="20" t="s">
        <v>2720</v>
      </c>
      <c r="E470" s="20">
        <v>1.0</v>
      </c>
    </row>
    <row r="471">
      <c r="A471" s="196"/>
      <c r="B471" s="197" t="str">
        <f>IFERROR(__xludf.DUMMYFUNCTION("""COMPUTED_VALUE"""),"Unicorn")</f>
        <v>Unicorn</v>
      </c>
      <c r="C471" s="197">
        <f t="shared" si="1"/>
        <v>1</v>
      </c>
      <c r="D471" s="20" t="s">
        <v>1674</v>
      </c>
      <c r="E471" s="20">
        <v>1.0</v>
      </c>
    </row>
    <row r="472">
      <c r="A472" s="196" t="str">
        <f>IFERROR(__xludf.DUMMYFUNCTION("""COMPUTED_VALUE"""),"Dewdrop")</f>
        <v>Dewdrop</v>
      </c>
      <c r="B472" s="197" t="str">
        <f>IFERROR(__xludf.DUMMYFUNCTION("""COMPUTED_VALUE"""),"Spectra")</f>
        <v>Spectra</v>
      </c>
      <c r="C472" s="197">
        <f t="shared" si="1"/>
        <v>1</v>
      </c>
      <c r="D472" s="20" t="s">
        <v>2721</v>
      </c>
      <c r="E472" s="20">
        <v>1.0</v>
      </c>
    </row>
    <row r="473">
      <c r="A473" s="196" t="str">
        <f>IFERROR(__xludf.DUMMYFUNCTION("""COMPUTED_VALUE"""),"Sprite")</f>
        <v>Sprite</v>
      </c>
      <c r="B473" s="197" t="str">
        <f>IFERROR(__xludf.DUMMYFUNCTION("""COMPUTED_VALUE"""),"Stick")</f>
        <v>Stick</v>
      </c>
      <c r="C473" s="197">
        <f t="shared" si="1"/>
        <v>1</v>
      </c>
      <c r="D473" s="20" t="s">
        <v>2722</v>
      </c>
      <c r="E473" s="20">
        <v>1.0</v>
      </c>
    </row>
    <row r="474">
      <c r="A474" s="196"/>
      <c r="B474" s="197" t="str">
        <f>IFERROR(__xludf.DUMMYFUNCTION("""COMPUTED_VALUE"""),"Calming")</f>
        <v>Calming</v>
      </c>
      <c r="C474" s="197">
        <f t="shared" si="1"/>
        <v>1</v>
      </c>
      <c r="D474" s="20" t="s">
        <v>2723</v>
      </c>
      <c r="E474" s="20">
        <v>1.0</v>
      </c>
    </row>
    <row r="475">
      <c r="A475" s="196"/>
      <c r="B475" s="197" t="str">
        <f>IFERROR(__xludf.DUMMYFUNCTION("""COMPUTED_VALUE"""),"Apparition")</f>
        <v>Apparition</v>
      </c>
      <c r="C475" s="197">
        <f t="shared" si="1"/>
        <v>1</v>
      </c>
      <c r="D475" s="20" t="s">
        <v>2724</v>
      </c>
      <c r="E475" s="20">
        <v>1.0</v>
      </c>
    </row>
    <row r="476">
      <c r="A476" s="196"/>
      <c r="B476" s="197" t="str">
        <f>IFERROR(__xludf.DUMMYFUNCTION("""COMPUTED_VALUE"""),"Sylvan")</f>
        <v>Sylvan</v>
      </c>
      <c r="C476" s="197">
        <f t="shared" si="1"/>
        <v>1</v>
      </c>
      <c r="D476" s="20" t="s">
        <v>2725</v>
      </c>
      <c r="E476" s="20">
        <v>1.0</v>
      </c>
    </row>
    <row r="477">
      <c r="A477" s="196" t="str">
        <f>IFERROR(__xludf.DUMMYFUNCTION("""COMPUTED_VALUE"""),"Dragon")</f>
        <v>Dragon</v>
      </c>
      <c r="B477" s="197" t="str">
        <f>IFERROR(__xludf.DUMMYFUNCTION("""COMPUTED_VALUE"""),"Gamekeeper")</f>
        <v>Gamekeeper</v>
      </c>
      <c r="C477" s="197">
        <f t="shared" si="1"/>
        <v>1</v>
      </c>
      <c r="D477" s="20" t="s">
        <v>2726</v>
      </c>
      <c r="E477" s="20">
        <v>1.0</v>
      </c>
    </row>
    <row r="478">
      <c r="A478" s="196" t="str">
        <f>IFERROR(__xludf.DUMMYFUNCTION("""COMPUTED_VALUE"""),"Egg")</f>
        <v>Egg</v>
      </c>
      <c r="B478" s="197" t="str">
        <f>IFERROR(__xludf.DUMMYFUNCTION("""COMPUTED_VALUE"""),"Tainted")</f>
        <v>Tainted</v>
      </c>
      <c r="C478" s="197">
        <f t="shared" si="1"/>
        <v>3</v>
      </c>
      <c r="D478" s="20" t="s">
        <v>2727</v>
      </c>
      <c r="E478" s="20">
        <v>1.0</v>
      </c>
    </row>
    <row r="479">
      <c r="A479" s="196"/>
      <c r="B479" s="197" t="str">
        <f>IFERROR(__xludf.DUMMYFUNCTION("""COMPUTED_VALUE"""),"Jade")</f>
        <v>Jade</v>
      </c>
      <c r="C479" s="197">
        <f t="shared" si="1"/>
        <v>3</v>
      </c>
      <c r="D479" s="20" t="s">
        <v>2728</v>
      </c>
      <c r="E479" s="20">
        <v>1.0</v>
      </c>
    </row>
    <row r="480">
      <c r="A480" s="196"/>
      <c r="B480" s="197" t="str">
        <f>IFERROR(__xludf.DUMMYFUNCTION("""COMPUTED_VALUE"""),"Monstrosity")</f>
        <v>Monstrosity</v>
      </c>
      <c r="C480" s="197">
        <f t="shared" si="1"/>
        <v>1</v>
      </c>
      <c r="D480" s="20" t="s">
        <v>2729</v>
      </c>
      <c r="E480" s="20">
        <v>1.0</v>
      </c>
    </row>
    <row r="481">
      <c r="A481" s="196"/>
      <c r="B481" s="197" t="str">
        <f>IFERROR(__xludf.DUMMYFUNCTION("""COMPUTED_VALUE"""),"Mycomancer")</f>
        <v>Mycomancer</v>
      </c>
      <c r="C481" s="197">
        <f t="shared" si="1"/>
        <v>1</v>
      </c>
      <c r="D481" s="20" t="s">
        <v>2730</v>
      </c>
      <c r="E481" s="20">
        <v>1.0</v>
      </c>
    </row>
    <row r="482">
      <c r="A482" s="196" t="str">
        <f>IFERROR(__xludf.DUMMYFUNCTION("""COMPUTED_VALUE"""),"Dustdance")</f>
        <v>Dustdance</v>
      </c>
      <c r="B482" s="197" t="str">
        <f>IFERROR(__xludf.DUMMYFUNCTION("""COMPUTED_VALUE"""),"Matriarch")</f>
        <v>Matriarch</v>
      </c>
      <c r="C482" s="197">
        <f t="shared" si="1"/>
        <v>2</v>
      </c>
      <c r="D482" s="20" t="s">
        <v>2731</v>
      </c>
      <c r="E482" s="20">
        <v>1.0</v>
      </c>
    </row>
    <row r="483">
      <c r="A483" s="196" t="str">
        <f>IFERROR(__xludf.DUMMYFUNCTION("""COMPUTED_VALUE"""),"Efreet")</f>
        <v>Efreet</v>
      </c>
      <c r="B483" s="197" t="str">
        <f>IFERROR(__xludf.DUMMYFUNCTION("""COMPUTED_VALUE"""),"Trickster")</f>
        <v>Trickster</v>
      </c>
      <c r="C483" s="197">
        <f t="shared" si="1"/>
        <v>2</v>
      </c>
      <c r="D483" s="20" t="s">
        <v>2732</v>
      </c>
      <c r="E483" s="20">
        <v>1.0</v>
      </c>
    </row>
    <row r="484">
      <c r="A484" s="196"/>
      <c r="B484" s="197" t="str">
        <f>IFERROR(__xludf.DUMMYFUNCTION("""COMPUTED_VALUE"""),"Venomleaf")</f>
        <v>Venomleaf</v>
      </c>
      <c r="C484" s="197">
        <f t="shared" si="1"/>
        <v>1</v>
      </c>
      <c r="D484" s="20" t="s">
        <v>2733</v>
      </c>
      <c r="E484" s="20">
        <v>1.0</v>
      </c>
    </row>
    <row r="485">
      <c r="A485" s="196"/>
      <c r="B485" s="197" t="str">
        <f>IFERROR(__xludf.DUMMYFUNCTION("""COMPUTED_VALUE"""),"Croaker")</f>
        <v>Croaker</v>
      </c>
      <c r="C485" s="197">
        <f t="shared" si="1"/>
        <v>1</v>
      </c>
      <c r="D485" s="20" t="s">
        <v>2734</v>
      </c>
      <c r="E485" s="20">
        <v>1.0</v>
      </c>
    </row>
    <row r="486">
      <c r="A486" s="196"/>
      <c r="B486" s="197" t="str">
        <f>IFERROR(__xludf.DUMMYFUNCTION("""COMPUTED_VALUE"""),"Darkwood")</f>
        <v>Darkwood</v>
      </c>
      <c r="C486" s="197">
        <f t="shared" si="1"/>
        <v>1</v>
      </c>
      <c r="D486" s="20" t="s">
        <v>2735</v>
      </c>
      <c r="E486" s="20">
        <v>1.0</v>
      </c>
    </row>
    <row r="487">
      <c r="A487" s="196" t="str">
        <f>IFERROR(__xludf.DUMMYFUNCTION("""COMPUTED_VALUE"""),"Hermit")</f>
        <v>Hermit</v>
      </c>
      <c r="B487" s="197" t="str">
        <f>IFERROR(__xludf.DUMMYFUNCTION("""COMPUTED_VALUE"""),"Tracker")</f>
        <v>Tracker</v>
      </c>
      <c r="C487" s="197">
        <f t="shared" si="1"/>
        <v>1</v>
      </c>
      <c r="D487" s="20" t="s">
        <v>2736</v>
      </c>
      <c r="E487" s="20">
        <v>1.0</v>
      </c>
    </row>
    <row r="488">
      <c r="A488" s="196" t="str">
        <f>IFERROR(__xludf.DUMMYFUNCTION("""COMPUTED_VALUE"""),"of")</f>
        <v>of</v>
      </c>
      <c r="B488" s="197" t="str">
        <f>IFERROR(__xludf.DUMMYFUNCTION("""COMPUTED_VALUE"""),"Verdant")</f>
        <v>Verdant</v>
      </c>
      <c r="C488" s="197">
        <f t="shared" si="1"/>
        <v>1</v>
      </c>
      <c r="D488" s="20" t="s">
        <v>2737</v>
      </c>
      <c r="E488" s="20">
        <v>1.0</v>
      </c>
    </row>
    <row r="489">
      <c r="A489" s="196" t="str">
        <f>IFERROR(__xludf.DUMMYFUNCTION("""COMPUTED_VALUE"""),"the")</f>
        <v>the</v>
      </c>
      <c r="B489" s="197" t="str">
        <f>IFERROR(__xludf.DUMMYFUNCTION("""COMPUTED_VALUE"""),"Sakura")</f>
        <v>Sakura</v>
      </c>
      <c r="C489" s="197">
        <f t="shared" si="1"/>
        <v>1</v>
      </c>
      <c r="D489" s="20" t="s">
        <v>2738</v>
      </c>
      <c r="E489" s="20">
        <v>1.0</v>
      </c>
    </row>
    <row r="490">
      <c r="A490" s="196" t="str">
        <f>IFERROR(__xludf.DUMMYFUNCTION("""COMPUTED_VALUE"""),"Horizon")</f>
        <v>Horizon</v>
      </c>
      <c r="B490" s="197" t="str">
        <f>IFERROR(__xludf.DUMMYFUNCTION("""COMPUTED_VALUE"""),"Forgotten")</f>
        <v>Forgotten</v>
      </c>
      <c r="C490" s="197">
        <f t="shared" si="1"/>
        <v>1</v>
      </c>
      <c r="D490" s="20" t="s">
        <v>2739</v>
      </c>
      <c r="E490" s="20">
        <v>1.0</v>
      </c>
    </row>
    <row r="491">
      <c r="A491" s="196"/>
      <c r="B491" s="197" t="str">
        <f>IFERROR(__xludf.DUMMYFUNCTION("""COMPUTED_VALUE"""),"Locust")</f>
        <v>Locust</v>
      </c>
      <c r="C491" s="197">
        <f t="shared" si="1"/>
        <v>1</v>
      </c>
      <c r="D491" s="20" t="s">
        <v>2740</v>
      </c>
      <c r="E491" s="20">
        <v>1.0</v>
      </c>
    </row>
    <row r="492">
      <c r="A492" s="196" t="str">
        <f>IFERROR(__xludf.DUMMYFUNCTION("""COMPUTED_VALUE"""),"Roughlands")</f>
        <v>Roughlands</v>
      </c>
      <c r="B492" s="197" t="str">
        <f>IFERROR(__xludf.DUMMYFUNCTION("""COMPUTED_VALUE"""),"Swarm")</f>
        <v>Swarm</v>
      </c>
      <c r="C492" s="197">
        <f t="shared" si="1"/>
        <v>1</v>
      </c>
      <c r="D492" s="20" t="s">
        <v>2741</v>
      </c>
      <c r="E492" s="20">
        <v>1.0</v>
      </c>
    </row>
    <row r="493">
      <c r="A493" s="196" t="str">
        <f>IFERROR(__xludf.DUMMYFUNCTION("""COMPUTED_VALUE"""),"Scourge")</f>
        <v>Scourge</v>
      </c>
      <c r="B493" s="197" t="str">
        <f>IFERROR(__xludf.DUMMYFUNCTION("""COMPUTED_VALUE"""),"Emerald")</f>
        <v>Emerald</v>
      </c>
      <c r="C493" s="197">
        <f t="shared" si="1"/>
        <v>1</v>
      </c>
      <c r="D493" s="20" t="s">
        <v>2742</v>
      </c>
      <c r="E493" s="20">
        <v>1.0</v>
      </c>
    </row>
    <row r="494">
      <c r="A494" s="196"/>
      <c r="B494" s="197" t="str">
        <f>IFERROR(__xludf.DUMMYFUNCTION("""COMPUTED_VALUE"""),"Fang")</f>
        <v>Fang</v>
      </c>
      <c r="C494" s="197">
        <f t="shared" si="1"/>
        <v>1</v>
      </c>
      <c r="D494" s="20" t="s">
        <v>2743</v>
      </c>
      <c r="E494" s="20">
        <v>1.0</v>
      </c>
    </row>
    <row r="495">
      <c r="A495" s="196"/>
      <c r="B495" s="197" t="str">
        <f>IFERROR(__xludf.DUMMYFUNCTION("""COMPUTED_VALUE"""),"Cobra")</f>
        <v>Cobra</v>
      </c>
      <c r="C495" s="197">
        <f t="shared" si="1"/>
        <v>1</v>
      </c>
      <c r="D495" s="20" t="s">
        <v>2744</v>
      </c>
      <c r="E495" s="20">
        <v>1.0</v>
      </c>
    </row>
    <row r="496">
      <c r="A496" s="196"/>
      <c r="B496" s="197" t="str">
        <f>IFERROR(__xludf.DUMMYFUNCTION("""COMPUTED_VALUE"""),"Entwining")</f>
        <v>Entwining</v>
      </c>
      <c r="C496" s="197">
        <f t="shared" si="1"/>
        <v>1</v>
      </c>
      <c r="D496" s="20" t="s">
        <v>2745</v>
      </c>
      <c r="E496" s="20">
        <v>1.0</v>
      </c>
    </row>
    <row r="497">
      <c r="A497" s="196" t="str">
        <f>IFERROR(__xludf.DUMMYFUNCTION("""COMPUTED_VALUE"""),"Mirrorworld")</f>
        <v>Mirrorworld</v>
      </c>
      <c r="B497" s="197" t="str">
        <f>IFERROR(__xludf.DUMMYFUNCTION("""COMPUTED_VALUE"""),"Creeper")</f>
        <v>Creeper</v>
      </c>
      <c r="C497" s="197">
        <f t="shared" si="1"/>
        <v>2</v>
      </c>
      <c r="D497" s="20" t="s">
        <v>2746</v>
      </c>
      <c r="E497" s="20">
        <v>1.0</v>
      </c>
    </row>
    <row r="498">
      <c r="A498" s="196" t="str">
        <f>IFERROR(__xludf.DUMMYFUNCTION("""COMPUTED_VALUE"""),"Bloodseeker")</f>
        <v>Bloodseeker</v>
      </c>
      <c r="B498" s="197" t="str">
        <f>IFERROR(__xludf.DUMMYFUNCTION("""COMPUTED_VALUE"""),"Jeweled")</f>
        <v>Jeweled</v>
      </c>
      <c r="C498" s="197">
        <f t="shared" si="1"/>
        <v>1</v>
      </c>
      <c r="D498" s="20" t="s">
        <v>2747</v>
      </c>
      <c r="E498" s="20">
        <v>1.0</v>
      </c>
    </row>
    <row r="499">
      <c r="A499" s="196"/>
      <c r="B499" s="197" t="str">
        <f>IFERROR(__xludf.DUMMYFUNCTION("""COMPUTED_VALUE"""),"Triceratops")</f>
        <v>Triceratops</v>
      </c>
      <c r="C499" s="197">
        <f t="shared" si="1"/>
        <v>1</v>
      </c>
      <c r="D499" s="20" t="s">
        <v>2748</v>
      </c>
      <c r="E499" s="20">
        <v>1.0</v>
      </c>
    </row>
    <row r="500">
      <c r="A500" s="196"/>
      <c r="B500" s="197" t="str">
        <f>IFERROR(__xludf.DUMMYFUNCTION("""COMPUTED_VALUE"""),"Jolly")</f>
        <v>Jolly</v>
      </c>
      <c r="C500" s="197">
        <f t="shared" si="1"/>
        <v>1</v>
      </c>
      <c r="D500" s="20" t="s">
        <v>2749</v>
      </c>
      <c r="E500" s="20">
        <v>1.0</v>
      </c>
    </row>
    <row r="501">
      <c r="A501" s="196"/>
      <c r="B501" s="197" t="str">
        <f>IFERROR(__xludf.DUMMYFUNCTION("""COMPUTED_VALUE"""),"Tamarin")</f>
        <v>Tamarin</v>
      </c>
      <c r="C501" s="197">
        <f t="shared" si="1"/>
        <v>1</v>
      </c>
      <c r="D501" s="20" t="s">
        <v>2750</v>
      </c>
      <c r="E501" s="20">
        <v>1.0</v>
      </c>
    </row>
    <row r="502">
      <c r="A502" s="196" t="str">
        <f>IFERROR(__xludf.DUMMYFUNCTION("""COMPUTED_VALUE"""),"Mountain")</f>
        <v>Mountain</v>
      </c>
      <c r="B502" s="197" t="str">
        <f>IFERROR(__xludf.DUMMYFUNCTION("""COMPUTED_VALUE"""),"Leech")</f>
        <v>Leech</v>
      </c>
      <c r="C502" s="197">
        <f t="shared" si="1"/>
        <v>1</v>
      </c>
      <c r="D502" s="20" t="s">
        <v>2751</v>
      </c>
      <c r="E502" s="20">
        <v>1.0</v>
      </c>
    </row>
    <row r="503">
      <c r="A503" s="196" t="str">
        <f>IFERROR(__xludf.DUMMYFUNCTION("""COMPUTED_VALUE"""),"Sage")</f>
        <v>Sage</v>
      </c>
      <c r="B503" s="197" t="str">
        <f>IFERROR(__xludf.DUMMYFUNCTION("""COMPUTED_VALUE"""),"Dragonfly")</f>
        <v>Dragonfly</v>
      </c>
      <c r="C503" s="197">
        <f t="shared" si="1"/>
        <v>1</v>
      </c>
      <c r="D503" s="20" t="s">
        <v>2752</v>
      </c>
      <c r="E503" s="20">
        <v>1.0</v>
      </c>
    </row>
    <row r="504">
      <c r="A504" s="196"/>
      <c r="B504" s="197" t="str">
        <f>IFERROR(__xludf.DUMMYFUNCTION("""COMPUTED_VALUE"""),"Nurseplant")</f>
        <v>Nurseplant</v>
      </c>
      <c r="C504" s="197">
        <f t="shared" si="1"/>
        <v>1</v>
      </c>
      <c r="D504" s="20" t="s">
        <v>2753</v>
      </c>
      <c r="E504" s="20">
        <v>1.0</v>
      </c>
    </row>
    <row r="505">
      <c r="A505" s="196"/>
      <c r="B505" s="197" t="str">
        <f>IFERROR(__xludf.DUMMYFUNCTION("""COMPUTED_VALUE"""),"Bloodthrone")</f>
        <v>Bloodthrone</v>
      </c>
      <c r="C505" s="197">
        <f t="shared" si="1"/>
        <v>3</v>
      </c>
      <c r="D505" s="20" t="s">
        <v>2754</v>
      </c>
      <c r="E505" s="20">
        <v>1.0</v>
      </c>
    </row>
    <row r="506">
      <c r="A506" s="196"/>
      <c r="B506" s="197" t="str">
        <f>IFERROR(__xludf.DUMMYFUNCTION("""COMPUTED_VALUE"""),"Nurturing")</f>
        <v>Nurturing</v>
      </c>
      <c r="C506" s="197">
        <f t="shared" si="1"/>
        <v>1</v>
      </c>
      <c r="D506" s="20" t="s">
        <v>2755</v>
      </c>
      <c r="E506" s="20">
        <v>1.0</v>
      </c>
    </row>
    <row r="507">
      <c r="A507" s="196" t="str">
        <f>IFERROR(__xludf.DUMMYFUNCTION("""COMPUTED_VALUE"""),"Nimbus")</f>
        <v>Nimbus</v>
      </c>
      <c r="B507" s="197" t="str">
        <f>IFERROR(__xludf.DUMMYFUNCTION("""COMPUTED_VALUE"""),"Rootsaurus")</f>
        <v>Rootsaurus</v>
      </c>
      <c r="C507" s="197">
        <f t="shared" si="1"/>
        <v>1</v>
      </c>
      <c r="D507" s="20" t="s">
        <v>2756</v>
      </c>
      <c r="E507" s="20">
        <v>1.0</v>
      </c>
    </row>
    <row r="508">
      <c r="A508" s="196" t="str">
        <f>IFERROR(__xludf.DUMMYFUNCTION("""COMPUTED_VALUE"""),"Claw")</f>
        <v>Claw</v>
      </c>
      <c r="B508" s="197" t="str">
        <f>IFERROR(__xludf.DUMMYFUNCTION("""COMPUTED_VALUE"""),"Carnage")</f>
        <v>Carnage</v>
      </c>
      <c r="C508" s="197">
        <f t="shared" si="1"/>
        <v>1</v>
      </c>
      <c r="D508" s="20" t="s">
        <v>2757</v>
      </c>
      <c r="E508" s="20">
        <v>1.0</v>
      </c>
    </row>
    <row r="509">
      <c r="A509" s="196"/>
      <c r="B509" s="197" t="str">
        <f>IFERROR(__xludf.DUMMYFUNCTION("""COMPUTED_VALUE"""),"Hornet")</f>
        <v>Hornet</v>
      </c>
      <c r="C509" s="197">
        <f t="shared" si="1"/>
        <v>1</v>
      </c>
      <c r="D509" s="20" t="s">
        <v>2758</v>
      </c>
      <c r="E509" s="20">
        <v>1.0</v>
      </c>
    </row>
    <row r="510">
      <c r="A510" s="196"/>
      <c r="B510" s="197" t="str">
        <f>IFERROR(__xludf.DUMMYFUNCTION("""COMPUTED_VALUE"""),"Champion")</f>
        <v>Champion</v>
      </c>
      <c r="C510" s="197">
        <f t="shared" si="1"/>
        <v>1</v>
      </c>
      <c r="D510" s="20" t="s">
        <v>2759</v>
      </c>
      <c r="E510" s="20">
        <v>1.0</v>
      </c>
    </row>
    <row r="511">
      <c r="A511" s="196"/>
      <c r="B511" s="197" t="str">
        <f>IFERROR(__xludf.DUMMYFUNCTION("""COMPUTED_VALUE"""),"Hell")</f>
        <v>Hell</v>
      </c>
      <c r="C511" s="197">
        <f t="shared" si="1"/>
        <v>1</v>
      </c>
      <c r="D511" s="20" t="s">
        <v>2760</v>
      </c>
      <c r="E511" s="20">
        <v>1.0</v>
      </c>
    </row>
    <row r="512">
      <c r="A512" s="196" t="str">
        <f>IFERROR(__xludf.DUMMYFUNCTION("""COMPUTED_VALUE"""),"Omen")</f>
        <v>Omen</v>
      </c>
      <c r="B512" s="197" t="str">
        <f>IFERROR(__xludf.DUMMYFUNCTION("""COMPUTED_VALUE"""),"Colorgorger")</f>
        <v>Colorgorger</v>
      </c>
      <c r="C512" s="197">
        <f t="shared" si="1"/>
        <v>1</v>
      </c>
      <c r="D512" s="20" t="s">
        <v>2761</v>
      </c>
      <c r="E512" s="20">
        <v>1.0</v>
      </c>
    </row>
    <row r="513">
      <c r="A513" s="196" t="str">
        <f>IFERROR(__xludf.DUMMYFUNCTION("""COMPUTED_VALUE"""),"Firefly")</f>
        <v>Firefly</v>
      </c>
      <c r="B513" s="197" t="str">
        <f>IFERROR(__xludf.DUMMYFUNCTION("""COMPUTED_VALUE"""),"Dark")</f>
        <v>Dark</v>
      </c>
      <c r="C513" s="197">
        <f t="shared" si="1"/>
        <v>1</v>
      </c>
      <c r="D513" s="20" t="s">
        <v>2762</v>
      </c>
      <c r="E513" s="20">
        <v>1.0</v>
      </c>
    </row>
    <row r="514">
      <c r="A514" s="196"/>
      <c r="B514" s="197" t="str">
        <f>IFERROR(__xludf.DUMMYFUNCTION("""COMPUTED_VALUE"""),"Spoon")</f>
        <v>Spoon</v>
      </c>
      <c r="C514" s="197">
        <f t="shared" si="1"/>
        <v>1</v>
      </c>
      <c r="D514" s="20" t="s">
        <v>2763</v>
      </c>
      <c r="E514" s="20">
        <v>1.0</v>
      </c>
    </row>
    <row r="515">
      <c r="A515" s="196"/>
      <c r="B515" s="197" t="str">
        <f>IFERROR(__xludf.DUMMYFUNCTION("""COMPUTED_VALUE"""),"Dawnbreak")</f>
        <v>Dawnbreak</v>
      </c>
      <c r="C515" s="197">
        <f t="shared" si="1"/>
        <v>1</v>
      </c>
      <c r="D515" s="20" t="s">
        <v>2764</v>
      </c>
      <c r="E515" s="20">
        <v>1.0</v>
      </c>
    </row>
    <row r="516">
      <c r="A516" s="196"/>
      <c r="B516" s="197" t="str">
        <f>IFERROR(__xludf.DUMMYFUNCTION("""COMPUTED_VALUE"""),"Wendigo")</f>
        <v>Wendigo</v>
      </c>
      <c r="C516" s="197">
        <f t="shared" si="1"/>
        <v>1</v>
      </c>
      <c r="D516" s="20" t="s">
        <v>2765</v>
      </c>
      <c r="E516" s="20">
        <v>1.0</v>
      </c>
    </row>
    <row r="517">
      <c r="A517" s="196" t="str">
        <f>IFERROR(__xludf.DUMMYFUNCTION("""COMPUTED_VALUE"""),"Pixie")</f>
        <v>Pixie</v>
      </c>
      <c r="B517" s="197" t="str">
        <f>IFERROR(__xludf.DUMMYFUNCTION("""COMPUTED_VALUE"""),"Depthdragger")</f>
        <v>Depthdragger</v>
      </c>
      <c r="C517" s="197">
        <f t="shared" si="1"/>
        <v>1</v>
      </c>
      <c r="D517" s="20" t="s">
        <v>1766</v>
      </c>
      <c r="E517" s="20">
        <v>1.0</v>
      </c>
    </row>
    <row r="518">
      <c r="A518" s="196" t="str">
        <f>IFERROR(__xludf.DUMMYFUNCTION("""COMPUTED_VALUE"""),"Summoner")</f>
        <v>Summoner</v>
      </c>
      <c r="B518" s="197" t="str">
        <f>IFERROR(__xludf.DUMMYFUNCTION("""COMPUTED_VALUE"""),"Discarded")</f>
        <v>Discarded</v>
      </c>
      <c r="C518" s="197">
        <f t="shared" si="1"/>
        <v>1</v>
      </c>
      <c r="D518" s="20" t="s">
        <v>2766</v>
      </c>
      <c r="E518" s="20">
        <v>1.0</v>
      </c>
    </row>
    <row r="519">
      <c r="A519" s="196"/>
      <c r="B519" s="197" t="str">
        <f>IFERROR(__xludf.DUMMYFUNCTION("""COMPUTED_VALUE"""),"Abomination")</f>
        <v>Abomination</v>
      </c>
      <c r="C519" s="197">
        <f t="shared" si="1"/>
        <v>2</v>
      </c>
      <c r="D519" s="20" t="s">
        <v>2767</v>
      </c>
      <c r="E519" s="20">
        <v>1.0</v>
      </c>
    </row>
    <row r="520">
      <c r="A520" s="196"/>
      <c r="B520" s="197" t="str">
        <f>IFERROR(__xludf.DUMMYFUNCTION("""COMPUTED_VALUE"""),"Doomgaze")</f>
        <v>Doomgaze</v>
      </c>
      <c r="C520" s="197">
        <f t="shared" si="1"/>
        <v>1</v>
      </c>
      <c r="D520" s="20" t="s">
        <v>2768</v>
      </c>
      <c r="E520" s="20">
        <v>1.0</v>
      </c>
    </row>
    <row r="521">
      <c r="A521" s="196"/>
      <c r="B521" s="197" t="str">
        <f>IFERROR(__xludf.DUMMYFUNCTION("""COMPUTED_VALUE"""),"Dread")</f>
        <v>Dread</v>
      </c>
      <c r="C521" s="197">
        <f t="shared" si="1"/>
        <v>2</v>
      </c>
      <c r="D521" s="20" t="s">
        <v>2769</v>
      </c>
      <c r="E521" s="20">
        <v>1.0</v>
      </c>
    </row>
    <row r="522">
      <c r="A522" s="196" t="str">
        <f>IFERROR(__xludf.DUMMYFUNCTION("""COMPUTED_VALUE"""),"Pyretic")</f>
        <v>Pyretic</v>
      </c>
      <c r="B522" s="197" t="str">
        <f>IFERROR(__xludf.DUMMYFUNCTION("""COMPUTED_VALUE"""),"Cryptlord")</f>
        <v>Cryptlord</v>
      </c>
      <c r="C522" s="197">
        <f t="shared" si="1"/>
        <v>1</v>
      </c>
      <c r="D522" s="20" t="s">
        <v>2770</v>
      </c>
      <c r="E522" s="20">
        <v>1.0</v>
      </c>
    </row>
    <row r="523">
      <c r="A523" s="196" t="str">
        <f>IFERROR(__xludf.DUMMYFUNCTION("""COMPUTED_VALUE"""),"Pet")</f>
        <v>Pet</v>
      </c>
      <c r="B523" s="197" t="str">
        <f>IFERROR(__xludf.DUMMYFUNCTION("""COMPUTED_VALUE"""),"Nutrient")</f>
        <v>Nutrient</v>
      </c>
      <c r="C523" s="197">
        <f t="shared" si="1"/>
        <v>1</v>
      </c>
      <c r="D523" s="20" t="s">
        <v>2771</v>
      </c>
      <c r="E523" s="20">
        <v>1.0</v>
      </c>
    </row>
    <row r="524">
      <c r="A524" s="196"/>
      <c r="B524" s="197" t="str">
        <f>IFERROR(__xludf.DUMMYFUNCTION("""COMPUTED_VALUE"""),"Nexus")</f>
        <v>Nexus</v>
      </c>
      <c r="C524" s="197">
        <f t="shared" si="1"/>
        <v>2</v>
      </c>
      <c r="D524" s="20" t="s">
        <v>1787</v>
      </c>
      <c r="E524" s="20">
        <v>1.0</v>
      </c>
    </row>
    <row r="525">
      <c r="A525" s="196"/>
      <c r="B525" s="197" t="str">
        <f>IFERROR(__xludf.DUMMYFUNCTION("""COMPUTED_VALUE"""),"Fatepeek")</f>
        <v>Fatepeek</v>
      </c>
      <c r="C525" s="197">
        <f t="shared" si="1"/>
        <v>1</v>
      </c>
      <c r="D525" s="20" t="s">
        <v>2772</v>
      </c>
      <c r="E525" s="20">
        <v>1.0</v>
      </c>
    </row>
    <row r="526">
      <c r="A526" s="196"/>
      <c r="B526" s="197" t="str">
        <f>IFERROR(__xludf.DUMMYFUNCTION("""COMPUTED_VALUE"""),"Imp")</f>
        <v>Imp</v>
      </c>
      <c r="C526" s="197">
        <f t="shared" si="1"/>
        <v>2</v>
      </c>
      <c r="D526" s="20" t="s">
        <v>2773</v>
      </c>
      <c r="E526" s="20">
        <v>1.0</v>
      </c>
    </row>
    <row r="527">
      <c r="A527" s="196" t="str">
        <f>IFERROR(__xludf.DUMMYFUNCTION("""COMPUTED_VALUE"""),"Shifting")</f>
        <v>Shifting</v>
      </c>
      <c r="B527" s="197" t="str">
        <f>IFERROR(__xludf.DUMMYFUNCTION("""COMPUTED_VALUE"""),"Eyed")</f>
        <v>Eyed</v>
      </c>
      <c r="C527" s="197">
        <f t="shared" si="1"/>
        <v>1</v>
      </c>
      <c r="D527" s="20" t="s">
        <v>2774</v>
      </c>
      <c r="E527" s="20">
        <v>1.0</v>
      </c>
    </row>
    <row r="528">
      <c r="A528" s="196" t="str">
        <f>IFERROR(__xludf.DUMMYFUNCTION("""COMPUTED_VALUE"""),"Sands")</f>
        <v>Sands</v>
      </c>
      <c r="B528" s="197" t="str">
        <f>IFERROR(__xludf.DUMMYFUNCTION("""COMPUTED_VALUE"""),"Plunderpillar")</f>
        <v>Plunderpillar</v>
      </c>
      <c r="C528" s="197">
        <f t="shared" si="1"/>
        <v>1</v>
      </c>
      <c r="D528" s="20" t="s">
        <v>2775</v>
      </c>
      <c r="E528" s="20">
        <v>1.0</v>
      </c>
    </row>
    <row r="529">
      <c r="A529" s="196"/>
      <c r="B529" s="197" t="str">
        <f>IFERROR(__xludf.DUMMYFUNCTION("""COMPUTED_VALUE"""),"Raptor")</f>
        <v>Raptor</v>
      </c>
      <c r="C529" s="197">
        <f t="shared" si="1"/>
        <v>1</v>
      </c>
      <c r="D529" s="20" t="s">
        <v>1799</v>
      </c>
      <c r="E529" s="20">
        <v>1.0</v>
      </c>
    </row>
    <row r="530">
      <c r="A530" s="196"/>
      <c r="B530" s="197" t="str">
        <f>IFERROR(__xludf.DUMMYFUNCTION("""COMPUTED_VALUE"""),"Pack")</f>
        <v>Pack</v>
      </c>
      <c r="C530" s="197">
        <f t="shared" si="1"/>
        <v>1</v>
      </c>
      <c r="D530" s="20" t="s">
        <v>2776</v>
      </c>
      <c r="E530" s="20">
        <v>1.0</v>
      </c>
    </row>
    <row r="531">
      <c r="A531" s="196"/>
      <c r="B531" s="197" t="str">
        <f>IFERROR(__xludf.DUMMYFUNCTION("""COMPUTED_VALUE"""),"Saurian")</f>
        <v>Saurian</v>
      </c>
      <c r="C531" s="197">
        <f t="shared" si="1"/>
        <v>1</v>
      </c>
      <c r="D531" s="20" t="s">
        <v>2777</v>
      </c>
      <c r="E531" s="20">
        <v>1.0</v>
      </c>
    </row>
    <row r="532">
      <c r="A532" s="196" t="str">
        <f>IFERROR(__xludf.DUMMYFUNCTION("""COMPUTED_VALUE"""),"Torii")</f>
        <v>Torii</v>
      </c>
      <c r="B532" s="197" t="str">
        <f>IFERROR(__xludf.DUMMYFUNCTION("""COMPUTED_VALUE"""),"Wraith")</f>
        <v>Wraith</v>
      </c>
      <c r="C532" s="197">
        <f t="shared" si="1"/>
        <v>1</v>
      </c>
      <c r="D532" s="20" t="s">
        <v>2778</v>
      </c>
      <c r="E532" s="20">
        <v>1.0</v>
      </c>
    </row>
    <row r="533">
      <c r="A533" s="196" t="str">
        <f>IFERROR(__xludf.DUMMYFUNCTION("""COMPUTED_VALUE"""),"Spirit")</f>
        <v>Spirit</v>
      </c>
      <c r="B533" s="197" t="str">
        <f>IFERROR(__xludf.DUMMYFUNCTION("""COMPUTED_VALUE"""),"Gravebound")</f>
        <v>Gravebound</v>
      </c>
      <c r="C533" s="197">
        <f t="shared" si="1"/>
        <v>1</v>
      </c>
      <c r="D533" s="20" t="s">
        <v>2779</v>
      </c>
      <c r="E533" s="20">
        <v>1.0</v>
      </c>
    </row>
    <row r="534">
      <c r="A534" s="196"/>
      <c r="B534" s="197" t="str">
        <f>IFERROR(__xludf.DUMMYFUNCTION("""COMPUTED_VALUE"""),"Ghoul")</f>
        <v>Ghoul</v>
      </c>
      <c r="C534" s="197">
        <f t="shared" si="1"/>
        <v>1</v>
      </c>
      <c r="D534" s="20" t="s">
        <v>2780</v>
      </c>
      <c r="E534" s="20">
        <v>1.0</v>
      </c>
    </row>
    <row r="535">
      <c r="A535" s="196"/>
      <c r="B535" s="197" t="str">
        <f>IFERROR(__xludf.DUMMYFUNCTION("""COMPUTED_VALUE"""),"Graverobber")</f>
        <v>Graverobber</v>
      </c>
      <c r="C535" s="197">
        <f t="shared" si="1"/>
        <v>1</v>
      </c>
      <c r="D535" s="20" t="s">
        <v>2781</v>
      </c>
      <c r="E535" s="20">
        <v>1.0</v>
      </c>
    </row>
    <row r="536">
      <c r="A536" s="196"/>
      <c r="B536" s="197" t="str">
        <f>IFERROR(__xludf.DUMMYFUNCTION("""COMPUTED_VALUE"""),"Greedspawn")</f>
        <v>Greedspawn</v>
      </c>
      <c r="C536" s="197">
        <f t="shared" si="1"/>
        <v>1</v>
      </c>
      <c r="D536" s="20" t="s">
        <v>1820</v>
      </c>
      <c r="E536" s="20">
        <v>1.0</v>
      </c>
    </row>
    <row r="537">
      <c r="A537" s="196" t="str">
        <f>IFERROR(__xludf.DUMMYFUNCTION("""COMPUTED_VALUE"""),"Red")</f>
        <v>Red</v>
      </c>
      <c r="B537" s="197" t="str">
        <f>IFERROR(__xludf.DUMMYFUNCTION("""COMPUTED_VALUE"""),"Grim")</f>
        <v>Grim</v>
      </c>
      <c r="C537" s="197">
        <f t="shared" si="1"/>
        <v>1</v>
      </c>
      <c r="D537" s="20" t="s">
        <v>2782</v>
      </c>
      <c r="E537" s="20">
        <v>1.0</v>
      </c>
    </row>
    <row r="538">
      <c r="A538" s="196" t="str">
        <f>IFERROR(__xludf.DUMMYFUNCTION("""COMPUTED_VALUE"""),"Crusader")</f>
        <v>Crusader</v>
      </c>
      <c r="B538" s="197" t="str">
        <f>IFERROR(__xludf.DUMMYFUNCTION("""COMPUTED_VALUE"""),"Shadowpounce")</f>
        <v>Shadowpounce</v>
      </c>
      <c r="C538" s="197">
        <f t="shared" si="1"/>
        <v>1</v>
      </c>
      <c r="D538" s="20" t="s">
        <v>2783</v>
      </c>
      <c r="E538" s="20">
        <v>1.0</v>
      </c>
    </row>
    <row r="539">
      <c r="A539" s="196"/>
      <c r="B539" s="197" t="str">
        <f>IFERROR(__xludf.DUMMYFUNCTION("""COMPUTED_VALUE"""),"Panther")</f>
        <v>Panther</v>
      </c>
      <c r="C539" s="197">
        <f t="shared" si="1"/>
        <v>1</v>
      </c>
      <c r="D539" s="20" t="s">
        <v>2784</v>
      </c>
      <c r="E539" s="20">
        <v>1.0</v>
      </c>
    </row>
    <row r="540">
      <c r="A540" s="196"/>
      <c r="B540" s="197" t="str">
        <f>IFERROR(__xludf.DUMMYFUNCTION("""COMPUTED_VALUE"""),"Shardtooth")</f>
        <v>Shardtooth</v>
      </c>
      <c r="C540" s="197">
        <f t="shared" si="1"/>
        <v>1</v>
      </c>
      <c r="D540" s="20" t="s">
        <v>2785</v>
      </c>
      <c r="E540" s="20">
        <v>1.0</v>
      </c>
    </row>
    <row r="541">
      <c r="A541" s="196"/>
      <c r="B541" s="197" t="str">
        <f>IFERROR(__xludf.DUMMYFUNCTION("""COMPUTED_VALUE"""),"Hungry")</f>
        <v>Hungry</v>
      </c>
      <c r="C541" s="197">
        <f t="shared" si="1"/>
        <v>1</v>
      </c>
      <c r="D541" s="20" t="s">
        <v>2786</v>
      </c>
      <c r="E541" s="20">
        <v>1.0</v>
      </c>
    </row>
    <row r="542">
      <c r="A542" s="196" t="str">
        <f>IFERROR(__xludf.DUMMYFUNCTION("""COMPUTED_VALUE"""),"Windkite")</f>
        <v>Windkite</v>
      </c>
      <c r="B542" s="197" t="str">
        <f>IFERROR(__xludf.DUMMYFUNCTION("""COMPUTED_VALUE"""),"Shambler")</f>
        <v>Shambler</v>
      </c>
      <c r="C542" s="197">
        <f t="shared" si="1"/>
        <v>1</v>
      </c>
      <c r="D542" s="20" t="s">
        <v>2787</v>
      </c>
      <c r="E542" s="20">
        <v>1.0</v>
      </c>
    </row>
    <row r="543">
      <c r="A543" s="196" t="str">
        <f>IFERROR(__xludf.DUMMYFUNCTION("""COMPUTED_VALUE"""),"Acolyte")</f>
        <v>Acolyte</v>
      </c>
      <c r="B543" s="197" t="str">
        <f>IFERROR(__xludf.DUMMYFUNCTION("""COMPUTED_VALUE"""),"Sunflower")</f>
        <v>Sunflower</v>
      </c>
      <c r="C543" s="197">
        <f t="shared" si="1"/>
        <v>1</v>
      </c>
      <c r="D543" s="20" t="s">
        <v>1832</v>
      </c>
      <c r="E543" s="20">
        <v>1.0</v>
      </c>
    </row>
    <row r="544">
      <c r="A544" s="196"/>
      <c r="B544" s="197" t="str">
        <f>IFERROR(__xludf.DUMMYFUNCTION("""COMPUTED_VALUE"""),"Tiger")</f>
        <v>Tiger</v>
      </c>
      <c r="C544" s="197">
        <f t="shared" si="1"/>
        <v>1</v>
      </c>
      <c r="D544" s="20" t="s">
        <v>1836</v>
      </c>
      <c r="E544" s="20">
        <v>1.0</v>
      </c>
    </row>
    <row r="545">
      <c r="A545" s="196"/>
      <c r="B545" s="197" t="str">
        <f>IFERROR(__xludf.DUMMYFUNCTION("""COMPUTED_VALUE"""),"Meekbone")</f>
        <v>Meekbone</v>
      </c>
      <c r="C545" s="197">
        <f t="shared" si="1"/>
        <v>1</v>
      </c>
      <c r="D545" s="20" t="s">
        <v>2788</v>
      </c>
      <c r="E545" s="20">
        <v>1.0</v>
      </c>
    </row>
    <row r="546">
      <c r="A546" s="196"/>
      <c r="B546" s="197" t="str">
        <f>IFERROR(__xludf.DUMMYFUNCTION("""COMPUTED_VALUE"""),"Soldier")</f>
        <v>Soldier</v>
      </c>
      <c r="C546" s="197">
        <f t="shared" si="1"/>
        <v>1</v>
      </c>
      <c r="D546" s="20" t="s">
        <v>2789</v>
      </c>
      <c r="E546" s="20">
        <v>1.0</v>
      </c>
    </row>
    <row r="547">
      <c r="A547" s="196" t="str">
        <f>IFERROR(__xludf.DUMMYFUNCTION("""COMPUTED_VALUE"""),"Blood")</f>
        <v>Blood</v>
      </c>
      <c r="B547" s="197" t="str">
        <f>IFERROR(__xludf.DUMMYFUNCTION("""COMPUTED_VALUE"""),"Monarch")</f>
        <v>Monarch</v>
      </c>
      <c r="C547" s="197">
        <f t="shared" si="1"/>
        <v>1</v>
      </c>
      <c r="D547" s="20" t="s">
        <v>2790</v>
      </c>
      <c r="E547" s="20">
        <v>1.0</v>
      </c>
    </row>
    <row r="548">
      <c r="A548" s="196" t="str">
        <f>IFERROR(__xludf.DUMMYFUNCTION("""COMPUTED_VALUE"""),"Moon")</f>
        <v>Moon</v>
      </c>
      <c r="B548" s="197" t="str">
        <f>IFERROR(__xludf.DUMMYFUNCTION("""COMPUTED_VALUE"""),"Shadows")</f>
        <v>Shadows</v>
      </c>
      <c r="C548" s="197">
        <f t="shared" si="1"/>
        <v>1</v>
      </c>
      <c r="D548" s="20" t="s">
        <v>1845</v>
      </c>
      <c r="E548" s="20">
        <v>1.0</v>
      </c>
    </row>
    <row r="549">
      <c r="A549" s="196" t="str">
        <f>IFERROR(__xludf.DUMMYFUNCTION("""COMPUTED_VALUE"""),"Scarab")</f>
        <v>Scarab</v>
      </c>
      <c r="B549" s="197" t="str">
        <f>IFERROR(__xludf.DUMMYFUNCTION("""COMPUTED_VALUE"""),"Venus")</f>
        <v>Venus</v>
      </c>
      <c r="C549" s="197">
        <f t="shared" si="1"/>
        <v>1</v>
      </c>
      <c r="D549" s="20" t="s">
        <v>2791</v>
      </c>
      <c r="E549" s="20">
        <v>1.0</v>
      </c>
    </row>
    <row r="550">
      <c r="A550" s="196"/>
      <c r="B550" s="197" t="str">
        <f>IFERROR(__xludf.DUMMYFUNCTION("""COMPUTED_VALUE"""),"Flytrap")</f>
        <v>Flytrap</v>
      </c>
      <c r="C550" s="197">
        <f t="shared" si="1"/>
        <v>1</v>
      </c>
      <c r="D550" s="20" t="s">
        <v>2792</v>
      </c>
      <c r="E550" s="20">
        <v>1.0</v>
      </c>
    </row>
    <row r="551">
      <c r="A551" s="196"/>
      <c r="B551" s="197" t="str">
        <f>IFERROR(__xludf.DUMMYFUNCTION("""COMPUTED_VALUE"""),"Arcane")</f>
        <v>Arcane</v>
      </c>
      <c r="C551" s="197">
        <f t="shared" si="1"/>
        <v>1</v>
      </c>
      <c r="D551" s="20" t="s">
        <v>2793</v>
      </c>
      <c r="E551" s="20">
        <v>1.0</v>
      </c>
    </row>
    <row r="552">
      <c r="A552" s="196" t="str">
        <f>IFERROR(__xludf.DUMMYFUNCTION("""COMPUTED_VALUE"""),"Sand")</f>
        <v>Sand</v>
      </c>
      <c r="B552" s="197" t="str">
        <f>IFERROR(__xludf.DUMMYFUNCTION("""COMPUTED_VALUE"""),"Gorgosaur")</f>
        <v>Gorgosaur</v>
      </c>
      <c r="C552" s="197">
        <f t="shared" si="1"/>
        <v>1</v>
      </c>
      <c r="D552" s="20" t="s">
        <v>2794</v>
      </c>
      <c r="E552" s="20">
        <v>1.0</v>
      </c>
    </row>
    <row r="553">
      <c r="A553" s="196" t="str">
        <f>IFERROR(__xludf.DUMMYFUNCTION("""COMPUTED_VALUE"""),"Witch")</f>
        <v>Witch</v>
      </c>
      <c r="B553" s="197" t="str">
        <f>IFERROR(__xludf.DUMMYFUNCTION("""COMPUTED_VALUE"""),"Bloodclaw")</f>
        <v>Bloodclaw</v>
      </c>
      <c r="C553" s="197">
        <f t="shared" si="1"/>
        <v>1</v>
      </c>
      <c r="D553" s="20" t="s">
        <v>2795</v>
      </c>
      <c r="E553" s="20">
        <v>1.0</v>
      </c>
    </row>
    <row r="554">
      <c r="A554" s="196"/>
      <c r="B554" s="197" t="str">
        <f>IFERROR(__xludf.DUMMYFUNCTION("""COMPUTED_VALUE"""),"Duke")</f>
        <v>Duke</v>
      </c>
      <c r="C554" s="197">
        <f t="shared" si="1"/>
        <v>1</v>
      </c>
      <c r="D554" s="20" t="s">
        <v>2796</v>
      </c>
      <c r="E554" s="20">
        <v>1.0</v>
      </c>
    </row>
    <row r="555">
      <c r="A555" s="196"/>
      <c r="B555" s="197" t="str">
        <f>IFERROR(__xludf.DUMMYFUNCTION("""COMPUTED_VALUE"""),"Grove")</f>
        <v>Grove</v>
      </c>
      <c r="C555" s="197">
        <f t="shared" si="1"/>
        <v>2</v>
      </c>
      <c r="D555" s="20" t="s">
        <v>2797</v>
      </c>
      <c r="E555" s="20">
        <v>1.0</v>
      </c>
    </row>
    <row r="556">
      <c r="A556" s="196"/>
      <c r="B556" s="197" t="str">
        <f>IFERROR(__xludf.DUMMYFUNCTION("""COMPUTED_VALUE"""),"Omenshadow")</f>
        <v>Omenshadow</v>
      </c>
      <c r="C556" s="197">
        <f t="shared" si="1"/>
        <v>1</v>
      </c>
      <c r="D556" s="20" t="s">
        <v>2798</v>
      </c>
      <c r="E556" s="20">
        <v>1.0</v>
      </c>
    </row>
    <row r="557">
      <c r="A557" s="196" t="str">
        <f>IFERROR(__xludf.DUMMYFUNCTION("""COMPUTED_VALUE"""),"Shardhorde")</f>
        <v>Shardhorde</v>
      </c>
      <c r="B557" s="197" t="str">
        <f>IFERROR(__xludf.DUMMYFUNCTION("""COMPUTED_VALUE"""),"Mantis")</f>
        <v>Mantis</v>
      </c>
      <c r="C557" s="197">
        <f t="shared" si="1"/>
        <v>1</v>
      </c>
      <c r="D557" s="20" t="s">
        <v>2799</v>
      </c>
      <c r="E557" s="20">
        <v>1.0</v>
      </c>
    </row>
    <row r="558">
      <c r="A558" s="196" t="str">
        <f>IFERROR(__xludf.DUMMYFUNCTION("""COMPUTED_VALUE"""),"Galewhelp")</f>
        <v>Galewhelp</v>
      </c>
      <c r="B558" s="197" t="str">
        <f>IFERROR(__xludf.DUMMYFUNCTION("""COMPUTED_VALUE"""),"Queen")</f>
        <v>Queen</v>
      </c>
      <c r="C558" s="197">
        <f t="shared" si="1"/>
        <v>2</v>
      </c>
      <c r="D558" s="20" t="s">
        <v>2800</v>
      </c>
      <c r="E558" s="20">
        <v>1.0</v>
      </c>
    </row>
    <row r="559">
      <c r="A559" s="196"/>
      <c r="B559" s="197" t="str">
        <f>IFERROR(__xludf.DUMMYFUNCTION("""COMPUTED_VALUE"""),"Purple")</f>
        <v>Purple</v>
      </c>
      <c r="C559" s="197">
        <f t="shared" si="1"/>
        <v>2</v>
      </c>
      <c r="D559" s="20" t="s">
        <v>2801</v>
      </c>
      <c r="E559" s="20">
        <v>1.0</v>
      </c>
    </row>
    <row r="560">
      <c r="A560" s="196"/>
      <c r="B560" s="197" t="str">
        <f>IFERROR(__xludf.DUMMYFUNCTION("""COMPUTED_VALUE"""),"Reborn")</f>
        <v>Reborn</v>
      </c>
      <c r="C560" s="197">
        <f t="shared" si="1"/>
        <v>1</v>
      </c>
      <c r="D560" s="20" t="s">
        <v>2802</v>
      </c>
      <c r="E560" s="20">
        <v>1.0</v>
      </c>
    </row>
    <row r="561">
      <c r="A561" s="196"/>
      <c r="B561" s="197" t="str">
        <f>IFERROR(__xludf.DUMMYFUNCTION("""COMPUTED_VALUE"""),"Stargazer")</f>
        <v>Stargazer</v>
      </c>
      <c r="C561" s="197">
        <f t="shared" si="1"/>
        <v>1</v>
      </c>
      <c r="D561" s="20" t="s">
        <v>1871</v>
      </c>
      <c r="E561" s="20">
        <v>1.0</v>
      </c>
    </row>
    <row r="562">
      <c r="A562" s="196" t="str">
        <f>IFERROR(__xludf.DUMMYFUNCTION("""COMPUTED_VALUE"""),"Amberlock")</f>
        <v>Amberlock</v>
      </c>
      <c r="B562" s="197" t="str">
        <f>IFERROR(__xludf.DUMMYFUNCTION("""COMPUTED_VALUE"""),"Relentless")</f>
        <v>Relentless</v>
      </c>
      <c r="C562" s="197">
        <f t="shared" si="1"/>
        <v>1</v>
      </c>
      <c r="D562" s="20" t="s">
        <v>2803</v>
      </c>
      <c r="E562" s="20">
        <v>1.0</v>
      </c>
    </row>
    <row r="563">
      <c r="A563" s="196" t="str">
        <f>IFERROR(__xludf.DUMMYFUNCTION("""COMPUTED_VALUE"""),"Dragonling")</f>
        <v>Dragonling</v>
      </c>
      <c r="B563" s="197" t="str">
        <f>IFERROR(__xludf.DUMMYFUNCTION("""COMPUTED_VALUE"""),"Runic")</f>
        <v>Runic</v>
      </c>
      <c r="C563" s="197">
        <f t="shared" si="1"/>
        <v>1</v>
      </c>
      <c r="D563" s="20" t="s">
        <v>1877</v>
      </c>
      <c r="E563" s="20">
        <v>1.0</v>
      </c>
    </row>
    <row r="564">
      <c r="A564" s="196"/>
      <c r="B564" s="197" t="str">
        <f>IFERROR(__xludf.DUMMYFUNCTION("""COMPUTED_VALUE"""),"Arachnid")</f>
        <v>Arachnid</v>
      </c>
      <c r="C564" s="197">
        <f t="shared" si="1"/>
        <v>1</v>
      </c>
      <c r="D564" s="20" t="s">
        <v>2804</v>
      </c>
      <c r="E564" s="20">
        <v>1.0</v>
      </c>
    </row>
    <row r="565">
      <c r="A565" s="196"/>
      <c r="B565" s="197" t="str">
        <f>IFERROR(__xludf.DUMMYFUNCTION("""COMPUTED_VALUE"""),"Teapot")</f>
        <v>Teapot</v>
      </c>
      <c r="C565" s="197">
        <f t="shared" si="1"/>
        <v>1</v>
      </c>
      <c r="D565" s="20" t="s">
        <v>2805</v>
      </c>
      <c r="E565" s="20">
        <v>1.0</v>
      </c>
    </row>
    <row r="566">
      <c r="A566" s="196"/>
      <c r="B566" s="197" t="str">
        <f>IFERROR(__xludf.DUMMYFUNCTION("""COMPUTED_VALUE"""),"Sun")</f>
        <v>Sun</v>
      </c>
      <c r="C566" s="197">
        <f t="shared" si="1"/>
        <v>1</v>
      </c>
      <c r="D566" s="20" t="s">
        <v>2806</v>
      </c>
      <c r="E566" s="20">
        <v>1.0</v>
      </c>
    </row>
    <row r="567">
      <c r="A567" s="196" t="str">
        <f>IFERROR(__xludf.DUMMYFUNCTION("""COMPUTED_VALUE"""),"Dragonfire")</f>
        <v>Dragonfire</v>
      </c>
      <c r="B567" s="197" t="str">
        <f>IFERROR(__xludf.DUMMYFUNCTION("""COMPUTED_VALUE"""),"Saurus")</f>
        <v>Saurus</v>
      </c>
      <c r="C567" s="197">
        <f t="shared" si="1"/>
        <v>1</v>
      </c>
      <c r="D567" s="20" t="s">
        <v>2807</v>
      </c>
      <c r="E567" s="20">
        <v>1.0</v>
      </c>
    </row>
    <row r="568">
      <c r="A568" s="196" t="str">
        <f>IFERROR(__xludf.DUMMYFUNCTION("""COMPUTED_VALUE"""),"Warlock")</f>
        <v>Warlock</v>
      </c>
      <c r="B568" s="197" t="str">
        <f>IFERROR(__xludf.DUMMYFUNCTION("""COMPUTED_VALUE"""),"Sandsilk")</f>
        <v>Sandsilk</v>
      </c>
      <c r="C568" s="197">
        <f t="shared" si="1"/>
        <v>1</v>
      </c>
      <c r="D568" s="20" t="s">
        <v>2808</v>
      </c>
      <c r="E568" s="20">
        <v>1.0</v>
      </c>
    </row>
    <row r="569">
      <c r="A569" s="196"/>
      <c r="B569" s="197" t="str">
        <f>IFERROR(__xludf.DUMMYFUNCTION("""COMPUTED_VALUE"""),"Fox")</f>
        <v>Fox</v>
      </c>
      <c r="C569" s="197">
        <f t="shared" si="1"/>
        <v>1</v>
      </c>
      <c r="D569" s="20" t="s">
        <v>2809</v>
      </c>
      <c r="E569" s="20">
        <v>1.0</v>
      </c>
    </row>
    <row r="570">
      <c r="A570" s="196"/>
      <c r="B570" s="197" t="str">
        <f>IFERROR(__xludf.DUMMYFUNCTION("""COMPUTED_VALUE"""),"Living")</f>
        <v>Living</v>
      </c>
      <c r="C570" s="197">
        <f t="shared" si="1"/>
        <v>1</v>
      </c>
      <c r="D570" s="20" t="s">
        <v>2810</v>
      </c>
      <c r="E570" s="20">
        <v>1.0</v>
      </c>
    </row>
    <row r="571">
      <c r="A571" s="196"/>
      <c r="B571" s="197" t="str">
        <f>IFERROR(__xludf.DUMMYFUNCTION("""COMPUTED_VALUE"""),"Thicket")</f>
        <v>Thicket</v>
      </c>
      <c r="C571" s="197">
        <f t="shared" si="1"/>
        <v>1</v>
      </c>
      <c r="D571" s="20" t="s">
        <v>2811</v>
      </c>
      <c r="E571" s="20">
        <v>1.0</v>
      </c>
    </row>
    <row r="572">
      <c r="A572" s="196" t="str">
        <f>IFERROR(__xludf.DUMMYFUNCTION("""COMPUTED_VALUE"""),"Dragonwind")</f>
        <v>Dragonwind</v>
      </c>
      <c r="B572" s="197" t="str">
        <f>IFERROR(__xludf.DUMMYFUNCTION("""COMPUTED_VALUE"""),"Shrouded")</f>
        <v>Shrouded</v>
      </c>
      <c r="C572" s="197">
        <f t="shared" si="1"/>
        <v>1</v>
      </c>
      <c r="D572" s="20" t="s">
        <v>2812</v>
      </c>
      <c r="E572" s="20">
        <v>1.0</v>
      </c>
    </row>
    <row r="573">
      <c r="A573" s="196" t="str">
        <f>IFERROR(__xludf.DUMMYFUNCTION("""COMPUTED_VALUE"""),"Harbinger")</f>
        <v>Harbinger</v>
      </c>
      <c r="B573" s="197" t="str">
        <f>IFERROR(__xludf.DUMMYFUNCTION("""COMPUTED_VALUE"""),"Advocate")</f>
        <v>Advocate</v>
      </c>
      <c r="C573" s="197">
        <f t="shared" si="1"/>
        <v>1</v>
      </c>
      <c r="D573" s="20" t="s">
        <v>2813</v>
      </c>
      <c r="E573" s="20">
        <v>1.0</v>
      </c>
    </row>
    <row r="574">
      <c r="A574" s="196"/>
      <c r="B574" s="197" t="str">
        <f>IFERROR(__xludf.DUMMYFUNCTION("""COMPUTED_VALUE"""),"Fiend")</f>
        <v>Fiend</v>
      </c>
      <c r="C574" s="197">
        <f t="shared" si="1"/>
        <v>1</v>
      </c>
      <c r="D574" s="20" t="s">
        <v>2814</v>
      </c>
      <c r="E574" s="20">
        <v>1.0</v>
      </c>
    </row>
    <row r="575">
      <c r="A575" s="196"/>
      <c r="B575" s="197" t="str">
        <f>IFERROR(__xludf.DUMMYFUNCTION("""COMPUTED_VALUE"""),"Invigorating")</f>
        <v>Invigorating</v>
      </c>
      <c r="C575" s="197">
        <f t="shared" si="1"/>
        <v>1</v>
      </c>
      <c r="D575" s="20" t="s">
        <v>2815</v>
      </c>
      <c r="E575" s="20">
        <v>1.0</v>
      </c>
    </row>
    <row r="576">
      <c r="A576" s="196"/>
      <c r="B576" s="197" t="str">
        <f>IFERROR(__xludf.DUMMYFUNCTION("""COMPUTED_VALUE"""),"Lotus")</f>
        <v>Lotus</v>
      </c>
      <c r="C576" s="197">
        <f t="shared" si="1"/>
        <v>1</v>
      </c>
      <c r="D576" s="20" t="s">
        <v>2816</v>
      </c>
      <c r="E576" s="20">
        <v>1.0</v>
      </c>
    </row>
    <row r="577">
      <c r="A577" s="196" t="str">
        <f>IFERROR(__xludf.DUMMYFUNCTION("""COMPUTED_VALUE"""),"Sparkwielder")</f>
        <v>Sparkwielder</v>
      </c>
      <c r="B577" s="197" t="str">
        <f>IFERROR(__xludf.DUMMYFUNCTION("""COMPUTED_VALUE"""),"Bloom")</f>
        <v>Bloom</v>
      </c>
      <c r="C577" s="197">
        <f t="shared" si="1"/>
        <v>1</v>
      </c>
      <c r="D577" s="20" t="s">
        <v>2817</v>
      </c>
      <c r="E577" s="20">
        <v>1.0</v>
      </c>
    </row>
    <row r="578">
      <c r="A578" s="196"/>
      <c r="B578" s="197" t="str">
        <f>IFERROR(__xludf.DUMMYFUNCTION("""COMPUTED_VALUE"""),"Photosynthaurus")</f>
        <v>Photosynthaurus</v>
      </c>
      <c r="C578" s="197">
        <f t="shared" si="1"/>
        <v>1</v>
      </c>
      <c r="D578" s="20" t="s">
        <v>2818</v>
      </c>
      <c r="E578" s="20">
        <v>1.0</v>
      </c>
    </row>
    <row r="579">
      <c r="A579" s="196"/>
      <c r="B579" s="197" t="str">
        <f>IFERROR(__xludf.DUMMYFUNCTION("""COMPUTED_VALUE"""),"Southern")</f>
        <v>Southern</v>
      </c>
      <c r="C579" s="197">
        <f t="shared" si="1"/>
        <v>1</v>
      </c>
      <c r="D579" s="20" t="s">
        <v>2819</v>
      </c>
      <c r="E579" s="20">
        <v>1.0</v>
      </c>
    </row>
    <row r="580">
      <c r="A580" s="196"/>
      <c r="B580" s="197" t="str">
        <f>IFERROR(__xludf.DUMMYFUNCTION("""COMPUTED_VALUE"""),"Reach")</f>
        <v>Reach</v>
      </c>
      <c r="C580" s="197">
        <f t="shared" si="1"/>
        <v>1</v>
      </c>
      <c r="D580" s="20" t="s">
        <v>2820</v>
      </c>
      <c r="E580" s="20">
        <v>1.0</v>
      </c>
    </row>
    <row r="581">
      <c r="A581" s="196"/>
      <c r="B581" s="197" t="str">
        <f>IFERROR(__xludf.DUMMYFUNCTION("""COMPUTED_VALUE"""),"Bulwark")</f>
        <v>Bulwark</v>
      </c>
      <c r="C581" s="197">
        <f t="shared" si="1"/>
        <v>1</v>
      </c>
      <c r="D581" s="20" t="s">
        <v>2821</v>
      </c>
      <c r="E581" s="20">
        <v>1.0</v>
      </c>
    </row>
    <row r="582">
      <c r="A582" s="196" t="str">
        <f>IFERROR(__xludf.DUMMYFUNCTION("""COMPUTED_VALUE"""),"Gashopper")</f>
        <v>Gashopper</v>
      </c>
      <c r="B582" s="197" t="str">
        <f>IFERROR(__xludf.DUMMYFUNCTION("""COMPUTED_VALUE"""),"Thoughtfeaster")</f>
        <v>Thoughtfeaster</v>
      </c>
      <c r="C582" s="197">
        <f t="shared" si="1"/>
        <v>1</v>
      </c>
      <c r="D582" s="20" t="s">
        <v>2822</v>
      </c>
      <c r="E582" s="20">
        <v>1.0</v>
      </c>
    </row>
    <row r="583">
      <c r="A583" s="196"/>
      <c r="B583" s="197" t="str">
        <f>IFERROR(__xludf.DUMMYFUNCTION("""COMPUTED_VALUE"""),"Tombstone")</f>
        <v>Tombstone</v>
      </c>
      <c r="C583" s="197">
        <f t="shared" si="1"/>
        <v>1</v>
      </c>
      <c r="D583" s="20" t="s">
        <v>1920</v>
      </c>
      <c r="E583" s="20">
        <v>1.0</v>
      </c>
    </row>
    <row r="584">
      <c r="A584" s="196"/>
      <c r="B584" s="197" t="str">
        <f>IFERROR(__xludf.DUMMYFUNCTION("""COMPUTED_VALUE"""),"Umbral")</f>
        <v>Umbral</v>
      </c>
      <c r="C584" s="197">
        <f t="shared" si="1"/>
        <v>1</v>
      </c>
      <c r="D584" s="20" t="s">
        <v>2823</v>
      </c>
      <c r="E584" s="20">
        <v>1.0</v>
      </c>
    </row>
    <row r="585">
      <c r="A585" s="196"/>
      <c r="B585" s="197" t="str">
        <f>IFERROR(__xludf.DUMMYFUNCTION("""COMPUTED_VALUE"""),"Voidkiss")</f>
        <v>Voidkiss</v>
      </c>
      <c r="C585" s="197">
        <f t="shared" si="1"/>
        <v>1</v>
      </c>
      <c r="D585" s="20" t="s">
        <v>2824</v>
      </c>
      <c r="E585" s="20">
        <v>1.0</v>
      </c>
    </row>
    <row r="586">
      <c r="A586" s="196"/>
      <c r="B586" s="197" t="str">
        <f>IFERROR(__xludf.DUMMYFUNCTION("""COMPUTED_VALUE"""),"Siren")</f>
        <v>Siren</v>
      </c>
      <c r="C586" s="197">
        <f t="shared" si="1"/>
        <v>1</v>
      </c>
      <c r="D586" s="20" t="s">
        <v>2825</v>
      </c>
      <c r="E586" s="20">
        <v>1.0</v>
      </c>
    </row>
    <row r="587">
      <c r="A587" s="196" t="str">
        <f>IFERROR(__xludf.DUMMYFUNCTION("""COMPUTED_VALUE"""),"Hailbringer")</f>
        <v>Hailbringer</v>
      </c>
      <c r="B587" s="197" t="str">
        <f>IFERROR(__xludf.DUMMYFUNCTION("""COMPUTED_VALUE"""),"Rootstrosity")</f>
        <v>Rootstrosity</v>
      </c>
      <c r="C587" s="197">
        <f t="shared" si="1"/>
        <v>1</v>
      </c>
      <c r="D587" s="20" t="s">
        <v>1924</v>
      </c>
      <c r="E587" s="20">
        <v>1.0</v>
      </c>
    </row>
    <row r="588">
      <c r="A588" s="196"/>
      <c r="B588" s="197" t="str">
        <f>IFERROR(__xludf.DUMMYFUNCTION("""COMPUTED_VALUE"""),"Voodoo")</f>
        <v>Voodoo</v>
      </c>
      <c r="C588" s="197">
        <f t="shared" si="1"/>
        <v>1</v>
      </c>
      <c r="D588" s="20" t="s">
        <v>2826</v>
      </c>
      <c r="E588" s="20">
        <v>1.0</v>
      </c>
    </row>
    <row r="589">
      <c r="A589" s="196"/>
      <c r="B589" s="197" t="str">
        <f>IFERROR(__xludf.DUMMYFUNCTION("""COMPUTED_VALUE"""),"Doctor")</f>
        <v>Doctor</v>
      </c>
      <c r="C589" s="197">
        <f t="shared" si="1"/>
        <v>1</v>
      </c>
      <c r="D589" s="20" t="s">
        <v>2827</v>
      </c>
      <c r="E589" s="20">
        <v>1.0</v>
      </c>
    </row>
    <row r="590">
      <c r="A590" s="196"/>
      <c r="B590" s="197" t="str">
        <f>IFERROR(__xludf.DUMMYFUNCTION("""COMPUTED_VALUE"""),"Whispering")</f>
        <v>Whispering</v>
      </c>
      <c r="C590" s="197">
        <f t="shared" si="1"/>
        <v>1</v>
      </c>
      <c r="D590" s="20" t="s">
        <v>2828</v>
      </c>
      <c r="E590" s="20">
        <v>1.0</v>
      </c>
    </row>
    <row r="591">
      <c r="A591" s="196"/>
      <c r="B591" s="197" t="str">
        <f>IFERROR(__xludf.DUMMYFUNCTION("""COMPUTED_VALUE"""),"Tome")</f>
        <v>Tome</v>
      </c>
      <c r="C591" s="197">
        <f t="shared" si="1"/>
        <v>1</v>
      </c>
      <c r="D591" s="20" t="s">
        <v>2829</v>
      </c>
      <c r="E591" s="20">
        <v>1.0</v>
      </c>
    </row>
    <row r="592">
      <c r="A592" s="196" t="str">
        <f>IFERROR(__xludf.DUMMYFUNCTION("""COMPUTED_VALUE"""),"Stormlash")</f>
        <v>Stormlash</v>
      </c>
      <c r="B592" s="197" t="str">
        <f>IFERROR(__xludf.DUMMYFUNCTION("""COMPUTED_VALUE"""),"Choking")</f>
        <v>Choking</v>
      </c>
      <c r="C592" s="197">
        <f t="shared" si="1"/>
        <v>1</v>
      </c>
      <c r="D592" s="20" t="s">
        <v>1938</v>
      </c>
      <c r="E592" s="20">
        <v>1.0</v>
      </c>
    </row>
    <row r="593">
      <c r="A593" s="196"/>
      <c r="B593" s="197" t="str">
        <f>IFERROR(__xludf.DUMMYFUNCTION("""COMPUTED_VALUE"""),"Vines")</f>
        <v>Vines</v>
      </c>
      <c r="C593" s="197">
        <f t="shared" si="1"/>
        <v>1</v>
      </c>
      <c r="D593" s="20" t="s">
        <v>2830</v>
      </c>
      <c r="E593" s="20">
        <v>1.0</v>
      </c>
    </row>
    <row r="594">
      <c r="A594" s="196"/>
      <c r="B594" s="197" t="str">
        <f>IFERROR(__xludf.DUMMYFUNCTION("""COMPUTED_VALUE"""),"Heathborn")</f>
        <v>Heathborn</v>
      </c>
      <c r="C594" s="197">
        <f t="shared" si="1"/>
        <v>1</v>
      </c>
      <c r="D594" s="20" t="s">
        <v>2831</v>
      </c>
      <c r="E594" s="20">
        <v>1.0</v>
      </c>
    </row>
    <row r="595">
      <c r="A595" s="196"/>
      <c r="B595" s="197" t="str">
        <f>IFERROR(__xludf.DUMMYFUNCTION("""COMPUTED_VALUE"""),"Protector")</f>
        <v>Protector</v>
      </c>
      <c r="C595" s="197">
        <f t="shared" si="1"/>
        <v>1</v>
      </c>
      <c r="D595" s="20" t="s">
        <v>2832</v>
      </c>
      <c r="E595" s="20">
        <v>1.0</v>
      </c>
    </row>
    <row r="596">
      <c r="A596" s="196"/>
      <c r="B596" s="197" t="str">
        <f>IFERROR(__xludf.DUMMYFUNCTION("""COMPUTED_VALUE"""),"Wastelands")</f>
        <v>Wastelands</v>
      </c>
      <c r="C596" s="197">
        <f t="shared" si="1"/>
        <v>1</v>
      </c>
      <c r="D596" s="20" t="s">
        <v>2833</v>
      </c>
      <c r="E596" s="20">
        <v>1.0</v>
      </c>
    </row>
    <row r="597">
      <c r="A597" s="196" t="str">
        <f>IFERROR(__xludf.DUMMYFUNCTION("""COMPUTED_VALUE"""),"Stormworn")</f>
        <v>Stormworn</v>
      </c>
      <c r="B597" s="197" t="str">
        <f>IFERROR(__xludf.DUMMYFUNCTION("""COMPUTED_VALUE"""),"Crystalbane")</f>
        <v>Crystalbane</v>
      </c>
      <c r="C597" s="197">
        <f t="shared" si="1"/>
        <v>1</v>
      </c>
      <c r="D597" s="20" t="s">
        <v>2834</v>
      </c>
      <c r="E597" s="20">
        <v>1.0</v>
      </c>
    </row>
    <row r="598">
      <c r="A598" s="196" t="str">
        <f>IFERROR(__xludf.DUMMYFUNCTION("""COMPUTED_VALUE"""),"Horn")</f>
        <v>Horn</v>
      </c>
      <c r="B598" s="197" t="str">
        <f>IFERROR(__xludf.DUMMYFUNCTION("""COMPUTED_VALUE"""),"Glutton")</f>
        <v>Glutton</v>
      </c>
      <c r="C598" s="197">
        <f t="shared" si="1"/>
        <v>1</v>
      </c>
      <c r="D598" s="20" t="s">
        <v>2835</v>
      </c>
      <c r="E598" s="20">
        <v>1.0</v>
      </c>
    </row>
    <row r="599">
      <c r="A599" s="196"/>
      <c r="B599" s="197" t="str">
        <f>IFERROR(__xludf.DUMMYFUNCTION("""COMPUTED_VALUE"""),"Crystalline")</f>
        <v>Crystalline</v>
      </c>
      <c r="C599" s="197">
        <f t="shared" si="1"/>
        <v>1</v>
      </c>
      <c r="D599" s="20" t="s">
        <v>2836</v>
      </c>
      <c r="E599" s="20">
        <v>1.0</v>
      </c>
    </row>
    <row r="600">
      <c r="A600" s="196"/>
      <c r="B600" s="197" t="str">
        <f>IFERROR(__xludf.DUMMYFUNCTION("""COMPUTED_VALUE"""),"Parasite")</f>
        <v>Parasite</v>
      </c>
      <c r="C600" s="197">
        <f t="shared" si="1"/>
        <v>1</v>
      </c>
      <c r="D600" s="20" t="s">
        <v>2837</v>
      </c>
      <c r="E600" s="20">
        <v>1.0</v>
      </c>
    </row>
    <row r="601">
      <c r="A601" s="196"/>
      <c r="B601" s="197" t="str">
        <f>IFERROR(__xludf.DUMMYFUNCTION("""COMPUTED_VALUE"""),"Fortune's")</f>
        <v>Fortune's</v>
      </c>
      <c r="C601" s="197">
        <f t="shared" si="1"/>
        <v>1</v>
      </c>
      <c r="D601" s="20" t="s">
        <v>2838</v>
      </c>
      <c r="E601" s="20">
        <v>1.0</v>
      </c>
    </row>
    <row r="602">
      <c r="A602" s="196" t="str">
        <f>IFERROR(__xludf.DUMMYFUNCTION("""COMPUTED_VALUE"""),"Glinteye")</f>
        <v>Glinteye</v>
      </c>
      <c r="B602" s="197" t="str">
        <f>IFERROR(__xludf.DUMMYFUNCTION("""COMPUTED_VALUE"""),"Favorite")</f>
        <v>Favorite</v>
      </c>
      <c r="C602" s="197">
        <f t="shared" si="1"/>
        <v>1</v>
      </c>
      <c r="D602" s="20" t="s">
        <v>2839</v>
      </c>
      <c r="E602" s="20">
        <v>1.0</v>
      </c>
    </row>
    <row r="603">
      <c r="A603" s="196" t="str">
        <f>IFERROR(__xludf.DUMMYFUNCTION("""COMPUTED_VALUE"""),"Hoarder")</f>
        <v>Hoarder</v>
      </c>
      <c r="B603" s="197" t="str">
        <f>IFERROR(__xludf.DUMMYFUNCTION("""COMPUTED_VALUE"""),"Gigantic")</f>
        <v>Gigantic</v>
      </c>
      <c r="C603" s="197">
        <f t="shared" si="1"/>
        <v>1</v>
      </c>
      <c r="D603" s="20" t="s">
        <v>2840</v>
      </c>
      <c r="E603" s="20">
        <v>1.0</v>
      </c>
    </row>
    <row r="604">
      <c r="A604" s="196"/>
      <c r="B604" s="197" t="str">
        <f>IFERROR(__xludf.DUMMYFUNCTION("""COMPUTED_VALUE"""),"Terrormaw")</f>
        <v>Terrormaw</v>
      </c>
      <c r="C604" s="197">
        <f t="shared" si="1"/>
        <v>1</v>
      </c>
      <c r="D604" s="20" t="s">
        <v>2841</v>
      </c>
      <c r="E604" s="20">
        <v>1.0</v>
      </c>
    </row>
    <row r="605">
      <c r="A605" s="196"/>
      <c r="B605" s="197" t="str">
        <f>IFERROR(__xludf.DUMMYFUNCTION("""COMPUTED_VALUE"""),"Null")</f>
        <v>Null</v>
      </c>
      <c r="C605" s="197">
        <f t="shared" si="1"/>
        <v>1</v>
      </c>
      <c r="D605" s="20" t="s">
        <v>2842</v>
      </c>
      <c r="E605" s="20">
        <v>1.0</v>
      </c>
    </row>
    <row r="606">
      <c r="A606" s="196"/>
      <c r="B606" s="197" t="str">
        <f>IFERROR(__xludf.DUMMYFUNCTION("""COMPUTED_VALUE"""),"Ghost")</f>
        <v>Ghost</v>
      </c>
      <c r="C606" s="197">
        <f t="shared" si="1"/>
        <v>1</v>
      </c>
      <c r="D606" s="20" t="s">
        <v>2843</v>
      </c>
      <c r="E606" s="20">
        <v>1.0</v>
      </c>
    </row>
    <row r="607">
      <c r="A607" s="196" t="str">
        <f>IFERROR(__xludf.DUMMYFUNCTION("""COMPUTED_VALUE"""),"The")</f>
        <v>The</v>
      </c>
      <c r="B607" s="197" t="str">
        <f>IFERROR(__xludf.DUMMYFUNCTION("""COMPUTED_VALUE"""),"Bear")</f>
        <v>Bear</v>
      </c>
      <c r="C607" s="197">
        <f t="shared" si="1"/>
        <v>1</v>
      </c>
      <c r="D607" s="20" t="s">
        <v>2844</v>
      </c>
      <c r="E607" s="20">
        <v>1.0</v>
      </c>
    </row>
    <row r="608">
      <c r="A608" s="196" t="str">
        <f>IFERROR(__xludf.DUMMYFUNCTION("""COMPUTED_VALUE"""),"Culling")</f>
        <v>Culling</v>
      </c>
      <c r="B608" s="197" t="str">
        <f>IFERROR(__xludf.DUMMYFUNCTION("""COMPUTED_VALUE"""),"Cub")</f>
        <v>Cub</v>
      </c>
      <c r="C608" s="197">
        <f t="shared" si="1"/>
        <v>1</v>
      </c>
      <c r="D608" s="20" t="s">
        <v>2845</v>
      </c>
      <c r="E608" s="20">
        <v>1.0</v>
      </c>
    </row>
    <row r="609">
      <c r="A609" s="196" t="str">
        <f>IFERROR(__xludf.DUMMYFUNCTION("""COMPUTED_VALUE"""),"Claw")</f>
        <v>Claw</v>
      </c>
      <c r="B609" s="197" t="str">
        <f>IFERROR(__xludf.DUMMYFUNCTION("""COMPUTED_VALUE"""),"Necroconut")</f>
        <v>Necroconut</v>
      </c>
      <c r="C609" s="197">
        <f t="shared" si="1"/>
        <v>1</v>
      </c>
      <c r="D609" s="20" t="s">
        <v>2846</v>
      </c>
      <c r="E609" s="20">
        <v>1.0</v>
      </c>
    </row>
    <row r="610">
      <c r="A610" s="196"/>
      <c r="B610" s="197" t="str">
        <f>IFERROR(__xludf.DUMMYFUNCTION("""COMPUTED_VALUE"""),"Crab")</f>
        <v>Crab</v>
      </c>
      <c r="C610" s="197">
        <f t="shared" si="1"/>
        <v>1</v>
      </c>
      <c r="D610" s="20" t="s">
        <v>2847</v>
      </c>
      <c r="E610" s="20">
        <v>1.0</v>
      </c>
    </row>
    <row r="611">
      <c r="A611" s="196"/>
      <c r="B611" s="197" t="str">
        <f>IFERROR(__xludf.DUMMYFUNCTION("""COMPUTED_VALUE"""),"Rotting")</f>
        <v>Rotting</v>
      </c>
      <c r="C611" s="197">
        <f t="shared" si="1"/>
        <v>1</v>
      </c>
      <c r="D611" s="20" t="s">
        <v>2848</v>
      </c>
      <c r="E611" s="20">
        <v>1.0</v>
      </c>
    </row>
    <row r="612">
      <c r="A612" s="196" t="str">
        <f>IFERROR(__xludf.DUMMYFUNCTION("""COMPUTED_VALUE"""),"Thunderfox")</f>
        <v>Thunderfox</v>
      </c>
      <c r="B612" s="197" t="str">
        <f>IFERROR(__xludf.DUMMYFUNCTION("""COMPUTED_VALUE"""),"Alicorn")</f>
        <v>Alicorn</v>
      </c>
      <c r="C612" s="197">
        <f t="shared" si="1"/>
        <v>1</v>
      </c>
      <c r="D612" s="20" t="s">
        <v>2849</v>
      </c>
      <c r="E612" s="20">
        <v>1.0</v>
      </c>
    </row>
    <row r="613">
      <c r="A613" s="196"/>
      <c r="B613" s="197" t="str">
        <f>IFERROR(__xludf.DUMMYFUNCTION("""COMPUTED_VALUE"""),"Initiate")</f>
        <v>Initiate</v>
      </c>
      <c r="C613" s="197">
        <f t="shared" si="1"/>
        <v>1</v>
      </c>
      <c r="D613" s="20" t="s">
        <v>2850</v>
      </c>
      <c r="E613" s="20">
        <v>1.0</v>
      </c>
    </row>
    <row r="614">
      <c r="A614" s="196"/>
      <c r="B614" s="197" t="str">
        <f>IFERROR(__xludf.DUMMYFUNCTION("""COMPUTED_VALUE"""),"Cryptroach")</f>
        <v>Cryptroach</v>
      </c>
      <c r="C614" s="197">
        <f t="shared" si="1"/>
        <v>1</v>
      </c>
      <c r="D614" s="20" t="s">
        <v>2851</v>
      </c>
      <c r="E614" s="20">
        <v>1.0</v>
      </c>
    </row>
    <row r="615">
      <c r="A615" s="196"/>
      <c r="B615" s="197" t="str">
        <f>IFERROR(__xludf.DUMMYFUNCTION("""COMPUTED_VALUE"""),"Abyssal")</f>
        <v>Abyssal</v>
      </c>
      <c r="C615" s="197">
        <f t="shared" si="1"/>
        <v>1</v>
      </c>
      <c r="D615" s="20" t="s">
        <v>2852</v>
      </c>
      <c r="E615" s="20">
        <v>1.0</v>
      </c>
    </row>
    <row r="616">
      <c r="A616" s="196"/>
      <c r="B616" s="197" t="str">
        <f>IFERROR(__xludf.DUMMYFUNCTION("""COMPUTED_VALUE"""),"Silencer")</f>
        <v>Silencer</v>
      </c>
      <c r="C616" s="197">
        <f t="shared" si="1"/>
        <v>1</v>
      </c>
      <c r="D616" s="20" t="s">
        <v>2853</v>
      </c>
      <c r="E616" s="20">
        <v>1.0</v>
      </c>
    </row>
    <row r="617">
      <c r="A617" s="196" t="str">
        <f>IFERROR(__xludf.DUMMYFUNCTION("""COMPUTED_VALUE"""),"Raijin's")</f>
        <v>Raijin's</v>
      </c>
      <c r="B617" s="197" t="str">
        <f>IFERROR(__xludf.DUMMYFUNCTION("""COMPUTED_VALUE"""),"Blightcoven")</f>
        <v>Blightcoven</v>
      </c>
      <c r="C617" s="197">
        <f t="shared" si="1"/>
        <v>1</v>
      </c>
      <c r="D617" s="20" t="s">
        <v>2854</v>
      </c>
      <c r="E617" s="20">
        <v>1.0</v>
      </c>
    </row>
    <row r="618">
      <c r="A618" s="196" t="str">
        <f>IFERROR(__xludf.DUMMYFUNCTION("""COMPUTED_VALUE"""),"Familiar")</f>
        <v>Familiar</v>
      </c>
      <c r="B618" s="197" t="str">
        <f>IFERROR(__xludf.DUMMYFUNCTION("""COMPUTED_VALUE"""),"Puppeteer")</f>
        <v>Puppeteer</v>
      </c>
      <c r="C618" s="197">
        <f t="shared" si="1"/>
        <v>1</v>
      </c>
      <c r="D618" s="20" t="s">
        <v>2855</v>
      </c>
      <c r="E618" s="20">
        <v>1.0</v>
      </c>
    </row>
    <row r="619">
      <c r="A619" s="196"/>
      <c r="B619" s="197" t="str">
        <f>IFERROR(__xludf.DUMMYFUNCTION("""COMPUTED_VALUE"""),"Ambassador")</f>
        <v>Ambassador</v>
      </c>
      <c r="C619" s="197">
        <f t="shared" si="1"/>
        <v>1</v>
      </c>
      <c r="D619" s="20" t="s">
        <v>1988</v>
      </c>
      <c r="E619" s="20">
        <v>1.0</v>
      </c>
    </row>
    <row r="620">
      <c r="A620" s="196"/>
      <c r="B620" s="197" t="str">
        <f>IFERROR(__xludf.DUMMYFUNCTION("""COMPUTED_VALUE"""),"Emissary")</f>
        <v>Emissary</v>
      </c>
      <c r="C620" s="197">
        <f t="shared" si="1"/>
        <v>1</v>
      </c>
      <c r="D620" s="20" t="s">
        <v>2856</v>
      </c>
      <c r="E620" s="20">
        <v>1.0</v>
      </c>
    </row>
    <row r="621">
      <c r="A621" s="196"/>
      <c r="B621" s="197" t="str">
        <f>IFERROR(__xludf.DUMMYFUNCTION("""COMPUTED_VALUE"""),"Darkness")</f>
        <v>Darkness</v>
      </c>
      <c r="C621" s="197">
        <f t="shared" si="1"/>
        <v>1</v>
      </c>
      <c r="D621" s="20" t="s">
        <v>2857</v>
      </c>
      <c r="E621" s="20">
        <v>1.0</v>
      </c>
    </row>
    <row r="622">
      <c r="A622" s="196" t="str">
        <f>IFERROR(__xludf.DUMMYFUNCTION("""COMPUTED_VALUE"""),"Twin")</f>
        <v>Twin</v>
      </c>
      <c r="B622" s="197" t="str">
        <f>IFERROR(__xludf.DUMMYFUNCTION("""COMPUTED_VALUE"""),"Chronicler")</f>
        <v>Chronicler</v>
      </c>
      <c r="C622" s="197">
        <f t="shared" si="1"/>
        <v>1</v>
      </c>
      <c r="D622" s="20" t="s">
        <v>2858</v>
      </c>
      <c r="E622" s="20">
        <v>1.0</v>
      </c>
    </row>
    <row r="623">
      <c r="A623" s="196" t="str">
        <f>IFERROR(__xludf.DUMMYFUNCTION("""COMPUTED_VALUE"""),"Thundertail")</f>
        <v>Thundertail</v>
      </c>
      <c r="B623" s="197" t="str">
        <f>IFERROR(__xludf.DUMMYFUNCTION("""COMPUTED_VALUE"""),"Serenader")</f>
        <v>Serenader</v>
      </c>
      <c r="C623" s="197">
        <f t="shared" si="1"/>
        <v>1</v>
      </c>
      <c r="D623" s="20" t="s">
        <v>2859</v>
      </c>
      <c r="E623" s="20">
        <v>1.0</v>
      </c>
    </row>
    <row r="624">
      <c r="A624" s="196"/>
      <c r="B624" s="197" t="str">
        <f>IFERROR(__xludf.DUMMYFUNCTION("""COMPUTED_VALUE"""),"Foul")</f>
        <v>Foul</v>
      </c>
      <c r="C624" s="197">
        <f t="shared" si="1"/>
        <v>1</v>
      </c>
      <c r="D624" s="20" t="s">
        <v>2860</v>
      </c>
      <c r="E624" s="20">
        <v>1.0</v>
      </c>
    </row>
    <row r="625">
      <c r="A625" s="196"/>
      <c r="B625" s="197" t="str">
        <f>IFERROR(__xludf.DUMMYFUNCTION("""COMPUTED_VALUE"""),"Corruptor")</f>
        <v>Corruptor</v>
      </c>
      <c r="C625" s="197">
        <f t="shared" si="1"/>
        <v>1</v>
      </c>
      <c r="D625" s="20" t="s">
        <v>2861</v>
      </c>
      <c r="E625" s="20">
        <v>1.0</v>
      </c>
    </row>
    <row r="626">
      <c r="A626" s="196"/>
      <c r="B626" s="197" t="str">
        <f>IFERROR(__xludf.DUMMYFUNCTION("""COMPUTED_VALUE"""),"Ghoulflesh")</f>
        <v>Ghoulflesh</v>
      </c>
      <c r="C626" s="197">
        <f t="shared" si="1"/>
        <v>1</v>
      </c>
      <c r="D626" s="20" t="s">
        <v>2862</v>
      </c>
      <c r="E626" s="20">
        <v>1.0</v>
      </c>
    </row>
    <row r="627">
      <c r="A627" s="196" t="str">
        <f>IFERROR(__xludf.DUMMYFUNCTION("""COMPUTED_VALUE"""),"Vengeful")</f>
        <v>Vengeful</v>
      </c>
      <c r="B627" s="197" t="str">
        <f>IFERROR(__xludf.DUMMYFUNCTION("""COMPUTED_VALUE"""),"Devourer")</f>
        <v>Devourer</v>
      </c>
      <c r="C627" s="197">
        <f t="shared" si="1"/>
        <v>1</v>
      </c>
      <c r="D627" s="20" t="s">
        <v>2863</v>
      </c>
      <c r="E627" s="20">
        <v>1.0</v>
      </c>
    </row>
    <row r="628">
      <c r="A628" s="196" t="str">
        <f>IFERROR(__xludf.DUMMYFUNCTION("""COMPUTED_VALUE"""),"Gust")</f>
        <v>Gust</v>
      </c>
      <c r="B628" s="197" t="str">
        <f>IFERROR(__xludf.DUMMYFUNCTION("""COMPUTED_VALUE"""),"Grinning")</f>
        <v>Grinning</v>
      </c>
      <c r="C628" s="197">
        <f t="shared" si="1"/>
        <v>1</v>
      </c>
      <c r="D628" s="20" t="s">
        <v>2864</v>
      </c>
      <c r="E628" s="20">
        <v>1.0</v>
      </c>
    </row>
    <row r="629">
      <c r="A629" s="196"/>
      <c r="B629" s="197" t="str">
        <f>IFERROR(__xludf.DUMMYFUNCTION("""COMPUTED_VALUE"""),"Amphora")</f>
        <v>Amphora</v>
      </c>
      <c r="C629" s="197">
        <f t="shared" si="1"/>
        <v>1</v>
      </c>
      <c r="D629" s="20" t="s">
        <v>2865</v>
      </c>
      <c r="E629" s="20">
        <v>1.0</v>
      </c>
    </row>
    <row r="630">
      <c r="A630" s="196"/>
      <c r="B630" s="197" t="str">
        <f>IFERROR(__xludf.DUMMYFUNCTION("""COMPUTED_VALUE"""),"Intrusive")</f>
        <v>Intrusive</v>
      </c>
      <c r="C630" s="197">
        <f t="shared" si="1"/>
        <v>1</v>
      </c>
      <c r="D630" s="20" t="s">
        <v>2866</v>
      </c>
      <c r="E630" s="20">
        <v>1.0</v>
      </c>
    </row>
    <row r="631">
      <c r="A631" s="196"/>
      <c r="B631" s="197" t="str">
        <f>IFERROR(__xludf.DUMMYFUNCTION("""COMPUTED_VALUE"""),"Advisor")</f>
        <v>Advisor</v>
      </c>
      <c r="C631" s="197">
        <f t="shared" si="1"/>
        <v>1</v>
      </c>
      <c r="D631" s="20" t="s">
        <v>2867</v>
      </c>
      <c r="E631" s="20">
        <v>1.0</v>
      </c>
    </row>
    <row r="632">
      <c r="A632" s="196" t="str">
        <f>IFERROR(__xludf.DUMMYFUNCTION("""COMPUTED_VALUE"""),"Runecursed")</f>
        <v>Runecursed</v>
      </c>
      <c r="B632" s="197" t="str">
        <f>IFERROR(__xludf.DUMMYFUNCTION("""COMPUTED_VALUE"""),"Heaven")</f>
        <v>Heaven</v>
      </c>
      <c r="C632" s="197">
        <f t="shared" si="1"/>
        <v>1</v>
      </c>
      <c r="D632" s="20" t="s">
        <v>2868</v>
      </c>
      <c r="E632" s="20">
        <v>1.0</v>
      </c>
    </row>
    <row r="633">
      <c r="A633" s="196" t="str">
        <f>IFERROR(__xludf.DUMMYFUNCTION("""COMPUTED_VALUE"""),"Wyvern")</f>
        <v>Wyvern</v>
      </c>
      <c r="B633" s="197" t="str">
        <f>IFERROR(__xludf.DUMMYFUNCTION("""COMPUTED_VALUE"""),"Pestilence")</f>
        <v>Pestilence</v>
      </c>
      <c r="C633" s="197">
        <f t="shared" si="1"/>
        <v>1</v>
      </c>
      <c r="D633" s="20" t="s">
        <v>2869</v>
      </c>
      <c r="E633" s="20">
        <v>1.0</v>
      </c>
    </row>
    <row r="634">
      <c r="A634" s="196"/>
      <c r="B634" s="197" t="str">
        <f>IFERROR(__xludf.DUMMYFUNCTION("""COMPUTED_VALUE"""),"Haze")</f>
        <v>Haze</v>
      </c>
      <c r="C634" s="197">
        <f t="shared" si="1"/>
        <v>1</v>
      </c>
      <c r="D634" s="20" t="s">
        <v>2870</v>
      </c>
      <c r="E634" s="20">
        <v>1.0</v>
      </c>
    </row>
    <row r="635">
      <c r="A635" s="196"/>
      <c r="B635" s="197" t="str">
        <f>IFERROR(__xludf.DUMMYFUNCTION("""COMPUTED_VALUE"""),"Lamp")</f>
        <v>Lamp</v>
      </c>
      <c r="C635" s="197">
        <f t="shared" si="1"/>
        <v>1</v>
      </c>
      <c r="D635" s="20" t="s">
        <v>2871</v>
      </c>
      <c r="E635" s="20">
        <v>1.0</v>
      </c>
    </row>
    <row r="636">
      <c r="A636" s="196"/>
      <c r="B636" s="197" t="str">
        <f>IFERROR(__xludf.DUMMYFUNCTION("""COMPUTED_VALUE"""),"Oblivion")</f>
        <v>Oblivion</v>
      </c>
      <c r="C636" s="197">
        <f t="shared" si="1"/>
        <v>1</v>
      </c>
      <c r="D636" s="20" t="s">
        <v>2872</v>
      </c>
      <c r="E636" s="20">
        <v>1.0</v>
      </c>
    </row>
    <row r="637">
      <c r="A637" s="196" t="str">
        <f>IFERROR(__xludf.DUMMYFUNCTION("""COMPUTED_VALUE"""),"Skulloath")</f>
        <v>Skulloath</v>
      </c>
      <c r="B637" s="197" t="str">
        <f>IFERROR(__xludf.DUMMYFUNCTION("""COMPUTED_VALUE"""),"Rejuvenating")</f>
        <v>Rejuvenating</v>
      </c>
      <c r="C637" s="197">
        <f t="shared" si="1"/>
        <v>1</v>
      </c>
      <c r="D637" s="20" t="s">
        <v>2873</v>
      </c>
      <c r="E637" s="20">
        <v>1.0</v>
      </c>
    </row>
    <row r="638">
      <c r="A638" s="196" t="str">
        <f>IFERROR(__xludf.DUMMYFUNCTION("""COMPUTED_VALUE"""),"Lootclaimer")</f>
        <v>Lootclaimer</v>
      </c>
      <c r="B638" s="197" t="str">
        <f>IFERROR(__xludf.DUMMYFUNCTION("""COMPUTED_VALUE"""),"Blinking")</f>
        <v>Blinking</v>
      </c>
      <c r="C638" s="197">
        <f t="shared" si="1"/>
        <v>1</v>
      </c>
      <c r="D638" s="20" t="s">
        <v>2874</v>
      </c>
      <c r="E638" s="20">
        <v>1.0</v>
      </c>
    </row>
    <row r="639">
      <c r="A639" s="196"/>
      <c r="B639" s="197" t="str">
        <f>IFERROR(__xludf.DUMMYFUNCTION("""COMPUTED_VALUE"""),"Onyxion")</f>
        <v>Onyxion</v>
      </c>
      <c r="C639" s="197">
        <f t="shared" si="1"/>
        <v>1</v>
      </c>
      <c r="D639" s="20" t="s">
        <v>2875</v>
      </c>
      <c r="E639" s="20">
        <v>1.0</v>
      </c>
    </row>
    <row r="640">
      <c r="A640" s="196"/>
      <c r="B640" s="197" t="str">
        <f>IFERROR(__xludf.DUMMYFUNCTION("""COMPUTED_VALUE"""),"Thalis")</f>
        <v>Thalis</v>
      </c>
      <c r="C640" s="197">
        <f t="shared" si="1"/>
        <v>1</v>
      </c>
      <c r="D640" s="20" t="s">
        <v>2876</v>
      </c>
      <c r="E640" s="20">
        <v>1.0</v>
      </c>
    </row>
    <row r="641">
      <c r="A641" s="196"/>
      <c r="B641" s="197" t="str">
        <f>IFERROR(__xludf.DUMMYFUNCTION("""COMPUTED_VALUE"""),"Fuming")</f>
        <v>Fuming</v>
      </c>
      <c r="C641" s="197">
        <f t="shared" si="1"/>
        <v>1</v>
      </c>
      <c r="D641" s="20" t="s">
        <v>2044</v>
      </c>
      <c r="E641" s="20">
        <v>1.0</v>
      </c>
    </row>
    <row r="642">
      <c r="A642" s="196" t="str">
        <f>IFERROR(__xludf.DUMMYFUNCTION("""COMPUTED_VALUE"""),"Spell")</f>
        <v>Spell</v>
      </c>
      <c r="B642" s="197" t="str">
        <f>IFERROR(__xludf.DUMMYFUNCTION("""COMPUTED_VALUE"""),"Fukuisaur")</f>
        <v>Fukuisaur</v>
      </c>
      <c r="C642" s="197">
        <f t="shared" si="1"/>
        <v>1</v>
      </c>
      <c r="D642" s="20" t="s">
        <v>2877</v>
      </c>
      <c r="E642" s="20">
        <v>1.0</v>
      </c>
    </row>
    <row r="643">
      <c r="A643" s="196" t="str">
        <f>IFERROR(__xludf.DUMMYFUNCTION("""COMPUTED_VALUE"""),"Cat")</f>
        <v>Cat</v>
      </c>
      <c r="B643" s="197" t="str">
        <f>IFERROR(__xludf.DUMMYFUNCTION("""COMPUTED_VALUE"""),"Spreading")</f>
        <v>Spreading</v>
      </c>
      <c r="C643" s="197">
        <f t="shared" si="1"/>
        <v>1</v>
      </c>
      <c r="D643" s="20" t="s">
        <v>2878</v>
      </c>
      <c r="E643" s="20">
        <v>1.0</v>
      </c>
    </row>
    <row r="644">
      <c r="A644" s="196"/>
      <c r="B644" s="197" t="str">
        <f>IFERROR(__xludf.DUMMYFUNCTION("""COMPUTED_VALUE"""),"Spore")</f>
        <v>Spore</v>
      </c>
      <c r="C644" s="197">
        <f t="shared" si="1"/>
        <v>1</v>
      </c>
      <c r="D644" s="20" t="s">
        <v>2879</v>
      </c>
      <c r="E644" s="20">
        <v>1.0</v>
      </c>
    </row>
    <row r="645">
      <c r="A645" s="196"/>
      <c r="B645" s="197" t="str">
        <f>IFERROR(__xludf.DUMMYFUNCTION("""COMPUTED_VALUE"""),"Nightmare")</f>
        <v>Nightmare</v>
      </c>
      <c r="C645" s="197">
        <f t="shared" si="1"/>
        <v>2</v>
      </c>
      <c r="D645" s="20" t="s">
        <v>2880</v>
      </c>
      <c r="E645" s="20">
        <v>1.0</v>
      </c>
    </row>
    <row r="646">
      <c r="A646" s="196"/>
      <c r="B646" s="197" t="str">
        <f>IFERROR(__xludf.DUMMYFUNCTION("""COMPUTED_VALUE"""),"Chapel")</f>
        <v>Chapel</v>
      </c>
      <c r="C646" s="197">
        <f t="shared" si="1"/>
        <v>1</v>
      </c>
      <c r="D646" s="20" t="s">
        <v>2881</v>
      </c>
      <c r="E646" s="20">
        <v>1.0</v>
      </c>
    </row>
    <row r="647">
      <c r="A647" s="196" t="str">
        <f>IFERROR(__xludf.DUMMYFUNCTION("""COMPUTED_VALUE"""),"Vermillion")</f>
        <v>Vermillion</v>
      </c>
      <c r="B647" s="197" t="str">
        <f>IFERROR(__xludf.DUMMYFUNCTION("""COMPUTED_VALUE"""),"Watcher")</f>
        <v>Watcher</v>
      </c>
      <c r="C647" s="197">
        <f t="shared" si="1"/>
        <v>1</v>
      </c>
      <c r="D647" s="20" t="s">
        <v>2882</v>
      </c>
      <c r="E647" s="20">
        <v>1.0</v>
      </c>
    </row>
    <row r="648">
      <c r="A648" s="196" t="str">
        <f>IFERROR(__xludf.DUMMYFUNCTION("""COMPUTED_VALUE"""),"Firebird")</f>
        <v>Firebird</v>
      </c>
      <c r="B648" s="197" t="str">
        <f>IFERROR(__xludf.DUMMYFUNCTION("""COMPUTED_VALUE"""),"Luring")</f>
        <v>Luring</v>
      </c>
      <c r="C648" s="197">
        <f t="shared" si="1"/>
        <v>1</v>
      </c>
      <c r="D648" s="20" t="s">
        <v>2883</v>
      </c>
      <c r="E648" s="20">
        <v>1.0</v>
      </c>
    </row>
    <row r="649">
      <c r="A649" s="196"/>
      <c r="B649" s="197" t="str">
        <f>IFERROR(__xludf.DUMMYFUNCTION("""COMPUTED_VALUE"""),"Flametooth")</f>
        <v>Flametooth</v>
      </c>
      <c r="C649" s="197">
        <f t="shared" si="1"/>
        <v>1</v>
      </c>
      <c r="D649" s="20" t="s">
        <v>2884</v>
      </c>
      <c r="E649" s="20">
        <v>1.0</v>
      </c>
    </row>
    <row r="650">
      <c r="A650" s="196"/>
      <c r="B650" s="197" t="str">
        <f>IFERROR(__xludf.DUMMYFUNCTION("""COMPUTED_VALUE"""),"Shardsplosion")</f>
        <v>Shardsplosion</v>
      </c>
      <c r="C650" s="197">
        <f t="shared" si="1"/>
        <v>1</v>
      </c>
      <c r="D650" s="20" t="s">
        <v>2885</v>
      </c>
      <c r="E650" s="20">
        <v>1.0</v>
      </c>
    </row>
    <row r="651">
      <c r="A651" s="196"/>
      <c r="B651" s="197" t="str">
        <f>IFERROR(__xludf.DUMMYFUNCTION("""COMPUTED_VALUE"""),"Dragoncaller")</f>
        <v>Dragoncaller</v>
      </c>
      <c r="C651" s="197">
        <f t="shared" si="1"/>
        <v>1</v>
      </c>
      <c r="D651" s="20" t="s">
        <v>2886</v>
      </c>
      <c r="E651" s="20">
        <v>1.0</v>
      </c>
    </row>
    <row r="652">
      <c r="A652" s="196" t="str">
        <f>IFERROR(__xludf.DUMMYFUNCTION("""COMPUTED_VALUE"""),"Oasisdweller")</f>
        <v>Oasisdweller</v>
      </c>
      <c r="B652" s="197" t="str">
        <f>IFERROR(__xludf.DUMMYFUNCTION("""COMPUTED_VALUE"""),"Stalagmite")</f>
        <v>Stalagmite</v>
      </c>
      <c r="C652" s="197">
        <f t="shared" si="1"/>
        <v>1</v>
      </c>
      <c r="D652" s="20" t="s">
        <v>2887</v>
      </c>
      <c r="E652" s="20">
        <v>1.0</v>
      </c>
    </row>
    <row r="653">
      <c r="A653" s="196"/>
      <c r="B653" s="197" t="str">
        <f>IFERROR(__xludf.DUMMYFUNCTION("""COMPUTED_VALUE"""),"Mirage")</f>
        <v>Mirage</v>
      </c>
      <c r="C653" s="197">
        <f t="shared" si="1"/>
        <v>1</v>
      </c>
      <c r="D653" s="20" t="s">
        <v>2888</v>
      </c>
      <c r="E653" s="20">
        <v>1.0</v>
      </c>
    </row>
    <row r="654">
      <c r="A654" s="196"/>
      <c r="B654" s="197" t="str">
        <f>IFERROR(__xludf.DUMMYFUNCTION("""COMPUTED_VALUE"""),"Heavenbound")</f>
        <v>Heavenbound</v>
      </c>
      <c r="C654" s="197">
        <f t="shared" si="1"/>
        <v>1</v>
      </c>
      <c r="D654" s="20" t="s">
        <v>2075</v>
      </c>
      <c r="E654" s="20">
        <v>1.0</v>
      </c>
    </row>
    <row r="655">
      <c r="A655" s="196"/>
      <c r="B655" s="197" t="str">
        <f>IFERROR(__xludf.DUMMYFUNCTION("""COMPUTED_VALUE"""),"Heka-Mage")</f>
        <v>Heka-Mage</v>
      </c>
      <c r="C655" s="197">
        <f t="shared" si="1"/>
        <v>1</v>
      </c>
      <c r="D655" s="20" t="s">
        <v>2077</v>
      </c>
      <c r="E655" s="20">
        <v>1.0</v>
      </c>
    </row>
    <row r="656">
      <c r="A656" s="196"/>
      <c r="B656" s="197" t="str">
        <f>IFERROR(__xludf.DUMMYFUNCTION("""COMPUTED_VALUE"""),"Twilight")</f>
        <v>Twilight</v>
      </c>
      <c r="C656" s="197">
        <f t="shared" si="1"/>
        <v>2</v>
      </c>
      <c r="D656" s="20" t="s">
        <v>2889</v>
      </c>
      <c r="E656" s="20">
        <v>1.0</v>
      </c>
    </row>
    <row r="657">
      <c r="A657" s="196" t="str">
        <f>IFERROR(__xludf.DUMMYFUNCTION("""COMPUTED_VALUE"""),"Portalrunner")</f>
        <v>Portalrunner</v>
      </c>
      <c r="B657" s="197" t="str">
        <f>IFERROR(__xludf.DUMMYFUNCTION("""COMPUTED_VALUE"""),"Sorceress")</f>
        <v>Sorceress</v>
      </c>
      <c r="C657" s="197">
        <f t="shared" si="1"/>
        <v>1</v>
      </c>
      <c r="D657" s="20" t="s">
        <v>2890</v>
      </c>
      <c r="E657" s="20">
        <v>1.0</v>
      </c>
    </row>
    <row r="658">
      <c r="A658" s="196"/>
      <c r="B658" s="197" t="str">
        <f>IFERROR(__xludf.DUMMYFUNCTION("""COMPUTED_VALUE"""),"Twinfang")</f>
        <v>Twinfang</v>
      </c>
      <c r="C658" s="197">
        <f t="shared" si="1"/>
        <v>1</v>
      </c>
      <c r="D658" s="20" t="s">
        <v>2891</v>
      </c>
      <c r="E658" s="20">
        <v>1.0</v>
      </c>
    </row>
    <row r="659">
      <c r="A659" s="196"/>
      <c r="B659" s="197" t="str">
        <f>IFERROR(__xludf.DUMMYFUNCTION("""COMPUTED_VALUE"""),"Huntcaller")</f>
        <v>Huntcaller</v>
      </c>
      <c r="C659" s="197">
        <f t="shared" si="1"/>
        <v>1</v>
      </c>
      <c r="D659" s="20" t="s">
        <v>2892</v>
      </c>
      <c r="E659" s="20">
        <v>1.0</v>
      </c>
    </row>
    <row r="660">
      <c r="A660" s="196"/>
      <c r="B660" s="197" t="str">
        <f>IFERROR(__xludf.DUMMYFUNCTION("""COMPUTED_VALUE"""),"Vanguard")</f>
        <v>Vanguard</v>
      </c>
      <c r="C660" s="197">
        <f t="shared" si="1"/>
        <v>1</v>
      </c>
      <c r="D660" s="20" t="s">
        <v>2893</v>
      </c>
      <c r="E660" s="20">
        <v>1.0</v>
      </c>
    </row>
    <row r="661">
      <c r="A661" s="196"/>
      <c r="B661" s="197" t="str">
        <f>IFERROR(__xludf.DUMMYFUNCTION("""COMPUTED_VALUE"""),"#VALUE!")</f>
        <v>#VALUE!</v>
      </c>
      <c r="C661" s="197">
        <f t="shared" si="1"/>
        <v>1</v>
      </c>
      <c r="D661" s="20" t="s">
        <v>2894</v>
      </c>
      <c r="E661" s="20">
        <v>1.0</v>
      </c>
    </row>
    <row r="662">
      <c r="A662" s="196" t="str">
        <f>IFERROR(__xludf.DUMMYFUNCTION("""COMPUTED_VALUE"""),"Cinderguard")</f>
        <v>Cinderguard</v>
      </c>
      <c r="B662" s="197" t="str">
        <f>IFERROR(__xludf.DUMMYFUNCTION("""COMPUTED_VALUE"""),"Behemoth")</f>
        <v>Behemoth</v>
      </c>
      <c r="C662" s="197">
        <f t="shared" si="1"/>
        <v>2</v>
      </c>
      <c r="D662" s="20" t="s">
        <v>2895</v>
      </c>
      <c r="E662" s="20">
        <v>1.0</v>
      </c>
    </row>
    <row r="663">
      <c r="A663" s="196" t="str">
        <f>IFERROR(__xludf.DUMMYFUNCTION("""COMPUTED_VALUE"""),"Irregulars")</f>
        <v>Irregulars</v>
      </c>
      <c r="B663" s="197" t="str">
        <f>IFERROR(__xludf.DUMMYFUNCTION("""COMPUTED_VALUE"""),"Guider")</f>
        <v>Guider</v>
      </c>
      <c r="C663" s="197">
        <f t="shared" si="1"/>
        <v>1</v>
      </c>
      <c r="D663" s="20" t="s">
        <v>2896</v>
      </c>
      <c r="E663" s="20">
        <v>1.0</v>
      </c>
    </row>
    <row r="664">
      <c r="A664" s="196"/>
      <c r="B664" s="197" t="str">
        <f>IFERROR(__xludf.DUMMYFUNCTION("""COMPUTED_VALUE"""),"Yesterknight")</f>
        <v>Yesterknight</v>
      </c>
      <c r="C664" s="197">
        <f t="shared" si="1"/>
        <v>1</v>
      </c>
      <c r="D664" s="20" t="e">
        <v>#VALUE!</v>
      </c>
      <c r="E664" s="20">
        <v>1.0</v>
      </c>
    </row>
    <row r="665">
      <c r="A665" s="196"/>
      <c r="B665" s="197" t="str">
        <f>IFERROR(__xludf.DUMMYFUNCTION("""COMPUTED_VALUE"""),"Alchemist")</f>
        <v>Alchemist</v>
      </c>
      <c r="C665" s="197">
        <f t="shared" si="1"/>
        <v>1</v>
      </c>
      <c r="D665" s="20" t="s">
        <v>2897</v>
      </c>
      <c r="E665" s="20">
        <v>1.0</v>
      </c>
    </row>
    <row r="666">
      <c r="A666" s="196"/>
      <c r="B666" s="197" t="str">
        <f>IFERROR(__xludf.DUMMYFUNCTION("""COMPUTED_VALUE"""),"Mirrorkin")</f>
        <v>Mirrorkin</v>
      </c>
      <c r="C666" s="197">
        <f t="shared" si="1"/>
        <v>1</v>
      </c>
      <c r="D666" s="20" t="s">
        <v>2898</v>
      </c>
      <c r="E666" s="20">
        <v>1.0</v>
      </c>
    </row>
    <row r="667">
      <c r="A667" s="196" t="str">
        <f>IFERROR(__xludf.DUMMYFUNCTION("""COMPUTED_VALUE"""),"Steelclaw")</f>
        <v>Steelclaw</v>
      </c>
      <c r="B667" s="197" t="str">
        <f>IFERROR(__xludf.DUMMYFUNCTION("""COMPUTED_VALUE"""),"Ticking")</f>
        <v>Ticking</v>
      </c>
      <c r="C667" s="197">
        <f t="shared" si="1"/>
        <v>1</v>
      </c>
      <c r="D667" s="20" t="s">
        <v>2899</v>
      </c>
      <c r="E667" s="20">
        <v>1.0</v>
      </c>
    </row>
    <row r="668">
      <c r="A668" s="196" t="str">
        <f>IFERROR(__xludf.DUMMYFUNCTION("""COMPUTED_VALUE"""),"Veterans")</f>
        <v>Veterans</v>
      </c>
      <c r="B668" s="197" t="str">
        <f>IFERROR(__xludf.DUMMYFUNCTION("""COMPUTED_VALUE"""),"Tick")</f>
        <v>Tick</v>
      </c>
      <c r="C668" s="197">
        <f t="shared" si="1"/>
        <v>1</v>
      </c>
      <c r="D668" s="20" t="s">
        <v>2102</v>
      </c>
      <c r="E668" s="20">
        <v>1.0</v>
      </c>
    </row>
    <row r="669">
      <c r="A669" s="196"/>
      <c r="B669" s="197" t="str">
        <f>IFERROR(__xludf.DUMMYFUNCTION("""COMPUTED_VALUE"""),"Sucker")</f>
        <v>Sucker</v>
      </c>
      <c r="C669" s="197">
        <f t="shared" si="1"/>
        <v>5</v>
      </c>
      <c r="D669" s="20" t="s">
        <v>2900</v>
      </c>
      <c r="E669" s="20">
        <v>1.0</v>
      </c>
    </row>
    <row r="670">
      <c r="A670" s="196"/>
      <c r="B670" s="197" t="str">
        <f>IFERROR(__xludf.DUMMYFUNCTION("""COMPUTED_VALUE"""),"Conduit")</f>
        <v>Conduit</v>
      </c>
      <c r="C670" s="197">
        <f t="shared" si="1"/>
        <v>1</v>
      </c>
      <c r="D670" s="20" t="s">
        <v>2901</v>
      </c>
      <c r="E670" s="20">
        <v>1.0</v>
      </c>
    </row>
    <row r="671">
      <c r="A671" s="196"/>
      <c r="B671" s="197" t="str">
        <f>IFERROR(__xludf.DUMMYFUNCTION("""COMPUTED_VALUE"""),"Scale")</f>
        <v>Scale</v>
      </c>
      <c r="C671" s="197">
        <f t="shared" si="1"/>
        <v>1</v>
      </c>
      <c r="D671" s="20" t="s">
        <v>2902</v>
      </c>
      <c r="E671" s="20">
        <v>1.0</v>
      </c>
    </row>
    <row r="672">
      <c r="A672" s="196" t="str">
        <f>IFERROR(__xludf.DUMMYFUNCTION("""COMPUTED_VALUE"""),"Crazed")</f>
        <v>Crazed</v>
      </c>
      <c r="B672" s="197" t="str">
        <f>IFERROR(__xludf.DUMMYFUNCTION("""COMPUTED_VALUE"""),"Nethersilk")</f>
        <v>Nethersilk</v>
      </c>
      <c r="C672" s="197">
        <f t="shared" si="1"/>
        <v>1</v>
      </c>
      <c r="D672" s="20" t="s">
        <v>2903</v>
      </c>
      <c r="E672" s="20">
        <v>1.0</v>
      </c>
    </row>
    <row r="673">
      <c r="A673" s="196" t="str">
        <f>IFERROR(__xludf.DUMMYFUNCTION("""COMPUTED_VALUE"""),"Hermit")</f>
        <v>Hermit</v>
      </c>
      <c r="B673" s="197" t="str">
        <f>IFERROR(__xludf.DUMMYFUNCTION("""COMPUTED_VALUE"""),"Moth")</f>
        <v>Moth</v>
      </c>
      <c r="C673" s="197">
        <f t="shared" si="1"/>
        <v>1</v>
      </c>
      <c r="D673" s="20" t="s">
        <v>2904</v>
      </c>
      <c r="E673" s="20">
        <v>1.0</v>
      </c>
    </row>
    <row r="674">
      <c r="A674" s="196"/>
      <c r="B674" s="197" t="str">
        <f>IFERROR(__xludf.DUMMYFUNCTION("""COMPUTED_VALUE"""),"Penguin")</f>
        <v>Penguin</v>
      </c>
      <c r="C674" s="197">
        <f t="shared" si="1"/>
        <v>1</v>
      </c>
      <c r="D674" s="20" t="s">
        <v>2905</v>
      </c>
      <c r="E674" s="20">
        <v>1.0</v>
      </c>
    </row>
    <row r="675">
      <c r="A675" s="196"/>
      <c r="B675" s="197" t="str">
        <f>IFERROR(__xludf.DUMMYFUNCTION("""COMPUTED_VALUE"""),"Possessed")</f>
        <v>Possessed</v>
      </c>
      <c r="C675" s="197">
        <f t="shared" si="1"/>
        <v>1</v>
      </c>
      <c r="D675" s="20" t="s">
        <v>2906</v>
      </c>
      <c r="E675" s="20">
        <v>1.0</v>
      </c>
    </row>
    <row r="676">
      <c r="A676" s="196"/>
      <c r="B676" s="197" t="str">
        <f>IFERROR(__xludf.DUMMYFUNCTION("""COMPUTED_VALUE"""),"Vermin")</f>
        <v>Vermin</v>
      </c>
      <c r="C676" s="197">
        <f t="shared" si="1"/>
        <v>1</v>
      </c>
      <c r="D676" s="20" t="s">
        <v>2907</v>
      </c>
      <c r="E676" s="20">
        <v>1.0</v>
      </c>
    </row>
    <row r="677">
      <c r="A677" s="196" t="str">
        <f>IFERROR(__xludf.DUMMYFUNCTION("""COMPUTED_VALUE"""),"Galeweaver")</f>
        <v>Galeweaver</v>
      </c>
      <c r="B677" s="197" t="str">
        <f>IFERROR(__xludf.DUMMYFUNCTION("""COMPUTED_VALUE"""),"Brood")</f>
        <v>Brood</v>
      </c>
      <c r="C677" s="197">
        <f t="shared" si="1"/>
        <v>1</v>
      </c>
      <c r="D677" s="20" t="s">
        <v>2908</v>
      </c>
      <c r="E677" s="20">
        <v>1.0</v>
      </c>
    </row>
    <row r="678">
      <c r="A678" s="196"/>
      <c r="B678" s="197" t="str">
        <f>IFERROR(__xludf.DUMMYFUNCTION("""COMPUTED_VALUE"""),"Shadowsting")</f>
        <v>Shadowsting</v>
      </c>
      <c r="C678" s="197">
        <f t="shared" si="1"/>
        <v>1</v>
      </c>
      <c r="D678" s="20" t="s">
        <v>2909</v>
      </c>
      <c r="E678" s="20">
        <v>1.0</v>
      </c>
    </row>
    <row r="679">
      <c r="A679" s="196"/>
      <c r="B679" s="197" t="str">
        <f>IFERROR(__xludf.DUMMYFUNCTION("""COMPUTED_VALUE"""),"Shiverskull")</f>
        <v>Shiverskull</v>
      </c>
      <c r="C679" s="197">
        <f t="shared" si="1"/>
        <v>1</v>
      </c>
      <c r="D679" s="20" t="s">
        <v>2910</v>
      </c>
      <c r="E679" s="20">
        <v>1.0</v>
      </c>
    </row>
    <row r="680">
      <c r="A680" s="196"/>
      <c r="B680" s="197" t="str">
        <f>IFERROR(__xludf.DUMMYFUNCTION("""COMPUTED_VALUE"""),"Skull")</f>
        <v>Skull</v>
      </c>
      <c r="C680" s="197">
        <f t="shared" si="1"/>
        <v>1</v>
      </c>
      <c r="D680" s="20" t="s">
        <v>2138</v>
      </c>
      <c r="E680" s="20">
        <v>1.0</v>
      </c>
    </row>
    <row r="681">
      <c r="A681" s="196"/>
      <c r="B681" s="197" t="str">
        <f>IFERROR(__xludf.DUMMYFUNCTION("""COMPUTED_VALUE"""),"Crow")</f>
        <v>Crow</v>
      </c>
      <c r="C681" s="197">
        <f t="shared" si="1"/>
        <v>1</v>
      </c>
      <c r="D681" s="20" t="s">
        <v>2911</v>
      </c>
      <c r="E681" s="20">
        <v>1.0</v>
      </c>
    </row>
    <row r="682">
      <c r="A682" s="196" t="str">
        <f>IFERROR(__xludf.DUMMYFUNCTION("""COMPUTED_VALUE"""),"Lurking")</f>
        <v>Lurking</v>
      </c>
      <c r="B682" s="197" t="str">
        <f>IFERROR(__xludf.DUMMYFUNCTION("""COMPUTED_VALUE"""),"Symbiotic")</f>
        <v>Symbiotic</v>
      </c>
      <c r="C682" s="197">
        <f t="shared" si="1"/>
        <v>1</v>
      </c>
      <c r="D682" s="20" t="s">
        <v>2912</v>
      </c>
      <c r="E682" s="20">
        <v>1.0</v>
      </c>
    </row>
    <row r="683">
      <c r="A683" s="196" t="str">
        <f>IFERROR(__xludf.DUMMYFUNCTION("""COMPUTED_VALUE"""),"Canopystomper")</f>
        <v>Canopystomper</v>
      </c>
      <c r="B683" s="197" t="str">
        <f>IFERROR(__xludf.DUMMYFUNCTION("""COMPUTED_VALUE"""),"Crawler")</f>
        <v>Crawler</v>
      </c>
      <c r="C683" s="197">
        <f t="shared" si="1"/>
        <v>1</v>
      </c>
      <c r="D683" s="20" t="s">
        <v>2913</v>
      </c>
      <c r="E683" s="20">
        <v>1.0</v>
      </c>
    </row>
    <row r="684">
      <c r="A684" s="196"/>
      <c r="B684" s="197" t="str">
        <f>IFERROR(__xludf.DUMMYFUNCTION("""COMPUTED_VALUE"""),"Nightreaper")</f>
        <v>Nightreaper</v>
      </c>
      <c r="C684" s="197">
        <f t="shared" si="1"/>
        <v>1</v>
      </c>
      <c r="D684" s="20" t="s">
        <v>2914</v>
      </c>
      <c r="E684" s="20">
        <v>1.0</v>
      </c>
    </row>
    <row r="685">
      <c r="A685" s="196"/>
      <c r="B685" s="197" t="str">
        <f>IFERROR(__xludf.DUMMYFUNCTION("""COMPUTED_VALUE"""),"King")</f>
        <v>King</v>
      </c>
      <c r="C685" s="197">
        <f t="shared" si="1"/>
        <v>1</v>
      </c>
      <c r="D685" s="20" t="s">
        <v>2149</v>
      </c>
      <c r="E685" s="20">
        <v>1.0</v>
      </c>
    </row>
    <row r="686">
      <c r="A686" s="196"/>
      <c r="B686" s="197" t="str">
        <f>IFERROR(__xludf.DUMMYFUNCTION("""COMPUTED_VALUE"""),"Gorgon")</f>
        <v>Gorgon</v>
      </c>
      <c r="C686" s="197">
        <f t="shared" si="1"/>
        <v>1</v>
      </c>
      <c r="D686" s="20" t="s">
        <v>2915</v>
      </c>
      <c r="E686" s="20">
        <v>1.0</v>
      </c>
    </row>
    <row r="687">
      <c r="A687" s="196" t="str">
        <f>IFERROR(__xludf.DUMMYFUNCTION("""COMPUTED_VALUE"""),"Resourceful")</f>
        <v>Resourceful</v>
      </c>
      <c r="B687" s="197" t="str">
        <f>IFERROR(__xludf.DUMMYFUNCTION("""COMPUTED_VALUE"""),"Serpentress")</f>
        <v>Serpentress</v>
      </c>
      <c r="C687" s="197">
        <f t="shared" si="1"/>
        <v>1</v>
      </c>
      <c r="D687" s="20" t="s">
        <v>2916</v>
      </c>
      <c r="E687" s="20">
        <v>1.0</v>
      </c>
    </row>
    <row r="688">
      <c r="A688" s="196" t="str">
        <f>IFERROR(__xludf.DUMMYFUNCTION("""COMPUTED_VALUE"""),"Poacher")</f>
        <v>Poacher</v>
      </c>
      <c r="B688" s="197" t="str">
        <f>IFERROR(__xludf.DUMMYFUNCTION("""COMPUTED_VALUE"""),"Ill-Tempered")</f>
        <v>Ill-Tempered</v>
      </c>
      <c r="C688" s="197">
        <f t="shared" si="1"/>
        <v>1</v>
      </c>
      <c r="D688" s="20" t="s">
        <v>2917</v>
      </c>
      <c r="E688" s="20">
        <v>1.0</v>
      </c>
    </row>
    <row r="689">
      <c r="A689" s="196"/>
      <c r="B689" s="197" t="str">
        <f>IFERROR(__xludf.DUMMYFUNCTION("""COMPUTED_VALUE"""),"Nightbloom")</f>
        <v>Nightbloom</v>
      </c>
      <c r="C689" s="197">
        <f t="shared" si="1"/>
        <v>1</v>
      </c>
      <c r="D689" s="20" t="s">
        <v>2918</v>
      </c>
      <c r="E689" s="20">
        <v>1.0</v>
      </c>
    </row>
    <row r="690">
      <c r="A690" s="196"/>
      <c r="B690" s="197" t="str">
        <f>IFERROR(__xludf.DUMMYFUNCTION("""COMPUTED_VALUE"""),"Owl")</f>
        <v>Owl</v>
      </c>
      <c r="C690" s="197">
        <f t="shared" si="1"/>
        <v>1</v>
      </c>
      <c r="D690" s="20" t="s">
        <v>2919</v>
      </c>
      <c r="E690" s="20">
        <v>1.0</v>
      </c>
    </row>
    <row r="691">
      <c r="A691" s="196"/>
      <c r="B691" s="197" t="str">
        <f>IFERROR(__xludf.DUMMYFUNCTION("""COMPUTED_VALUE"""),"Shroom")</f>
        <v>Shroom</v>
      </c>
      <c r="C691" s="197">
        <f t="shared" si="1"/>
        <v>1</v>
      </c>
      <c r="D691" s="20" t="s">
        <v>2920</v>
      </c>
      <c r="E691" s="20">
        <v>1.0</v>
      </c>
    </row>
    <row r="692">
      <c r="A692" s="196" t="str">
        <f>IFERROR(__xludf.DUMMYFUNCTION("""COMPUTED_VALUE"""),"Infernoblight")</f>
        <v>Infernoblight</v>
      </c>
      <c r="B692" s="197" t="str">
        <f>IFERROR(__xludf.DUMMYFUNCTION("""COMPUTED_VALUE"""),"Hellblade")</f>
        <v>Hellblade</v>
      </c>
      <c r="C692" s="197">
        <f t="shared" si="1"/>
        <v>1</v>
      </c>
      <c r="D692" s="20" t="s">
        <v>2921</v>
      </c>
      <c r="E692" s="20">
        <v>1.0</v>
      </c>
    </row>
    <row r="693">
      <c r="A693" s="196"/>
      <c r="B693" s="197" t="str">
        <f>IFERROR(__xludf.DUMMYFUNCTION("""COMPUTED_VALUE"""),"Eclipse")</f>
        <v>Eclipse</v>
      </c>
      <c r="C693" s="197">
        <f t="shared" si="1"/>
        <v>1</v>
      </c>
      <c r="D693" s="20" t="s">
        <v>2163</v>
      </c>
      <c r="E693" s="20">
        <v>1.0</v>
      </c>
    </row>
    <row r="694">
      <c r="A694" s="196"/>
      <c r="B694" s="197" t="str">
        <f>IFERROR(__xludf.DUMMYFUNCTION("""COMPUTED_VALUE"""),"Scythe")</f>
        <v>Scythe</v>
      </c>
      <c r="C694" s="197">
        <f t="shared" si="1"/>
        <v>1</v>
      </c>
      <c r="D694" s="20" t="s">
        <v>2922</v>
      </c>
      <c r="E694" s="20">
        <v>1.0</v>
      </c>
    </row>
    <row r="695">
      <c r="A695" s="196"/>
      <c r="B695" s="197" t="str">
        <f>IFERROR(__xludf.DUMMYFUNCTION("""COMPUTED_VALUE"""),"Rotten")</f>
        <v>Rotten</v>
      </c>
      <c r="C695" s="197">
        <f t="shared" si="1"/>
        <v>1</v>
      </c>
      <c r="D695" s="20" t="s">
        <v>2923</v>
      </c>
      <c r="E695" s="20">
        <v>1.0</v>
      </c>
    </row>
    <row r="696">
      <c r="A696" s="196"/>
      <c r="B696" s="197" t="str">
        <f>IFERROR(__xludf.DUMMYFUNCTION("""COMPUTED_VALUE"""),"Stalker")</f>
        <v>Stalker</v>
      </c>
      <c r="C696" s="197">
        <f t="shared" si="1"/>
        <v>1</v>
      </c>
      <c r="D696" s="20" t="s">
        <v>2924</v>
      </c>
      <c r="E696" s="20">
        <v>1.0</v>
      </c>
    </row>
    <row r="697">
      <c r="A697" s="196" t="str">
        <f>IFERROR(__xludf.DUMMYFUNCTION("""COMPUTED_VALUE"""),"The")</f>
        <v>The</v>
      </c>
      <c r="B697" s="197" t="str">
        <f>IFERROR(__xludf.DUMMYFUNCTION("""COMPUTED_VALUE"""),"Wringing")</f>
        <v>Wringing</v>
      </c>
      <c r="C697" s="197">
        <f t="shared" si="1"/>
        <v>1</v>
      </c>
      <c r="D697" s="20" t="s">
        <v>2925</v>
      </c>
      <c r="E697" s="20">
        <v>1.0</v>
      </c>
    </row>
    <row r="698">
      <c r="A698" s="196" t="str">
        <f>IFERROR(__xludf.DUMMYFUNCTION("""COMPUTED_VALUE"""),"Skyshrieker")</f>
        <v>Skyshrieker</v>
      </c>
      <c r="B698" s="197" t="str">
        <f>IFERROR(__xludf.DUMMYFUNCTION("""COMPUTED_VALUE"""),"Clawing")</f>
        <v>Clawing</v>
      </c>
      <c r="C698" s="197">
        <f t="shared" si="1"/>
        <v>1</v>
      </c>
      <c r="D698" s="20" t="s">
        <v>2926</v>
      </c>
      <c r="E698" s="20">
        <v>1.0</v>
      </c>
    </row>
    <row r="699">
      <c r="A699" s="196"/>
      <c r="B699" s="197" t="str">
        <f>IFERROR(__xludf.DUMMYFUNCTION("""COMPUTED_VALUE"""),"Centipede")</f>
        <v>Centipede</v>
      </c>
      <c r="C699" s="197">
        <f t="shared" si="1"/>
        <v>1</v>
      </c>
      <c r="D699" s="20" t="s">
        <v>2927</v>
      </c>
      <c r="E699" s="20">
        <v>1.0</v>
      </c>
    </row>
    <row r="700">
      <c r="A700" s="196"/>
      <c r="B700" s="197" t="str">
        <f>IFERROR(__xludf.DUMMYFUNCTION("""COMPUTED_VALUE"""),"Voidsinger")</f>
        <v>Voidsinger</v>
      </c>
      <c r="C700" s="197">
        <f t="shared" si="1"/>
        <v>1</v>
      </c>
      <c r="D700" s="20" t="s">
        <v>2928</v>
      </c>
      <c r="E700" s="20">
        <v>1.0</v>
      </c>
    </row>
    <row r="701">
      <c r="A701" s="196"/>
      <c r="B701" s="197" t="str">
        <f>IFERROR(__xludf.DUMMYFUNCTION("""COMPUTED_VALUE"""),"Graverobbing")</f>
        <v>Graverobbing</v>
      </c>
      <c r="C701" s="197">
        <f t="shared" si="1"/>
        <v>1</v>
      </c>
      <c r="D701" s="20" t="s">
        <v>2175</v>
      </c>
      <c r="E701" s="20">
        <v>1.0</v>
      </c>
    </row>
    <row r="702">
      <c r="A702" s="196" t="str">
        <f>IFERROR(__xludf.DUMMYFUNCTION("""COMPUTED_VALUE"""),"Mistborn")</f>
        <v>Mistborn</v>
      </c>
      <c r="B702" s="197" t="str">
        <f>IFERROR(__xludf.DUMMYFUNCTION("""COMPUTED_VALUE"""),"Robot")</f>
        <v>Robot</v>
      </c>
      <c r="C702" s="197">
        <f t="shared" si="1"/>
        <v>1</v>
      </c>
      <c r="D702" s="20" t="s">
        <v>2929</v>
      </c>
      <c r="E702" s="20">
        <v>1.0</v>
      </c>
    </row>
    <row r="703">
      <c r="A703" s="196" t="str">
        <f>IFERROR(__xludf.DUMMYFUNCTION("""COMPUTED_VALUE"""),"Serpent")</f>
        <v>Serpent</v>
      </c>
      <c r="B703" s="197" t="str">
        <f>IFERROR(__xludf.DUMMYFUNCTION("""COMPUTED_VALUE"""),"Bandage")</f>
        <v>Bandage</v>
      </c>
      <c r="C703" s="197">
        <f t="shared" si="1"/>
        <v>1</v>
      </c>
      <c r="D703" s="20" t="s">
        <v>2930</v>
      </c>
      <c r="E703" s="20">
        <v>1.0</v>
      </c>
    </row>
    <row r="704">
      <c r="A704" s="196"/>
      <c r="B704" s="197" t="str">
        <f>IFERROR(__xludf.DUMMYFUNCTION("""COMPUTED_VALUE"""),"Deadfield")</f>
        <v>Deadfield</v>
      </c>
      <c r="C704" s="197">
        <f t="shared" si="1"/>
        <v>1</v>
      </c>
      <c r="D704" s="20" t="s">
        <v>2931</v>
      </c>
      <c r="E704" s="20">
        <v>1.0</v>
      </c>
    </row>
    <row r="705">
      <c r="A705" s="196"/>
      <c r="B705" s="197" t="str">
        <f>IFERROR(__xludf.DUMMYFUNCTION("""COMPUTED_VALUE"""),"Tiller")</f>
        <v>Tiller</v>
      </c>
      <c r="C705" s="197">
        <f t="shared" si="1"/>
        <v>1</v>
      </c>
      <c r="D705" s="20" t="s">
        <v>2932</v>
      </c>
      <c r="E705" s="20">
        <v>1.0</v>
      </c>
    </row>
    <row r="706">
      <c r="A706" s="196"/>
      <c r="B706" s="197" t="str">
        <f>IFERROR(__xludf.DUMMYFUNCTION("""COMPUTED_VALUE"""),"Frightweaver")</f>
        <v>Frightweaver</v>
      </c>
      <c r="C706" s="197">
        <f t="shared" si="1"/>
        <v>1</v>
      </c>
      <c r="D706" s="20" t="s">
        <v>2933</v>
      </c>
      <c r="E706" s="20">
        <v>1.0</v>
      </c>
    </row>
    <row r="707">
      <c r="A707" s="196" t="str">
        <f>IFERROR(__xludf.DUMMYFUNCTION("""COMPUTED_VALUE"""),"Bringer")</f>
        <v>Bringer</v>
      </c>
      <c r="B707" s="197" t="str">
        <f>IFERROR(__xludf.DUMMYFUNCTION("""COMPUTED_VALUE"""),"Mini")</f>
        <v>Mini</v>
      </c>
      <c r="C707" s="197">
        <f t="shared" si="1"/>
        <v>1</v>
      </c>
      <c r="D707" s="20" t="s">
        <v>2193</v>
      </c>
      <c r="E707" s="20">
        <v>1.0</v>
      </c>
    </row>
    <row r="708">
      <c r="A708" s="196" t="str">
        <f>IFERROR(__xludf.DUMMYFUNCTION("""COMPUTED_VALUE"""),"of")</f>
        <v>of</v>
      </c>
      <c r="B708" s="197" t="str">
        <f>IFERROR(__xludf.DUMMYFUNCTION("""COMPUTED_VALUE"""),"Clocktower")</f>
        <v>Clocktower</v>
      </c>
      <c r="C708" s="197">
        <f t="shared" si="1"/>
        <v>1</v>
      </c>
      <c r="D708" s="20" t="s">
        <v>2934</v>
      </c>
      <c r="E708" s="20">
        <v>1.0</v>
      </c>
    </row>
    <row r="709">
      <c r="A709" s="196" t="str">
        <f>IFERROR(__xludf.DUMMYFUNCTION("""COMPUTED_VALUE"""),"Bad")</f>
        <v>Bad</v>
      </c>
      <c r="B709" s="197" t="str">
        <f>IFERROR(__xludf.DUMMYFUNCTION("""COMPUTED_VALUE"""),"Drake")</f>
        <v>Drake</v>
      </c>
      <c r="C709" s="197">
        <f t="shared" si="1"/>
        <v>1</v>
      </c>
      <c r="D709" s="20" t="s">
        <v>2935</v>
      </c>
      <c r="E709" s="20">
        <v>1.0</v>
      </c>
    </row>
    <row r="710">
      <c r="A710" s="196" t="str">
        <f>IFERROR(__xludf.DUMMYFUNCTION("""COMPUTED_VALUE"""),"Omens")</f>
        <v>Omens</v>
      </c>
      <c r="B710" s="197" t="str">
        <f>IFERROR(__xludf.DUMMYFUNCTION("""COMPUTED_VALUE"""),"Roaming")</f>
        <v>Roaming</v>
      </c>
      <c r="C710" s="197">
        <f t="shared" si="1"/>
        <v>1</v>
      </c>
      <c r="D710" s="20" t="s">
        <v>2936</v>
      </c>
      <c r="E710" s="20">
        <v>1.0</v>
      </c>
    </row>
    <row r="711">
      <c r="A711" s="196"/>
      <c r="B711" s="197" t="str">
        <f>IFERROR(__xludf.DUMMYFUNCTION("""COMPUTED_VALUE"""),"Cherub")</f>
        <v>Cherub</v>
      </c>
      <c r="C711" s="197">
        <f t="shared" si="1"/>
        <v>1</v>
      </c>
      <c r="D711" s="20" t="s">
        <v>2937</v>
      </c>
      <c r="E711" s="20">
        <v>1.0</v>
      </c>
    </row>
    <row r="712">
      <c r="A712" s="196" t="str">
        <f>IFERROR(__xludf.DUMMYFUNCTION("""COMPUTED_VALUE"""),"Gaunt")</f>
        <v>Gaunt</v>
      </c>
      <c r="B712" s="197" t="str">
        <f>IFERROR(__xludf.DUMMYFUNCTION("""COMPUTED_VALUE"""),"Bessy")</f>
        <v>Bessy</v>
      </c>
      <c r="C712" s="197">
        <f t="shared" si="1"/>
        <v>1</v>
      </c>
      <c r="D712" s="20" t="s">
        <v>2938</v>
      </c>
      <c r="E712" s="20">
        <v>1.0</v>
      </c>
    </row>
    <row r="713">
      <c r="A713" s="196" t="str">
        <f>IFERROR(__xludf.DUMMYFUNCTION("""COMPUTED_VALUE"""),"Visitation")</f>
        <v>Visitation</v>
      </c>
      <c r="B713" s="197" t="str">
        <f>IFERROR(__xludf.DUMMYFUNCTION("""COMPUTED_VALUE"""),"Realmshifter")</f>
        <v>Realmshifter</v>
      </c>
      <c r="C713" s="197">
        <f t="shared" si="1"/>
        <v>1</v>
      </c>
      <c r="D713" s="20" t="s">
        <v>2939</v>
      </c>
      <c r="E713" s="20">
        <v>1.0</v>
      </c>
    </row>
    <row r="714">
      <c r="A714" s="196"/>
      <c r="B714" s="197" t="str">
        <f>IFERROR(__xludf.DUMMYFUNCTION("""COMPUTED_VALUE"""),"Shapeshifter")</f>
        <v>Shapeshifter</v>
      </c>
      <c r="C714" s="197">
        <f t="shared" si="1"/>
        <v>1</v>
      </c>
      <c r="D714" s="20" t="s">
        <v>2231</v>
      </c>
      <c r="E714" s="20">
        <v>1.0</v>
      </c>
    </row>
    <row r="715">
      <c r="A715" s="196"/>
      <c r="B715" s="197" t="str">
        <f>IFERROR(__xludf.DUMMYFUNCTION("""COMPUTED_VALUE"""),"Big")</f>
        <v>Big</v>
      </c>
      <c r="C715" s="197">
        <f t="shared" si="1"/>
        <v>1</v>
      </c>
      <c r="D715" s="20" t="s">
        <v>2238</v>
      </c>
      <c r="E715" s="20">
        <v>1.0</v>
      </c>
    </row>
    <row r="716">
      <c r="A716" s="196"/>
      <c r="B716" s="197" t="str">
        <f>IFERROR(__xludf.DUMMYFUNCTION("""COMPUTED_VALUE"""),"Dino")</f>
        <v>Dino</v>
      </c>
      <c r="C716" s="197">
        <f t="shared" si="1"/>
        <v>2</v>
      </c>
      <c r="D716" s="20" t="s">
        <v>2940</v>
      </c>
      <c r="E716" s="20">
        <v>1.0</v>
      </c>
    </row>
    <row r="717">
      <c r="A717" s="196" t="str">
        <f>IFERROR(__xludf.DUMMYFUNCTION("""COMPUTED_VALUE"""),"Lightning")</f>
        <v>Lightning</v>
      </c>
      <c r="B717" s="197" t="str">
        <f>IFERROR(__xludf.DUMMYFUNCTION("""COMPUTED_VALUE"""),"Boy")</f>
        <v>Boy</v>
      </c>
      <c r="C717" s="197">
        <f t="shared" si="1"/>
        <v>2</v>
      </c>
      <c r="D717" s="20" t="s">
        <v>2941</v>
      </c>
      <c r="E717" s="20">
        <v>1.0</v>
      </c>
    </row>
    <row r="718">
      <c r="A718" s="196" t="str">
        <f>IFERROR(__xludf.DUMMYFUNCTION("""COMPUTED_VALUE"""),"Manticore")</f>
        <v>Manticore</v>
      </c>
      <c r="B718" s="197" t="str">
        <f>IFERROR(__xludf.DUMMYFUNCTION("""COMPUTED_VALUE"""),"Middle")</f>
        <v>Middle</v>
      </c>
      <c r="C718" s="197">
        <f t="shared" si="1"/>
        <v>1</v>
      </c>
      <c r="D718" s="20"/>
      <c r="E718" s="20">
        <v>0.0</v>
      </c>
    </row>
    <row r="719">
      <c r="A719" s="196"/>
      <c r="B719" s="197"/>
      <c r="C719" s="197">
        <f t="shared" si="1"/>
        <v>0</v>
      </c>
      <c r="D719" s="20"/>
      <c r="E719" s="20">
        <v>0.0</v>
      </c>
    </row>
    <row r="720">
      <c r="A720" s="196"/>
      <c r="B720" s="197"/>
      <c r="C720" s="197">
        <f t="shared" si="1"/>
        <v>0</v>
      </c>
      <c r="D720" s="20"/>
      <c r="E720" s="20">
        <v>0.0</v>
      </c>
    </row>
    <row r="721">
      <c r="A721" s="196"/>
      <c r="B721" s="197"/>
      <c r="C721" s="197">
        <f t="shared" si="1"/>
        <v>0</v>
      </c>
      <c r="D721" s="20"/>
      <c r="E721" s="20">
        <v>0.0</v>
      </c>
    </row>
    <row r="722">
      <c r="A722" s="196" t="str">
        <f>IFERROR(__xludf.DUMMYFUNCTION("""COMPUTED_VALUE"""),"Featherfrost")</f>
        <v>Featherfrost</v>
      </c>
      <c r="B722" s="197"/>
      <c r="C722" s="197">
        <f t="shared" si="1"/>
        <v>0</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IFERROR(__xludf.DUMMYFUNCTION("""COMPUTED_VALUE"""),"Sovereign")</f>
        <v>Sovereign</v>
      </c>
      <c r="B762" s="197"/>
      <c r="C762" s="197">
        <f t="shared" si="1"/>
        <v>0</v>
      </c>
      <c r="D762" s="20"/>
      <c r="E762" s="20">
        <v>0.0</v>
      </c>
    </row>
    <row r="763">
      <c r="A763" s="196" t="str">
        <f>IFERROR(__xludf.DUMMYFUNCTION("""COMPUTED_VALUE"""),"Spellwyrm")</f>
        <v>Spellwyrm</v>
      </c>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IFERROR(__xludf.DUMMYFUNCTION("""COMPUTED_VALUE"""),"Crownfire")</f>
        <v>Crownfire</v>
      </c>
      <c r="B767" s="197"/>
      <c r="C767" s="197">
        <f t="shared" si="1"/>
        <v>0</v>
      </c>
      <c r="D767" s="20"/>
      <c r="E767" s="20">
        <v>0.0</v>
      </c>
    </row>
    <row r="768">
      <c r="A768" s="196" t="str">
        <f>IFERROR(__xludf.DUMMYFUNCTION("""COMPUTED_VALUE"""),"Empress")</f>
        <v>Empress</v>
      </c>
      <c r="B768" s="197"/>
      <c r="C768" s="197">
        <f t="shared" si="1"/>
        <v>0</v>
      </c>
      <c r="D768" s="20"/>
      <c r="E768" s="20">
        <v>0.0</v>
      </c>
    </row>
    <row r="769">
      <c r="A769" s="196"/>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2942</v>
      </c>
      <c r="K1" s="198" t="s">
        <v>2943</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4" t="str">
        <f>IFERROR(__xludf.DUMMYFUNCTION("UNIQUE(Cards!A2:A1000)"),"Aethergolem")</f>
        <v>Aethergolem</v>
      </c>
      <c r="B2" s="34" t="str">
        <f t="array" ref="B2:I2">XLOOKUP($A2,Cards!$A$2:$A1000,Cards!$B$2:$I1000,"")</f>
        <v>Divine</v>
      </c>
      <c r="C2" s="34">
        <v>2.0</v>
      </c>
      <c r="D2" s="34" t="s">
        <v>22</v>
      </c>
      <c r="E2" s="34" t="s">
        <v>23</v>
      </c>
      <c r="F2" s="34" t="s">
        <v>24</v>
      </c>
      <c r="G2" s="34">
        <v>1.0</v>
      </c>
      <c r="H2" s="34" t="s">
        <v>25</v>
      </c>
      <c r="I2" s="34" t="s">
        <v>26</v>
      </c>
      <c r="J2" s="34">
        <f>IFERROR(__xludf.DUMMYFUNCTION("LEN(REGEXREPLACE(XLOOKUP($A2,Cards!$A$2:$A1000,Cards!$H$2:$H1000,""""),"",\s"",""""))"),1.0)</f>
        <v>1</v>
      </c>
      <c r="K2" s="34" t="str">
        <f t="shared" ref="K2:K546" si="1">JOIN(" ",L2:AA2)</f>
        <v>               </v>
      </c>
      <c r="L2" s="34" t="str">
        <f>IFERROR(__xludf.DUMMYFUNCTION("IF(IF(L$1="""","""",REGEXMATCH(LOWER($E2),XLOOKUP(L$1,Metadata!$A$2:$A1000,Metadata!$B$2:$B1000))),L$1,"""")"),"")</f>
        <v/>
      </c>
      <c r="M2" s="34" t="str">
        <f>IFERROR(__xludf.DUMMYFUNCTION("IF(IF(M$1="""","""",REGEXMATCH(LOWER($E2),XLOOKUP(M$1,Metadata!$A$2:$A1000,Metadata!$B$2:$B1000))),M$1,"""")"),"")</f>
        <v/>
      </c>
      <c r="N2" s="34" t="str">
        <f>IFERROR(__xludf.DUMMYFUNCTION("IF(IF(N$1="""","""",REGEXMATCH(LOWER($E2),XLOOKUP(N$1,Metadata!$A$2:$A1000,Metadata!$B$2:$B1000))),N$1,"""")"),"")</f>
        <v/>
      </c>
      <c r="O2" s="34" t="str">
        <f>IFERROR(__xludf.DUMMYFUNCTION("IF(IF(O$1="""","""",REGEXMATCH(LOWER($E2),XLOOKUP(O$1,Metadata!$A$2:$A1000,Metadata!$B$2:$B1000))),O$1,"""")"),"")</f>
        <v/>
      </c>
      <c r="P2" s="34" t="str">
        <f>IFERROR(__xludf.DUMMYFUNCTION("IF(IF(P$1="""","""",REGEXMATCH(LOWER($E2),XLOOKUP(P$1,Metadata!$A$2:$A1000,Metadata!$B$2:$B1000))),P$1,"""")"),"")</f>
        <v/>
      </c>
      <c r="Q2" s="34" t="str">
        <f>IFERROR(__xludf.DUMMYFUNCTION("IF(IF(Q$1="""","""",REGEXMATCH(LOWER($E2),XLOOKUP(Q$1,Metadata!$A$2:$A1000,Metadata!$B$2:$B1000))),Q$1,"""")"),"")</f>
        <v/>
      </c>
      <c r="R2" s="34" t="str">
        <f>IFERROR(__xludf.DUMMYFUNCTION("IF(IF(R$1="""","""",REGEXMATCH(LOWER($E2),XLOOKUP(R$1,Metadata!$A$2:$A1000,Metadata!$B$2:$B1000))),R$1,"""")"),"")</f>
        <v/>
      </c>
      <c r="S2" s="34" t="str">
        <f>IFERROR(__xludf.DUMMYFUNCTION("IF(IF(S$1="""","""",REGEXMATCH(LOWER($E2),XLOOKUP(S$1,Metadata!$A$2:$A1000,Metadata!$B$2:$B1000))),S$1,"""")"),"")</f>
        <v/>
      </c>
      <c r="T2" s="34" t="str">
        <f>IFERROR(__xludf.DUMMYFUNCTION("IF(IF(T$1="""","""",REGEXMATCH(LOWER($E2),XLOOKUP(T$1,Metadata!$A$2:$A1000,Metadata!$B$2:$B1000))),T$1,"""")"),"")</f>
        <v/>
      </c>
      <c r="U2" s="34" t="str">
        <f>IFERROR(__xludf.DUMMYFUNCTION("IF(IF(U$1="""","""",REGEXMATCH(LOWER($E2),XLOOKUP(U$1,Metadata!$A$2:$A1000,Metadata!$B$2:$B1000))),U$1,"""")"),"")</f>
        <v/>
      </c>
      <c r="V2" s="34" t="str">
        <f>IFERROR(__xludf.DUMMYFUNCTION("IF(IF(V$1="""","""",REGEXMATCH(LOWER($E2),XLOOKUP(V$1,Metadata!$A$2:$A1000,Metadata!$B$2:$B1000))),V$1,"""")"),"")</f>
        <v/>
      </c>
      <c r="W2" s="34" t="str">
        <f>IFERROR(__xludf.DUMMYFUNCTION("IF(IF(W$1="""","""",REGEXMATCH(LOWER($E2),XLOOKUP(W$1,Metadata!$A$2:$A1000,Metadata!$B$2:$B1000))),W$1,"""")"),"")</f>
        <v/>
      </c>
      <c r="X2" s="34" t="str">
        <f>IFERROR(__xludf.DUMMYFUNCTION("IF(IF(X$1="""","""",REGEXMATCH(LOWER($E2),XLOOKUP(X$1,Metadata!$A$2:$A1000,Metadata!$B$2:$B1000))),X$1,"""")"),"")</f>
        <v/>
      </c>
      <c r="Y2" s="34" t="str">
        <f>IFERROR(__xludf.DUMMYFUNCTION("IF(IF(Y$1="""","""",REGEXMATCH(LOWER($E2),XLOOKUP(Y$1,Metadata!$A$2:$A1000,Metadata!$B$2:$B1000))),Y$1,"""")"),"")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I3">XLOOKUP($A3,Cards!$A$2:$A1000,Cards!$B$2:$I1000,"")</f>
        <v>Divine</v>
      </c>
      <c r="C3" s="34">
        <v>1.0</v>
      </c>
      <c r="D3" s="34" t="s">
        <v>28</v>
      </c>
      <c r="E3" s="34" t="s">
        <v>29</v>
      </c>
      <c r="F3" s="34" t="s">
        <v>30</v>
      </c>
      <c r="G3" s="34">
        <v>4.0</v>
      </c>
      <c r="H3" s="34" t="s">
        <v>31</v>
      </c>
      <c r="I3" s="34" t="s">
        <v>32</v>
      </c>
      <c r="J3" s="34">
        <f>IFERROR(__xludf.DUMMYFUNCTION("LEN(REGEXREPLACE(XLOOKUP($A3,Cards!$A$2:$A1000,Cards!$H$2:$H1000,""""),"",\s"",""""))"),5.0)</f>
        <v>5</v>
      </c>
      <c r="K3" s="34" t="str">
        <f t="shared" si="1"/>
        <v>               </v>
      </c>
      <c r="L3" s="34" t="str">
        <f>IFERROR(__xludf.DUMMYFUNCTION("IF(IF(L$1="""","""",REGEXMATCH(LOWER($E3),XLOOKUP(L$1,Metadata!$A$2:$A1000,Metadata!$B$2:$B1000))),L$1,"""")"),"")</f>
        <v/>
      </c>
      <c r="M3" s="34" t="str">
        <f>IFERROR(__xludf.DUMMYFUNCTION("IF(IF(M$1="""","""",REGEXMATCH(LOWER($E3),XLOOKUP(M$1,Metadata!$A$2:$A1000,Metadata!$B$2:$B1000))),M$1,"""")"),"")</f>
        <v/>
      </c>
      <c r="N3" s="34" t="str">
        <f>IFERROR(__xludf.DUMMYFUNCTION("IF(IF(N$1="""","""",REGEXMATCH(LOWER($E3),XLOOKUP(N$1,Metadata!$A$2:$A1000,Metadata!$B$2:$B1000))),N$1,"""")"),"")</f>
        <v/>
      </c>
      <c r="O3" s="34" t="str">
        <f>IFERROR(__xludf.DUMMYFUNCTION("IF(IF(O$1="""","""",REGEXMATCH(LOWER($E3),XLOOKUP(O$1,Metadata!$A$2:$A1000,Metadata!$B$2:$B1000))),O$1,"""")"),"")</f>
        <v/>
      </c>
      <c r="P3" s="34" t="str">
        <f>IFERROR(__xludf.DUMMYFUNCTION("IF(IF(P$1="""","""",REGEXMATCH(LOWER($E3),XLOOKUP(P$1,Metadata!$A$2:$A1000,Metadata!$B$2:$B1000))),P$1,"""")"),"")</f>
        <v/>
      </c>
      <c r="Q3" s="34" t="str">
        <f>IFERROR(__xludf.DUMMYFUNCTION("IF(IF(Q$1="""","""",REGEXMATCH(LOWER($E3),XLOOKUP(Q$1,Metadata!$A$2:$A1000,Metadata!$B$2:$B1000))),Q$1,"""")"),"")</f>
        <v/>
      </c>
      <c r="R3" s="34" t="str">
        <f>IFERROR(__xludf.DUMMYFUNCTION("IF(IF(R$1="""","""",REGEXMATCH(LOWER($E3),XLOOKUP(R$1,Metadata!$A$2:$A1000,Metadata!$B$2:$B1000))),R$1,"""")"),"")</f>
        <v/>
      </c>
      <c r="S3" s="34" t="str">
        <f>IFERROR(__xludf.DUMMYFUNCTION("IF(IF(S$1="""","""",REGEXMATCH(LOWER($E3),XLOOKUP(S$1,Metadata!$A$2:$A1000,Metadata!$B$2:$B1000))),S$1,"""")"),"")</f>
        <v/>
      </c>
      <c r="T3" s="34" t="str">
        <f>IFERROR(__xludf.DUMMYFUNCTION("IF(IF(T$1="""","""",REGEXMATCH(LOWER($E3),XLOOKUP(T$1,Metadata!$A$2:$A1000,Metadata!$B$2:$B1000))),T$1,"""")"),"")</f>
        <v/>
      </c>
      <c r="U3" s="34" t="str">
        <f>IFERROR(__xludf.DUMMYFUNCTION("IF(IF(U$1="""","""",REGEXMATCH(LOWER($E3),XLOOKUP(U$1,Metadata!$A$2:$A1000,Metadata!$B$2:$B1000))),U$1,"""")"),"")</f>
        <v/>
      </c>
      <c r="V3" s="34" t="str">
        <f>IFERROR(__xludf.DUMMYFUNCTION("IF(IF(V$1="""","""",REGEXMATCH(LOWER($E3),XLOOKUP(V$1,Metadata!$A$2:$A1000,Metadata!$B$2:$B1000))),V$1,"""")"),"")</f>
        <v/>
      </c>
      <c r="W3" s="34" t="str">
        <f>IFERROR(__xludf.DUMMYFUNCTION("IF(IF(W$1="""","""",REGEXMATCH(LOWER($E3),XLOOKUP(W$1,Metadata!$A$2:$A1000,Metadata!$B$2:$B1000))),W$1,"""")"),"")</f>
        <v/>
      </c>
      <c r="X3" s="34" t="str">
        <f>IFERROR(__xludf.DUMMYFUNCTION("IF(IF(X$1="""","""",REGEXMATCH(LOWER($E3),XLOOKUP(X$1,Metadata!$A$2:$A1000,Metadata!$B$2:$B1000))),X$1,"""")"),"")</f>
        <v/>
      </c>
      <c r="Y3" s="34" t="str">
        <f>IFERROR(__xludf.DUMMYFUNCTION("IF(IF(Y$1="""","""",REGEXMATCH(LOWER($E3),XLOOKUP(Y$1,Metadata!$A$2:$A1000,Metadata!$B$2:$B1000))),Y$1,"""")"),"")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I4">XLOOKUP($A4,Cards!$A$2:$A1000,Cards!$B$2:$I1000,"")</f>
        <v>Divine</v>
      </c>
      <c r="C4" s="34">
        <v>2.0</v>
      </c>
      <c r="D4" s="34" t="s">
        <v>37</v>
      </c>
      <c r="E4" s="34" t="s">
        <v>38</v>
      </c>
      <c r="F4" s="34" t="s">
        <v>24</v>
      </c>
      <c r="G4" s="34">
        <v>1.0</v>
      </c>
      <c r="H4" s="34" t="s">
        <v>25</v>
      </c>
      <c r="I4" s="34" t="s">
        <v>26</v>
      </c>
      <c r="J4" s="34">
        <f>IFERROR(__xludf.DUMMYFUNCTION("LEN(REGEXREPLACE(XLOOKUP($A4,Cards!$A$2:$A1000,Cards!$H$2:$H1000,""""),"",\s"",""""))"),1.0)</f>
        <v>1</v>
      </c>
      <c r="K4" s="34" t="str">
        <f t="shared" si="1"/>
        <v>Divine               </v>
      </c>
      <c r="L4" s="34" t="str">
        <f>IFERROR(__xludf.DUMMYFUNCTION("IF(IF(L$1="""","""",REGEXMATCH(LOWER($E4),XLOOKUP(L$1,Metadata!$A$2:$A1000,Metadata!$B$2:$B1000))),L$1,"""")"),"Divine")</f>
        <v>Divine</v>
      </c>
      <c r="M4" s="34" t="str">
        <f>IFERROR(__xludf.DUMMYFUNCTION("IF(IF(M$1="""","""",REGEXMATCH(LOWER($E4),XLOOKUP(M$1,Metadata!$A$2:$A1000,Metadata!$B$2:$B1000))),M$1,"""")"),"")</f>
        <v/>
      </c>
      <c r="N4" s="34" t="str">
        <f>IFERROR(__xludf.DUMMYFUNCTION("IF(IF(N$1="""","""",REGEXMATCH(LOWER($E4),XLOOKUP(N$1,Metadata!$A$2:$A1000,Metadata!$B$2:$B1000))),N$1,"""")"),"")</f>
        <v/>
      </c>
      <c r="O4" s="34" t="str">
        <f>IFERROR(__xludf.DUMMYFUNCTION("IF(IF(O$1="""","""",REGEXMATCH(LOWER($E4),XLOOKUP(O$1,Metadata!$A$2:$A1000,Metadata!$B$2:$B1000))),O$1,"""")"),"")</f>
        <v/>
      </c>
      <c r="P4" s="34" t="str">
        <f>IFERROR(__xludf.DUMMYFUNCTION("IF(IF(P$1="""","""",REGEXMATCH(LOWER($E4),XLOOKUP(P$1,Metadata!$A$2:$A1000,Metadata!$B$2:$B1000))),P$1,"""")"),"")</f>
        <v/>
      </c>
      <c r="Q4" s="34" t="str">
        <f>IFERROR(__xludf.DUMMYFUNCTION("IF(IF(Q$1="""","""",REGEXMATCH(LOWER($E4),XLOOKUP(Q$1,Metadata!$A$2:$A1000,Metadata!$B$2:$B1000))),Q$1,"""")"),"")</f>
        <v/>
      </c>
      <c r="R4" s="34" t="str">
        <f>IFERROR(__xludf.DUMMYFUNCTION("IF(IF(R$1="""","""",REGEXMATCH(LOWER($E4),XLOOKUP(R$1,Metadata!$A$2:$A1000,Metadata!$B$2:$B1000))),R$1,"""")"),"")</f>
        <v/>
      </c>
      <c r="S4" s="34" t="str">
        <f>IFERROR(__xludf.DUMMYFUNCTION("IF(IF(S$1="""","""",REGEXMATCH(LOWER($E4),XLOOKUP(S$1,Metadata!$A$2:$A1000,Metadata!$B$2:$B1000))),S$1,"""")"),"")</f>
        <v/>
      </c>
      <c r="T4" s="34" t="str">
        <f>IFERROR(__xludf.DUMMYFUNCTION("IF(IF(T$1="""","""",REGEXMATCH(LOWER($E4),XLOOKUP(T$1,Metadata!$A$2:$A1000,Metadata!$B$2:$B1000))),T$1,"""")"),"")</f>
        <v/>
      </c>
      <c r="U4" s="34" t="str">
        <f>IFERROR(__xludf.DUMMYFUNCTION("IF(IF(U$1="""","""",REGEXMATCH(LOWER($E4),XLOOKUP(U$1,Metadata!$A$2:$A1000,Metadata!$B$2:$B1000))),U$1,"""")"),"")</f>
        <v/>
      </c>
      <c r="V4" s="34" t="str">
        <f>IFERROR(__xludf.DUMMYFUNCTION("IF(IF(V$1="""","""",REGEXMATCH(LOWER($E4),XLOOKUP(V$1,Metadata!$A$2:$A1000,Metadata!$B$2:$B1000))),V$1,"""")"),"")</f>
        <v/>
      </c>
      <c r="W4" s="34" t="str">
        <f>IFERROR(__xludf.DUMMYFUNCTION("IF(IF(W$1="""","""",REGEXMATCH(LOWER($E4),XLOOKUP(W$1,Metadata!$A$2:$A1000,Metadata!$B$2:$B1000))),W$1,"""")"),"")</f>
        <v/>
      </c>
      <c r="X4" s="34" t="str">
        <f>IFERROR(__xludf.DUMMYFUNCTION("IF(IF(X$1="""","""",REGEXMATCH(LOWER($E4),XLOOKUP(X$1,Metadata!$A$2:$A1000,Metadata!$B$2:$B1000))),X$1,"""")"),"")</f>
        <v/>
      </c>
      <c r="Y4" s="34" t="str">
        <f>IFERROR(__xludf.DUMMYFUNCTION("IF(IF(Y$1="""","""",REGEXMATCH(LOWER($E4),XLOOKUP(Y$1,Metadata!$A$2:$A1000,Metadata!$B$2:$B1000))),Y$1,"""")"),"")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I5">XLOOKUP($A5,Cards!$A$2:$A1000,Cards!$B$2:$I1000,"")</f>
        <v>Divine</v>
      </c>
      <c r="C5" s="34">
        <v>1.0</v>
      </c>
      <c r="D5" s="34" t="s">
        <v>40</v>
      </c>
      <c r="E5" s="34" t="s">
        <v>41</v>
      </c>
      <c r="F5" s="34" t="s">
        <v>42</v>
      </c>
      <c r="G5" s="34">
        <v>5.0</v>
      </c>
      <c r="H5" s="34" t="s">
        <v>31</v>
      </c>
      <c r="I5" s="34" t="s">
        <v>32</v>
      </c>
      <c r="J5" s="34">
        <f>IFERROR(__xludf.DUMMYFUNCTION("LEN(REGEXREPLACE(XLOOKUP($A5,Cards!$A$2:$A1000,Cards!$H$2:$H1000,""""),"",\s"",""""))"),5.0)</f>
        <v>5</v>
      </c>
      <c r="K5" s="34" t="str">
        <f t="shared" si="1"/>
        <v>         Aggro      </v>
      </c>
      <c r="L5" s="34" t="str">
        <f>IFERROR(__xludf.DUMMYFUNCTION("IF(IF(L$1="""","""",REGEXMATCH(LOWER($E5),XLOOKUP(L$1,Metadata!$A$2:$A1000,Metadata!$B$2:$B1000))),L$1,"""")"),"")</f>
        <v/>
      </c>
      <c r="M5" s="34" t="str">
        <f>IFERROR(__xludf.DUMMYFUNCTION("IF(IF(M$1="""","""",REGEXMATCH(LOWER($E5),XLOOKUP(M$1,Metadata!$A$2:$A1000,Metadata!$B$2:$B1000))),M$1,"""")"),"")</f>
        <v/>
      </c>
      <c r="N5" s="34" t="str">
        <f>IFERROR(__xludf.DUMMYFUNCTION("IF(IF(N$1="""","""",REGEXMATCH(LOWER($E5),XLOOKUP(N$1,Metadata!$A$2:$A1000,Metadata!$B$2:$B1000))),N$1,"""")"),"")</f>
        <v/>
      </c>
      <c r="O5" s="34" t="str">
        <f>IFERROR(__xludf.DUMMYFUNCTION("IF(IF(O$1="""","""",REGEXMATCH(LOWER($E5),XLOOKUP(O$1,Metadata!$A$2:$A1000,Metadata!$B$2:$B1000))),O$1,"""")"),"")</f>
        <v/>
      </c>
      <c r="P5" s="34" t="str">
        <f>IFERROR(__xludf.DUMMYFUNCTION("IF(IF(P$1="""","""",REGEXMATCH(LOWER($E5),XLOOKUP(P$1,Metadata!$A$2:$A1000,Metadata!$B$2:$B1000))),P$1,"""")"),"")</f>
        <v/>
      </c>
      <c r="Q5" s="34" t="str">
        <f>IFERROR(__xludf.DUMMYFUNCTION("IF(IF(Q$1="""","""",REGEXMATCH(LOWER($E5),XLOOKUP(Q$1,Metadata!$A$2:$A1000,Metadata!$B$2:$B1000))),Q$1,"""")"),"")</f>
        <v/>
      </c>
      <c r="R5" s="34" t="str">
        <f>IFERROR(__xludf.DUMMYFUNCTION("IF(IF(R$1="""","""",REGEXMATCH(LOWER($E5),XLOOKUP(R$1,Metadata!$A$2:$A1000,Metadata!$B$2:$B1000))),R$1,"""")"),"")</f>
        <v/>
      </c>
      <c r="S5" s="34" t="str">
        <f>IFERROR(__xludf.DUMMYFUNCTION("IF(IF(S$1="""","""",REGEXMATCH(LOWER($E5),XLOOKUP(S$1,Metadata!$A$2:$A1000,Metadata!$B$2:$B1000))),S$1,"""")"),"")</f>
        <v/>
      </c>
      <c r="T5" s="34" t="str">
        <f>IFERROR(__xludf.DUMMYFUNCTION("IF(IF(T$1="""","""",REGEXMATCH(LOWER($E5),XLOOKUP(T$1,Metadata!$A$2:$A1000,Metadata!$B$2:$B1000))),T$1,"""")"),"")</f>
        <v/>
      </c>
      <c r="U5" s="34" t="str">
        <f>IFERROR(__xludf.DUMMYFUNCTION("IF(IF(U$1="""","""",REGEXMATCH(LOWER($E5),XLOOKUP(U$1,Metadata!$A$2:$A1000,Metadata!$B$2:$B1000))),U$1,"""")"),"Aggro")</f>
        <v>Aggro</v>
      </c>
      <c r="V5" s="34" t="str">
        <f>IFERROR(__xludf.DUMMYFUNCTION("IF(IF(V$1="""","""",REGEXMATCH(LOWER($E5),XLOOKUP(V$1,Metadata!$A$2:$A1000,Metadata!$B$2:$B1000))),V$1,"""")"),"")</f>
        <v/>
      </c>
      <c r="W5" s="34" t="str">
        <f>IFERROR(__xludf.DUMMYFUNCTION("IF(IF(W$1="""","""",REGEXMATCH(LOWER($E5),XLOOKUP(W$1,Metadata!$A$2:$A1000,Metadata!$B$2:$B1000))),W$1,"""")"),"")</f>
        <v/>
      </c>
      <c r="X5" s="34" t="str">
        <f>IFERROR(__xludf.DUMMYFUNCTION("IF(IF(X$1="""","""",REGEXMATCH(LOWER($E5),XLOOKUP(X$1,Metadata!$A$2:$A1000,Metadata!$B$2:$B1000))),X$1,"""")"),"")</f>
        <v/>
      </c>
      <c r="Y5" s="34" t="str">
        <f>IFERROR(__xludf.DUMMYFUNCTION("IF(IF(Y$1="""","""",REGEXMATCH(LOWER($E5),XLOOKUP(Y$1,Metadata!$A$2:$A1000,Metadata!$B$2:$B1000))),Y$1,"""")"),"")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I6">XLOOKUP($A6,Cards!$A$2:$A1000,Cards!$B$2:$I1000,"")</f>
        <v>Divine</v>
      </c>
      <c r="C6" s="34">
        <v>1.0</v>
      </c>
      <c r="D6" s="34" t="s">
        <v>50</v>
      </c>
      <c r="E6" s="34" t="s">
        <v>51</v>
      </c>
      <c r="F6" s="34" t="s">
        <v>52</v>
      </c>
      <c r="G6" s="34">
        <v>2.0</v>
      </c>
      <c r="H6" s="34" t="s">
        <v>53</v>
      </c>
      <c r="I6" s="34" t="s">
        <v>32</v>
      </c>
      <c r="J6" s="34">
        <f>IFERROR(__xludf.DUMMYFUNCTION("LEN(REGEXREPLACE(XLOOKUP($A6,Cards!$A$2:$A1000,Cards!$H$2:$H1000,""""),"",\s"",""""))"),3.0)</f>
        <v>3</v>
      </c>
      <c r="K6" s="34" t="str">
        <f t="shared" si="1"/>
        <v>      Ramp         </v>
      </c>
      <c r="L6" s="34" t="str">
        <f>IFERROR(__xludf.DUMMYFUNCTION("IF(IF(L$1="""","""",REGEXMATCH(LOWER($E6),XLOOKUP(L$1,Metadata!$A$2:$A1000,Metadata!$B$2:$B1000))),L$1,"""")"),"")</f>
        <v/>
      </c>
      <c r="M6" s="34" t="str">
        <f>IFERROR(__xludf.DUMMYFUNCTION("IF(IF(M$1="""","""",REGEXMATCH(LOWER($E6),XLOOKUP(M$1,Metadata!$A$2:$A1000,Metadata!$B$2:$B1000))),M$1,"""")"),"")</f>
        <v/>
      </c>
      <c r="N6" s="34" t="str">
        <f>IFERROR(__xludf.DUMMYFUNCTION("IF(IF(N$1="""","""",REGEXMATCH(LOWER($E6),XLOOKUP(N$1,Metadata!$A$2:$A1000,Metadata!$B$2:$B1000))),N$1,"""")"),"")</f>
        <v/>
      </c>
      <c r="O6" s="34" t="str">
        <f>IFERROR(__xludf.DUMMYFUNCTION("IF(IF(O$1="""","""",REGEXMATCH(LOWER($E6),XLOOKUP(O$1,Metadata!$A$2:$A1000,Metadata!$B$2:$B1000))),O$1,"""")"),"")</f>
        <v/>
      </c>
      <c r="P6" s="34" t="str">
        <f>IFERROR(__xludf.DUMMYFUNCTION("IF(IF(P$1="""","""",REGEXMATCH(LOWER($E6),XLOOKUP(P$1,Metadata!$A$2:$A1000,Metadata!$B$2:$B1000))),P$1,"""")"),"")</f>
        <v/>
      </c>
      <c r="Q6" s="34" t="str">
        <f>IFERROR(__xludf.DUMMYFUNCTION("IF(IF(Q$1="""","""",REGEXMATCH(LOWER($E6),XLOOKUP(Q$1,Metadata!$A$2:$A1000,Metadata!$B$2:$B1000))),Q$1,"""")"),"")</f>
        <v/>
      </c>
      <c r="R6" s="34" t="str">
        <f>IFERROR(__xludf.DUMMYFUNCTION("IF(IF(R$1="""","""",REGEXMATCH(LOWER($E6),XLOOKUP(R$1,Metadata!$A$2:$A1000,Metadata!$B$2:$B1000))),R$1,"""")"),"Ramp")</f>
        <v>Ramp</v>
      </c>
      <c r="S6" s="34" t="str">
        <f>IFERROR(__xludf.DUMMYFUNCTION("IF(IF(S$1="""","""",REGEXMATCH(LOWER($E6),XLOOKUP(S$1,Metadata!$A$2:$A1000,Metadata!$B$2:$B1000))),S$1,"""")"),"")</f>
        <v/>
      </c>
      <c r="T6" s="34" t="str">
        <f>IFERROR(__xludf.DUMMYFUNCTION("IF(IF(T$1="""","""",REGEXMATCH(LOWER($E6),XLOOKUP(T$1,Metadata!$A$2:$A1000,Metadata!$B$2:$B1000))),T$1,"""")"),"")</f>
        <v/>
      </c>
      <c r="U6" s="34" t="str">
        <f>IFERROR(__xludf.DUMMYFUNCTION("IF(IF(U$1="""","""",REGEXMATCH(LOWER($E6),XLOOKUP(U$1,Metadata!$A$2:$A1000,Metadata!$B$2:$B1000))),U$1,"""")"),"")</f>
        <v/>
      </c>
      <c r="V6" s="34" t="str">
        <f>IFERROR(__xludf.DUMMYFUNCTION("IF(IF(V$1="""","""",REGEXMATCH(LOWER($E6),XLOOKUP(V$1,Metadata!$A$2:$A1000,Metadata!$B$2:$B1000))),V$1,"""")"),"")</f>
        <v/>
      </c>
      <c r="W6" s="34" t="str">
        <f>IFERROR(__xludf.DUMMYFUNCTION("IF(IF(W$1="""","""",REGEXMATCH(LOWER($E6),XLOOKUP(W$1,Metadata!$A$2:$A1000,Metadata!$B$2:$B1000))),W$1,"""")"),"")</f>
        <v/>
      </c>
      <c r="X6" s="34" t="str">
        <f>IFERROR(__xludf.DUMMYFUNCTION("IF(IF(X$1="""","""",REGEXMATCH(LOWER($E6),XLOOKUP(X$1,Metadata!$A$2:$A1000,Metadata!$B$2:$B1000))),X$1,"""")"),"")</f>
        <v/>
      </c>
      <c r="Y6" s="34" t="str">
        <f>IFERROR(__xludf.DUMMYFUNCTION("IF(IF(Y$1="""","""",REGEXMATCH(LOWER($E6),XLOOKUP(Y$1,Metadata!$A$2:$A1000,Metadata!$B$2:$B1000))),Y$1,"""")"),"")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I7">XLOOKUP($A7,Cards!$A$2:$A1000,Cards!$B$2:$I1000,"")</f>
        <v>Divine</v>
      </c>
      <c r="C7" s="34">
        <v>1.0</v>
      </c>
      <c r="D7" s="34" t="s">
        <v>59</v>
      </c>
      <c r="E7" s="34" t="s">
        <v>60</v>
      </c>
      <c r="F7" s="34" t="s">
        <v>61</v>
      </c>
      <c r="G7" s="34">
        <v>6.0</v>
      </c>
      <c r="H7" s="34" t="s">
        <v>62</v>
      </c>
      <c r="I7" s="34" t="s">
        <v>26</v>
      </c>
      <c r="J7" s="34">
        <f>IFERROR(__xludf.DUMMYFUNCTION("LEN(REGEXREPLACE(XLOOKUP($A7,Cards!$A$2:$A1000,Cards!$H$2:$H1000,""""),"",\s"",""""))"),6.0)</f>
        <v>6</v>
      </c>
      <c r="K7" s="34" t="str">
        <f t="shared" si="1"/>
        <v>               </v>
      </c>
      <c r="L7" s="34" t="str">
        <f>IFERROR(__xludf.DUMMYFUNCTION("IF(IF(L$1="""","""",REGEXMATCH(LOWER($E7),XLOOKUP(L$1,Metadata!$A$2:$A1000,Metadata!$B$2:$B1000))),L$1,"""")"),"")</f>
        <v/>
      </c>
      <c r="M7" s="34" t="str">
        <f>IFERROR(__xludf.DUMMYFUNCTION("IF(IF(M$1="""","""",REGEXMATCH(LOWER($E7),XLOOKUP(M$1,Metadata!$A$2:$A1000,Metadata!$B$2:$B1000))),M$1,"""")"),"")</f>
        <v/>
      </c>
      <c r="N7" s="34" t="str">
        <f>IFERROR(__xludf.DUMMYFUNCTION("IF(IF(N$1="""","""",REGEXMATCH(LOWER($E7),XLOOKUP(N$1,Metadata!$A$2:$A1000,Metadata!$B$2:$B1000))),N$1,"""")"),"")</f>
        <v/>
      </c>
      <c r="O7" s="34" t="str">
        <f>IFERROR(__xludf.DUMMYFUNCTION("IF(IF(O$1="""","""",REGEXMATCH(LOWER($E7),XLOOKUP(O$1,Metadata!$A$2:$A1000,Metadata!$B$2:$B1000))),O$1,"""")"),"")</f>
        <v/>
      </c>
      <c r="P7" s="34" t="str">
        <f>IFERROR(__xludf.DUMMYFUNCTION("IF(IF(P$1="""","""",REGEXMATCH(LOWER($E7),XLOOKUP(P$1,Metadata!$A$2:$A1000,Metadata!$B$2:$B1000))),P$1,"""")"),"")</f>
        <v/>
      </c>
      <c r="Q7" s="34" t="str">
        <f>IFERROR(__xludf.DUMMYFUNCTION("IF(IF(Q$1="""","""",REGEXMATCH(LOWER($E7),XLOOKUP(Q$1,Metadata!$A$2:$A1000,Metadata!$B$2:$B1000))),Q$1,"""")"),"")</f>
        <v/>
      </c>
      <c r="R7" s="34" t="str">
        <f>IFERROR(__xludf.DUMMYFUNCTION("IF(IF(R$1="""","""",REGEXMATCH(LOWER($E7),XLOOKUP(R$1,Metadata!$A$2:$A1000,Metadata!$B$2:$B1000))),R$1,"""")"),"")</f>
        <v/>
      </c>
      <c r="S7" s="34" t="str">
        <f>IFERROR(__xludf.DUMMYFUNCTION("IF(IF(S$1="""","""",REGEXMATCH(LOWER($E7),XLOOKUP(S$1,Metadata!$A$2:$A1000,Metadata!$B$2:$B1000))),S$1,"""")"),"")</f>
        <v/>
      </c>
      <c r="T7" s="34" t="str">
        <f>IFERROR(__xludf.DUMMYFUNCTION("IF(IF(T$1="""","""",REGEXMATCH(LOWER($E7),XLOOKUP(T$1,Metadata!$A$2:$A1000,Metadata!$B$2:$B1000))),T$1,"""")"),"")</f>
        <v/>
      </c>
      <c r="U7" s="34" t="str">
        <f>IFERROR(__xludf.DUMMYFUNCTION("IF(IF(U$1="""","""",REGEXMATCH(LOWER($E7),XLOOKUP(U$1,Metadata!$A$2:$A1000,Metadata!$B$2:$B1000))),U$1,"""")"),"")</f>
        <v/>
      </c>
      <c r="V7" s="34" t="str">
        <f>IFERROR(__xludf.DUMMYFUNCTION("IF(IF(V$1="""","""",REGEXMATCH(LOWER($E7),XLOOKUP(V$1,Metadata!$A$2:$A1000,Metadata!$B$2:$B1000))),V$1,"""")"),"")</f>
        <v/>
      </c>
      <c r="W7" s="34" t="str">
        <f>IFERROR(__xludf.DUMMYFUNCTION("IF(IF(W$1="""","""",REGEXMATCH(LOWER($E7),XLOOKUP(W$1,Metadata!$A$2:$A1000,Metadata!$B$2:$B1000))),W$1,"""")"),"")</f>
        <v/>
      </c>
      <c r="X7" s="34" t="str">
        <f>IFERROR(__xludf.DUMMYFUNCTION("IF(IF(X$1="""","""",REGEXMATCH(LOWER($E7),XLOOKUP(X$1,Metadata!$A$2:$A1000,Metadata!$B$2:$B1000))),X$1,"""")"),"")</f>
        <v/>
      </c>
      <c r="Y7" s="34" t="str">
        <f>IFERROR(__xludf.DUMMYFUNCTION("IF(IF(Y$1="""","""",REGEXMATCH(LOWER($E7),XLOOKUP(Y$1,Metadata!$A$2:$A1000,Metadata!$B$2:$B1000))),Y$1,"""")"),"")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I8">XLOOKUP($A8,Cards!$A$2:$A1000,Cards!$B$2:$I1000,"")</f>
        <v>Divine</v>
      </c>
      <c r="C8" s="34">
        <v>1.0</v>
      </c>
      <c r="D8" s="34" t="s">
        <v>50</v>
      </c>
      <c r="E8" s="34" t="s">
        <v>68</v>
      </c>
      <c r="F8" s="34" t="s">
        <v>69</v>
      </c>
      <c r="G8" s="34">
        <v>5.0</v>
      </c>
      <c r="H8" s="34" t="s">
        <v>62</v>
      </c>
      <c r="I8" s="34" t="s">
        <v>70</v>
      </c>
      <c r="J8" s="34">
        <f>IFERROR(__xludf.DUMMYFUNCTION("LEN(REGEXREPLACE(XLOOKUP($A8,Cards!$A$2:$A1000,Cards!$H$2:$H1000,""""),"",\s"",""""))"),6.0)</f>
        <v>6</v>
      </c>
      <c r="K8" s="34" t="str">
        <f t="shared" si="1"/>
        <v>      Ramp         </v>
      </c>
      <c r="L8" s="34" t="str">
        <f>IFERROR(__xludf.DUMMYFUNCTION("IF(IF(L$1="""","""",REGEXMATCH(LOWER($E8),XLOOKUP(L$1,Metadata!$A$2:$A1000,Metadata!$B$2:$B1000))),L$1,"""")"),"")</f>
        <v/>
      </c>
      <c r="M8" s="34" t="str">
        <f>IFERROR(__xludf.DUMMYFUNCTION("IF(IF(M$1="""","""",REGEXMATCH(LOWER($E8),XLOOKUP(M$1,Metadata!$A$2:$A1000,Metadata!$B$2:$B1000))),M$1,"""")"),"")</f>
        <v/>
      </c>
      <c r="N8" s="34" t="str">
        <f>IFERROR(__xludf.DUMMYFUNCTION("IF(IF(N$1="""","""",REGEXMATCH(LOWER($E8),XLOOKUP(N$1,Metadata!$A$2:$A1000,Metadata!$B$2:$B1000))),N$1,"""")"),"")</f>
        <v/>
      </c>
      <c r="O8" s="34" t="str">
        <f>IFERROR(__xludf.DUMMYFUNCTION("IF(IF(O$1="""","""",REGEXMATCH(LOWER($E8),XLOOKUP(O$1,Metadata!$A$2:$A1000,Metadata!$B$2:$B1000))),O$1,"""")"),"")</f>
        <v/>
      </c>
      <c r="P8" s="34" t="str">
        <f>IFERROR(__xludf.DUMMYFUNCTION("IF(IF(P$1="""","""",REGEXMATCH(LOWER($E8),XLOOKUP(P$1,Metadata!$A$2:$A1000,Metadata!$B$2:$B1000))),P$1,"""")"),"")</f>
        <v/>
      </c>
      <c r="Q8" s="34" t="str">
        <f>IFERROR(__xludf.DUMMYFUNCTION("IF(IF(Q$1="""","""",REGEXMATCH(LOWER($E8),XLOOKUP(Q$1,Metadata!$A$2:$A1000,Metadata!$B$2:$B1000))),Q$1,"""")"),"")</f>
        <v/>
      </c>
      <c r="R8" s="34" t="str">
        <f>IFERROR(__xludf.DUMMYFUNCTION("IF(IF(R$1="""","""",REGEXMATCH(LOWER($E8),XLOOKUP(R$1,Metadata!$A$2:$A1000,Metadata!$B$2:$B1000))),R$1,"""")"),"Ramp")</f>
        <v>Ramp</v>
      </c>
      <c r="S8" s="34" t="str">
        <f>IFERROR(__xludf.DUMMYFUNCTION("IF(IF(S$1="""","""",REGEXMATCH(LOWER($E8),XLOOKUP(S$1,Metadata!$A$2:$A1000,Metadata!$B$2:$B1000))),S$1,"""")"),"")</f>
        <v/>
      </c>
      <c r="T8" s="34" t="str">
        <f>IFERROR(__xludf.DUMMYFUNCTION("IF(IF(T$1="""","""",REGEXMATCH(LOWER($E8),XLOOKUP(T$1,Metadata!$A$2:$A1000,Metadata!$B$2:$B1000))),T$1,"""")"),"")</f>
        <v/>
      </c>
      <c r="U8" s="34" t="str">
        <f>IFERROR(__xludf.DUMMYFUNCTION("IF(IF(U$1="""","""",REGEXMATCH(LOWER($E8),XLOOKUP(U$1,Metadata!$A$2:$A1000,Metadata!$B$2:$B1000))),U$1,"""")"),"")</f>
        <v/>
      </c>
      <c r="V8" s="34" t="str">
        <f>IFERROR(__xludf.DUMMYFUNCTION("IF(IF(V$1="""","""",REGEXMATCH(LOWER($E8),XLOOKUP(V$1,Metadata!$A$2:$A1000,Metadata!$B$2:$B1000))),V$1,"""")"),"")</f>
        <v/>
      </c>
      <c r="W8" s="34" t="str">
        <f>IFERROR(__xludf.DUMMYFUNCTION("IF(IF(W$1="""","""",REGEXMATCH(LOWER($E8),XLOOKUP(W$1,Metadata!$A$2:$A1000,Metadata!$B$2:$B1000))),W$1,"""")"),"")</f>
        <v/>
      </c>
      <c r="X8" s="34" t="str">
        <f>IFERROR(__xludf.DUMMYFUNCTION("IF(IF(X$1="""","""",REGEXMATCH(LOWER($E8),XLOOKUP(X$1,Metadata!$A$2:$A1000,Metadata!$B$2:$B1000))),X$1,"""")"),"")</f>
        <v/>
      </c>
      <c r="Y8" s="34" t="str">
        <f>IFERROR(__xludf.DUMMYFUNCTION("IF(IF(Y$1="""","""",REGEXMATCH(LOWER($E8),XLOOKUP(Y$1,Metadata!$A$2:$A1000,Metadata!$B$2:$B1000))),Y$1,"""")"),"")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I9">XLOOKUP($A9,Cards!$A$2:$A1000,Cards!$B$2:$I1000,"")</f>
        <v>Divine</v>
      </c>
      <c r="C9" s="34">
        <v>2.0</v>
      </c>
      <c r="D9" s="34" t="s">
        <v>76</v>
      </c>
      <c r="E9" s="34" t="s">
        <v>77</v>
      </c>
      <c r="F9" s="34" t="s">
        <v>78</v>
      </c>
      <c r="G9" s="34">
        <v>4.0</v>
      </c>
      <c r="H9" s="34" t="s">
        <v>53</v>
      </c>
      <c r="I9" s="34" t="s">
        <v>70</v>
      </c>
      <c r="J9" s="34">
        <f>IFERROR(__xludf.DUMMYFUNCTION("LEN(REGEXREPLACE(XLOOKUP($A9,Cards!$A$2:$A1000,Cards!$H$2:$H1000,""""),"",\s"",""""))"),3.0)</f>
        <v>3</v>
      </c>
      <c r="K9" s="34" t="str">
        <f t="shared" si="1"/>
        <v>               </v>
      </c>
      <c r="L9" s="34" t="str">
        <f>IFERROR(__xludf.DUMMYFUNCTION("IF(IF(L$1="""","""",REGEXMATCH(LOWER($E9),XLOOKUP(L$1,Metadata!$A$2:$A1000,Metadata!$B$2:$B1000))),L$1,"""")"),"")</f>
        <v/>
      </c>
      <c r="M9" s="34" t="str">
        <f>IFERROR(__xludf.DUMMYFUNCTION("IF(IF(M$1="""","""",REGEXMATCH(LOWER($E9),XLOOKUP(M$1,Metadata!$A$2:$A1000,Metadata!$B$2:$B1000))),M$1,"""")"),"")</f>
        <v/>
      </c>
      <c r="N9" s="34" t="str">
        <f>IFERROR(__xludf.DUMMYFUNCTION("IF(IF(N$1="""","""",REGEXMATCH(LOWER($E9),XLOOKUP(N$1,Metadata!$A$2:$A1000,Metadata!$B$2:$B1000))),N$1,"""")"),"")</f>
        <v/>
      </c>
      <c r="O9" s="34" t="str">
        <f>IFERROR(__xludf.DUMMYFUNCTION("IF(IF(O$1="""","""",REGEXMATCH(LOWER($E9),XLOOKUP(O$1,Metadata!$A$2:$A1000,Metadata!$B$2:$B1000))),O$1,"""")"),"")</f>
        <v/>
      </c>
      <c r="P9" s="34" t="str">
        <f>IFERROR(__xludf.DUMMYFUNCTION("IF(IF(P$1="""","""",REGEXMATCH(LOWER($E9),XLOOKUP(P$1,Metadata!$A$2:$A1000,Metadata!$B$2:$B1000))),P$1,"""")"),"")</f>
        <v/>
      </c>
      <c r="Q9" s="34" t="str">
        <f>IFERROR(__xludf.DUMMYFUNCTION("IF(IF(Q$1="""","""",REGEXMATCH(LOWER($E9),XLOOKUP(Q$1,Metadata!$A$2:$A1000,Metadata!$B$2:$B1000))),Q$1,"""")"),"")</f>
        <v/>
      </c>
      <c r="R9" s="34" t="str">
        <f>IFERROR(__xludf.DUMMYFUNCTION("IF(IF(R$1="""","""",REGEXMATCH(LOWER($E9),XLOOKUP(R$1,Metadata!$A$2:$A1000,Metadata!$B$2:$B1000))),R$1,"""")"),"")</f>
        <v/>
      </c>
      <c r="S9" s="34" t="str">
        <f>IFERROR(__xludf.DUMMYFUNCTION("IF(IF(S$1="""","""",REGEXMATCH(LOWER($E9),XLOOKUP(S$1,Metadata!$A$2:$A1000,Metadata!$B$2:$B1000))),S$1,"""")"),"")</f>
        <v/>
      </c>
      <c r="T9" s="34" t="str">
        <f>IFERROR(__xludf.DUMMYFUNCTION("IF(IF(T$1="""","""",REGEXMATCH(LOWER($E9),XLOOKUP(T$1,Metadata!$A$2:$A1000,Metadata!$B$2:$B1000))),T$1,"""")"),"")</f>
        <v/>
      </c>
      <c r="U9" s="34" t="str">
        <f>IFERROR(__xludf.DUMMYFUNCTION("IF(IF(U$1="""","""",REGEXMATCH(LOWER($E9),XLOOKUP(U$1,Metadata!$A$2:$A1000,Metadata!$B$2:$B1000))),U$1,"""")"),"")</f>
        <v/>
      </c>
      <c r="V9" s="34" t="str">
        <f>IFERROR(__xludf.DUMMYFUNCTION("IF(IF(V$1="""","""",REGEXMATCH(LOWER($E9),XLOOKUP(V$1,Metadata!$A$2:$A1000,Metadata!$B$2:$B1000))),V$1,"""")"),"")</f>
        <v/>
      </c>
      <c r="W9" s="34" t="str">
        <f>IFERROR(__xludf.DUMMYFUNCTION("IF(IF(W$1="""","""",REGEXMATCH(LOWER($E9),XLOOKUP(W$1,Metadata!$A$2:$A1000,Metadata!$B$2:$B1000))),W$1,"""")"),"")</f>
        <v/>
      </c>
      <c r="X9" s="34" t="str">
        <f>IFERROR(__xludf.DUMMYFUNCTION("IF(IF(X$1="""","""",REGEXMATCH(LOWER($E9),XLOOKUP(X$1,Metadata!$A$2:$A1000,Metadata!$B$2:$B1000))),X$1,"""")"),"")</f>
        <v/>
      </c>
      <c r="Y9" s="34" t="str">
        <f>IFERROR(__xludf.DUMMYFUNCTION("IF(IF(Y$1="""","""",REGEXMATCH(LOWER($E9),XLOOKUP(Y$1,Metadata!$A$2:$A1000,Metadata!$B$2:$B1000))),Y$1,"""")"),"")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I10">XLOOKUP($A10,Cards!$A$2:$A1000,Cards!$B$2:$I1000,"")</f>
        <v>Divine</v>
      </c>
      <c r="C10" s="34">
        <v>1.0</v>
      </c>
      <c r="D10" s="34" t="s">
        <v>80</v>
      </c>
      <c r="E10" s="34" t="s">
        <v>81</v>
      </c>
      <c r="F10" s="34" t="s">
        <v>82</v>
      </c>
      <c r="G10" s="34">
        <v>4.0</v>
      </c>
      <c r="H10" s="34" t="s">
        <v>53</v>
      </c>
      <c r="I10" s="34" t="s">
        <v>26</v>
      </c>
      <c r="J10" s="34">
        <f>IFERROR(__xludf.DUMMYFUNCTION("LEN(REGEXREPLACE(XLOOKUP($A10,Cards!$A$2:$A1000,Cards!$H$2:$H1000,""""),"",\s"",""""))"),3.0)</f>
        <v>3</v>
      </c>
      <c r="K10" s="34" t="str">
        <f t="shared" si="1"/>
        <v>      Ramp         </v>
      </c>
      <c r="L10" s="34" t="str">
        <f>IFERROR(__xludf.DUMMYFUNCTION("IF(IF(L$1="""","""",REGEXMATCH(LOWER($E10),XLOOKUP(L$1,Metadata!$A$2:$A1000,Metadata!$B$2:$B1000))),L$1,"""")"),"")</f>
        <v/>
      </c>
      <c r="M10" s="34" t="str">
        <f>IFERROR(__xludf.DUMMYFUNCTION("IF(IF(M$1="""","""",REGEXMATCH(LOWER($E10),XLOOKUP(M$1,Metadata!$A$2:$A1000,Metadata!$B$2:$B1000))),M$1,"""")"),"")</f>
        <v/>
      </c>
      <c r="N10" s="34" t="str">
        <f>IFERROR(__xludf.DUMMYFUNCTION("IF(IF(N$1="""","""",REGEXMATCH(LOWER($E10),XLOOKUP(N$1,Metadata!$A$2:$A1000,Metadata!$B$2:$B1000))),N$1,"""")"),"")</f>
        <v/>
      </c>
      <c r="O10" s="34" t="str">
        <f>IFERROR(__xludf.DUMMYFUNCTION("IF(IF(O$1="""","""",REGEXMATCH(LOWER($E10),XLOOKUP(O$1,Metadata!$A$2:$A1000,Metadata!$B$2:$B1000))),O$1,"""")"),"")</f>
        <v/>
      </c>
      <c r="P10" s="34" t="str">
        <f>IFERROR(__xludf.DUMMYFUNCTION("IF(IF(P$1="""","""",REGEXMATCH(LOWER($E10),XLOOKUP(P$1,Metadata!$A$2:$A1000,Metadata!$B$2:$B1000))),P$1,"""")"),"")</f>
        <v/>
      </c>
      <c r="Q10" s="34" t="str">
        <f>IFERROR(__xludf.DUMMYFUNCTION("IF(IF(Q$1="""","""",REGEXMATCH(LOWER($E10),XLOOKUP(Q$1,Metadata!$A$2:$A1000,Metadata!$B$2:$B1000))),Q$1,"""")"),"")</f>
        <v/>
      </c>
      <c r="R10" s="34" t="str">
        <f>IFERROR(__xludf.DUMMYFUNCTION("IF(IF(R$1="""","""",REGEXMATCH(LOWER($E10),XLOOKUP(R$1,Metadata!$A$2:$A1000,Metadata!$B$2:$B1000))),R$1,"""")"),"Ramp")</f>
        <v>Ramp</v>
      </c>
      <c r="S10" s="34" t="str">
        <f>IFERROR(__xludf.DUMMYFUNCTION("IF(IF(S$1="""","""",REGEXMATCH(LOWER($E10),XLOOKUP(S$1,Metadata!$A$2:$A1000,Metadata!$B$2:$B1000))),S$1,"""")"),"")</f>
        <v/>
      </c>
      <c r="T10" s="34" t="str">
        <f>IFERROR(__xludf.DUMMYFUNCTION("IF(IF(T$1="""","""",REGEXMATCH(LOWER($E10),XLOOKUP(T$1,Metadata!$A$2:$A1000,Metadata!$B$2:$B1000))),T$1,"""")"),"")</f>
        <v/>
      </c>
      <c r="U10" s="34" t="str">
        <f>IFERROR(__xludf.DUMMYFUNCTION("IF(IF(U$1="""","""",REGEXMATCH(LOWER($E10),XLOOKUP(U$1,Metadata!$A$2:$A1000,Metadata!$B$2:$B1000))),U$1,"""")"),"")</f>
        <v/>
      </c>
      <c r="V10" s="34" t="str">
        <f>IFERROR(__xludf.DUMMYFUNCTION("IF(IF(V$1="""","""",REGEXMATCH(LOWER($E10),XLOOKUP(V$1,Metadata!$A$2:$A1000,Metadata!$B$2:$B1000))),V$1,"""")"),"")</f>
        <v/>
      </c>
      <c r="W10" s="34" t="str">
        <f>IFERROR(__xludf.DUMMYFUNCTION("IF(IF(W$1="""","""",REGEXMATCH(LOWER($E10),XLOOKUP(W$1,Metadata!$A$2:$A1000,Metadata!$B$2:$B1000))),W$1,"""")"),"")</f>
        <v/>
      </c>
      <c r="X10" s="34" t="str">
        <f>IFERROR(__xludf.DUMMYFUNCTION("IF(IF(X$1="""","""",REGEXMATCH(LOWER($E10),XLOOKUP(X$1,Metadata!$A$2:$A1000,Metadata!$B$2:$B1000))),X$1,"""")"),"")</f>
        <v/>
      </c>
      <c r="Y10" s="34" t="str">
        <f>IFERROR(__xludf.DUMMYFUNCTION("IF(IF(Y$1="""","""",REGEXMATCH(LOWER($E10),XLOOKUP(Y$1,Metadata!$A$2:$A1000,Metadata!$B$2:$B1000))),Y$1,"""")"),"")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I11">XLOOKUP($A11,Cards!$A$2:$A1000,Cards!$B$2:$I1000,"")</f>
        <v>Divine</v>
      </c>
      <c r="C11" s="34">
        <v>1.0</v>
      </c>
      <c r="D11" s="34" t="s">
        <v>88</v>
      </c>
      <c r="E11" s="34" t="s">
        <v>89</v>
      </c>
      <c r="F11" s="34" t="s">
        <v>90</v>
      </c>
      <c r="G11" s="34">
        <v>2.0</v>
      </c>
      <c r="H11" s="34" t="s">
        <v>25</v>
      </c>
      <c r="I11" s="34" t="s">
        <v>26</v>
      </c>
      <c r="J11" s="34">
        <f>IFERROR(__xludf.DUMMYFUNCTION("LEN(REGEXREPLACE(XLOOKUP($A11,Cards!$A$2:$A1000,Cards!$H$2:$H1000,""""),"",\s"",""""))"),1.0)</f>
        <v>1</v>
      </c>
      <c r="K11" s="34" t="str">
        <f t="shared" si="1"/>
        <v>               </v>
      </c>
      <c r="L11" s="34" t="str">
        <f>IFERROR(__xludf.DUMMYFUNCTION("IF(IF(L$1="""","""",REGEXMATCH(LOWER($E11),XLOOKUP(L$1,Metadata!$A$2:$A1000,Metadata!$B$2:$B1000))),L$1,"""")"),"")</f>
        <v/>
      </c>
      <c r="M11" s="34" t="str">
        <f>IFERROR(__xludf.DUMMYFUNCTION("IF(IF(M$1="""","""",REGEXMATCH(LOWER($E11),XLOOKUP(M$1,Metadata!$A$2:$A1000,Metadata!$B$2:$B1000))),M$1,"""")"),"")</f>
        <v/>
      </c>
      <c r="N11" s="34" t="str">
        <f>IFERROR(__xludf.DUMMYFUNCTION("IF(IF(N$1="""","""",REGEXMATCH(LOWER($E11),XLOOKUP(N$1,Metadata!$A$2:$A1000,Metadata!$B$2:$B1000))),N$1,"""")"),"")</f>
        <v/>
      </c>
      <c r="O11" s="34" t="str">
        <f>IFERROR(__xludf.DUMMYFUNCTION("IF(IF(O$1="""","""",REGEXMATCH(LOWER($E11),XLOOKUP(O$1,Metadata!$A$2:$A1000,Metadata!$B$2:$B1000))),O$1,"""")"),"")</f>
        <v/>
      </c>
      <c r="P11" s="34" t="str">
        <f>IFERROR(__xludf.DUMMYFUNCTION("IF(IF(P$1="""","""",REGEXMATCH(LOWER($E11),XLOOKUP(P$1,Metadata!$A$2:$A1000,Metadata!$B$2:$B1000))),P$1,"""")"),"")</f>
        <v/>
      </c>
      <c r="Q11" s="34" t="str">
        <f>IFERROR(__xludf.DUMMYFUNCTION("IF(IF(Q$1="""","""",REGEXMATCH(LOWER($E11),XLOOKUP(Q$1,Metadata!$A$2:$A1000,Metadata!$B$2:$B1000))),Q$1,"""")"),"")</f>
        <v/>
      </c>
      <c r="R11" s="34" t="str">
        <f>IFERROR(__xludf.DUMMYFUNCTION("IF(IF(R$1="""","""",REGEXMATCH(LOWER($E11),XLOOKUP(R$1,Metadata!$A$2:$A1000,Metadata!$B$2:$B1000))),R$1,"""")"),"")</f>
        <v/>
      </c>
      <c r="S11" s="34" t="str">
        <f>IFERROR(__xludf.DUMMYFUNCTION("IF(IF(S$1="""","""",REGEXMATCH(LOWER($E11),XLOOKUP(S$1,Metadata!$A$2:$A1000,Metadata!$B$2:$B1000))),S$1,"""")"),"")</f>
        <v/>
      </c>
      <c r="T11" s="34" t="str">
        <f>IFERROR(__xludf.DUMMYFUNCTION("IF(IF(T$1="""","""",REGEXMATCH(LOWER($E11),XLOOKUP(T$1,Metadata!$A$2:$A1000,Metadata!$B$2:$B1000))),T$1,"""")"),"")</f>
        <v/>
      </c>
      <c r="U11" s="34" t="str">
        <f>IFERROR(__xludf.DUMMYFUNCTION("IF(IF(U$1="""","""",REGEXMATCH(LOWER($E11),XLOOKUP(U$1,Metadata!$A$2:$A1000,Metadata!$B$2:$B1000))),U$1,"""")"),"")</f>
        <v/>
      </c>
      <c r="V11" s="34" t="str">
        <f>IFERROR(__xludf.DUMMYFUNCTION("IF(IF(V$1="""","""",REGEXMATCH(LOWER($E11),XLOOKUP(V$1,Metadata!$A$2:$A1000,Metadata!$B$2:$B1000))),V$1,"""")"),"")</f>
        <v/>
      </c>
      <c r="W11" s="34" t="str">
        <f>IFERROR(__xludf.DUMMYFUNCTION("IF(IF(W$1="""","""",REGEXMATCH(LOWER($E11),XLOOKUP(W$1,Metadata!$A$2:$A1000,Metadata!$B$2:$B1000))),W$1,"""")"),"")</f>
        <v/>
      </c>
      <c r="X11" s="34" t="str">
        <f>IFERROR(__xludf.DUMMYFUNCTION("IF(IF(X$1="""","""",REGEXMATCH(LOWER($E11),XLOOKUP(X$1,Metadata!$A$2:$A1000,Metadata!$B$2:$B1000))),X$1,"""")"),"")</f>
        <v/>
      </c>
      <c r="Y11" s="34" t="str">
        <f>IFERROR(__xludf.DUMMYFUNCTION("IF(IF(Y$1="""","""",REGEXMATCH(LOWER($E11),XLOOKUP(Y$1,Metadata!$A$2:$A1000,Metadata!$B$2:$B1000))),Y$1,"""")"),"")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I12">XLOOKUP($A12,Cards!$A$2:$A1000,Cards!$B$2:$I1000,"")</f>
        <v>Divine</v>
      </c>
      <c r="C12" s="34">
        <v>1.0</v>
      </c>
      <c r="D12" s="34" t="s">
        <v>96</v>
      </c>
      <c r="E12" s="34" t="s">
        <v>97</v>
      </c>
      <c r="F12" s="34" t="s">
        <v>98</v>
      </c>
      <c r="G12" s="34">
        <v>3.0</v>
      </c>
      <c r="H12" s="34" t="s">
        <v>99</v>
      </c>
      <c r="I12" s="34" t="s">
        <v>70</v>
      </c>
      <c r="J12" s="34">
        <f>IFERROR(__xludf.DUMMYFUNCTION("LEN(REGEXREPLACE(XLOOKUP($A12,Cards!$A$2:$A1000,Cards!$H$2:$H1000,""""),"",\s"",""""))"),3.0)</f>
        <v>3</v>
      </c>
      <c r="K12" s="34" t="str">
        <f t="shared" si="1"/>
        <v>           Move    </v>
      </c>
      <c r="L12" s="34" t="str">
        <f>IFERROR(__xludf.DUMMYFUNCTION("IF(IF(L$1="""","""",REGEXMATCH(LOWER($E12),XLOOKUP(L$1,Metadata!$A$2:$A1000,Metadata!$B$2:$B1000))),L$1,"""")"),"")</f>
        <v/>
      </c>
      <c r="M12" s="34" t="str">
        <f>IFERROR(__xludf.DUMMYFUNCTION("IF(IF(M$1="""","""",REGEXMATCH(LOWER($E12),XLOOKUP(M$1,Metadata!$A$2:$A1000,Metadata!$B$2:$B1000))),M$1,"""")"),"")</f>
        <v/>
      </c>
      <c r="N12" s="34" t="str">
        <f>IFERROR(__xludf.DUMMYFUNCTION("IF(IF(N$1="""","""",REGEXMATCH(LOWER($E12),XLOOKUP(N$1,Metadata!$A$2:$A1000,Metadata!$B$2:$B1000))),N$1,"""")"),"")</f>
        <v/>
      </c>
      <c r="O12" s="34" t="str">
        <f>IFERROR(__xludf.DUMMYFUNCTION("IF(IF(O$1="""","""",REGEXMATCH(LOWER($E12),XLOOKUP(O$1,Metadata!$A$2:$A1000,Metadata!$B$2:$B1000))),O$1,"""")"),"")</f>
        <v/>
      </c>
      <c r="P12" s="34" t="str">
        <f>IFERROR(__xludf.DUMMYFUNCTION("IF(IF(P$1="""","""",REGEXMATCH(LOWER($E12),XLOOKUP(P$1,Metadata!$A$2:$A1000,Metadata!$B$2:$B1000))),P$1,"""")"),"")</f>
        <v/>
      </c>
      <c r="Q12" s="34" t="str">
        <f>IFERROR(__xludf.DUMMYFUNCTION("IF(IF(Q$1="""","""",REGEXMATCH(LOWER($E12),XLOOKUP(Q$1,Metadata!$A$2:$A1000,Metadata!$B$2:$B1000))),Q$1,"""")"),"")</f>
        <v/>
      </c>
      <c r="R12" s="34" t="str">
        <f>IFERROR(__xludf.DUMMYFUNCTION("IF(IF(R$1="""","""",REGEXMATCH(LOWER($E12),XLOOKUP(R$1,Metadata!$A$2:$A1000,Metadata!$B$2:$B1000))),R$1,"""")"),"")</f>
        <v/>
      </c>
      <c r="S12" s="34" t="str">
        <f>IFERROR(__xludf.DUMMYFUNCTION("IF(IF(S$1="""","""",REGEXMATCH(LOWER($E12),XLOOKUP(S$1,Metadata!$A$2:$A1000,Metadata!$B$2:$B1000))),S$1,"""")"),"")</f>
        <v/>
      </c>
      <c r="T12" s="34" t="str">
        <f>IFERROR(__xludf.DUMMYFUNCTION("IF(IF(T$1="""","""",REGEXMATCH(LOWER($E12),XLOOKUP(T$1,Metadata!$A$2:$A1000,Metadata!$B$2:$B1000))),T$1,"""")"),"")</f>
        <v/>
      </c>
      <c r="U12" s="34" t="str">
        <f>IFERROR(__xludf.DUMMYFUNCTION("IF(IF(U$1="""","""",REGEXMATCH(LOWER($E12),XLOOKUP(U$1,Metadata!$A$2:$A1000,Metadata!$B$2:$B1000))),U$1,"""")"),"")</f>
        <v/>
      </c>
      <c r="V12" s="34" t="str">
        <f>IFERROR(__xludf.DUMMYFUNCTION("IF(IF(V$1="""","""",REGEXMATCH(LOWER($E12),XLOOKUP(V$1,Metadata!$A$2:$A1000,Metadata!$B$2:$B1000))),V$1,"""")"),"")</f>
        <v/>
      </c>
      <c r="W12" s="34" t="str">
        <f>IFERROR(__xludf.DUMMYFUNCTION("IF(IF(W$1="""","""",REGEXMATCH(LOWER($E12),XLOOKUP(W$1,Metadata!$A$2:$A1000,Metadata!$B$2:$B1000))),W$1,"""")"),"Move")</f>
        <v>Move</v>
      </c>
      <c r="X12" s="34" t="str">
        <f>IFERROR(__xludf.DUMMYFUNCTION("IF(IF(X$1="""","""",REGEXMATCH(LOWER($E12),XLOOKUP(X$1,Metadata!$A$2:$A1000,Metadata!$B$2:$B1000))),X$1,"""")"),"")</f>
        <v/>
      </c>
      <c r="Y12" s="34" t="str">
        <f>IFERROR(__xludf.DUMMYFUNCTION("IF(IF(Y$1="""","""",REGEXMATCH(LOWER($E12),XLOOKUP(Y$1,Metadata!$A$2:$A1000,Metadata!$B$2:$B1000))),Y$1,"""")"),"")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I13">XLOOKUP($A13,Cards!$A$2:$A1000,Cards!$B$2:$I1000,"")</f>
        <v>Divine</v>
      </c>
      <c r="C13" s="34">
        <v>1.0</v>
      </c>
      <c r="D13" s="34" t="s">
        <v>40</v>
      </c>
      <c r="E13" s="34"/>
      <c r="F13" s="34" t="s">
        <v>105</v>
      </c>
      <c r="G13" s="34">
        <v>3.0</v>
      </c>
      <c r="H13" s="34" t="s">
        <v>106</v>
      </c>
      <c r="I13" s="34" t="s">
        <v>26</v>
      </c>
      <c r="J13" s="34">
        <f>IFERROR(__xludf.DUMMYFUNCTION("LEN(REGEXREPLACE(XLOOKUP($A13,Cards!$A$2:$A1000,Cards!$H$2:$H1000,""""),"",\s"",""""))"),2.0)</f>
        <v>2</v>
      </c>
      <c r="K13" s="34" t="str">
        <f t="shared" si="1"/>
        <v>               </v>
      </c>
      <c r="L13" s="34" t="str">
        <f>IFERROR(__xludf.DUMMYFUNCTION("IF(IF(L$1="""","""",REGEXMATCH(LOWER($E13),XLOOKUP(L$1,Metadata!$A$2:$A1000,Metadata!$B$2:$B1000))),L$1,"""")"),"")</f>
        <v/>
      </c>
      <c r="M13" s="34" t="str">
        <f>IFERROR(__xludf.DUMMYFUNCTION("IF(IF(M$1="""","""",REGEXMATCH(LOWER($E13),XLOOKUP(M$1,Metadata!$A$2:$A1000,Metadata!$B$2:$B1000))),M$1,"""")"),"")</f>
        <v/>
      </c>
      <c r="N13" s="34" t="str">
        <f>IFERROR(__xludf.DUMMYFUNCTION("IF(IF(N$1="""","""",REGEXMATCH(LOWER($E13),XLOOKUP(N$1,Metadata!$A$2:$A1000,Metadata!$B$2:$B1000))),N$1,"""")"),"")</f>
        <v/>
      </c>
      <c r="O13" s="34" t="str">
        <f>IFERROR(__xludf.DUMMYFUNCTION("IF(IF(O$1="""","""",REGEXMATCH(LOWER($E13),XLOOKUP(O$1,Metadata!$A$2:$A1000,Metadata!$B$2:$B1000))),O$1,"""")"),"")</f>
        <v/>
      </c>
      <c r="P13" s="34" t="str">
        <f>IFERROR(__xludf.DUMMYFUNCTION("IF(IF(P$1="""","""",REGEXMATCH(LOWER($E13),XLOOKUP(P$1,Metadata!$A$2:$A1000,Metadata!$B$2:$B1000))),P$1,"""")"),"")</f>
        <v/>
      </c>
      <c r="Q13" s="34" t="str">
        <f>IFERROR(__xludf.DUMMYFUNCTION("IF(IF(Q$1="""","""",REGEXMATCH(LOWER($E13),XLOOKUP(Q$1,Metadata!$A$2:$A1000,Metadata!$B$2:$B1000))),Q$1,"""")"),"")</f>
        <v/>
      </c>
      <c r="R13" s="34" t="str">
        <f>IFERROR(__xludf.DUMMYFUNCTION("IF(IF(R$1="""","""",REGEXMATCH(LOWER($E13),XLOOKUP(R$1,Metadata!$A$2:$A1000,Metadata!$B$2:$B1000))),R$1,"""")"),"")</f>
        <v/>
      </c>
      <c r="S13" s="34" t="str">
        <f>IFERROR(__xludf.DUMMYFUNCTION("IF(IF(S$1="""","""",REGEXMATCH(LOWER($E13),XLOOKUP(S$1,Metadata!$A$2:$A1000,Metadata!$B$2:$B1000))),S$1,"""")"),"")</f>
        <v/>
      </c>
      <c r="T13" s="34" t="str">
        <f>IFERROR(__xludf.DUMMYFUNCTION("IF(IF(T$1="""","""",REGEXMATCH(LOWER($E13),XLOOKUP(T$1,Metadata!$A$2:$A1000,Metadata!$B$2:$B1000))),T$1,"""")"),"")</f>
        <v/>
      </c>
      <c r="U13" s="34" t="str">
        <f>IFERROR(__xludf.DUMMYFUNCTION("IF(IF(U$1="""","""",REGEXMATCH(LOWER($E13),XLOOKUP(U$1,Metadata!$A$2:$A1000,Metadata!$B$2:$B1000))),U$1,"""")"),"")</f>
        <v/>
      </c>
      <c r="V13" s="34" t="str">
        <f>IFERROR(__xludf.DUMMYFUNCTION("IF(IF(V$1="""","""",REGEXMATCH(LOWER($E13),XLOOKUP(V$1,Metadata!$A$2:$A1000,Metadata!$B$2:$B1000))),V$1,"""")"),"")</f>
        <v/>
      </c>
      <c r="W13" s="34" t="str">
        <f>IFERROR(__xludf.DUMMYFUNCTION("IF(IF(W$1="""","""",REGEXMATCH(LOWER($E13),XLOOKUP(W$1,Metadata!$A$2:$A1000,Metadata!$B$2:$B1000))),W$1,"""")"),"")</f>
        <v/>
      </c>
      <c r="X13" s="34" t="str">
        <f>IFERROR(__xludf.DUMMYFUNCTION("IF(IF(X$1="""","""",REGEXMATCH(LOWER($E13),XLOOKUP(X$1,Metadata!$A$2:$A1000,Metadata!$B$2:$B1000))),X$1,"""")"),"")</f>
        <v/>
      </c>
      <c r="Y13" s="34" t="str">
        <f>IFERROR(__xludf.DUMMYFUNCTION("IF(IF(Y$1="""","""",REGEXMATCH(LOWER($E13),XLOOKUP(Y$1,Metadata!$A$2:$A1000,Metadata!$B$2:$B1000))),Y$1,"""")"),"")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I14">XLOOKUP($A14,Cards!$A$2:$A1000,Cards!$B$2:$I1000,"")</f>
        <v>Divine</v>
      </c>
      <c r="C14" s="34">
        <v>1.0</v>
      </c>
      <c r="D14" s="34" t="s">
        <v>111</v>
      </c>
      <c r="E14" s="34" t="s">
        <v>112</v>
      </c>
      <c r="F14" s="34" t="s">
        <v>113</v>
      </c>
      <c r="G14" s="34">
        <v>1.0</v>
      </c>
      <c r="H14" s="34" t="s">
        <v>106</v>
      </c>
      <c r="I14" s="34" t="s">
        <v>26</v>
      </c>
      <c r="J14" s="34">
        <f>IFERROR(__xludf.DUMMYFUNCTION("LEN(REGEXREPLACE(XLOOKUP($A14,Cards!$A$2:$A1000,Cards!$H$2:$H1000,""""),"",\s"",""""))"),2.0)</f>
        <v>2</v>
      </c>
      <c r="K14" s="34" t="str">
        <f t="shared" si="1"/>
        <v>Divine               </v>
      </c>
      <c r="L14" s="34" t="str">
        <f>IFERROR(__xludf.DUMMYFUNCTION("IF(IF(L$1="""","""",REGEXMATCH(LOWER($E14),XLOOKUP(L$1,Metadata!$A$2:$A1000,Metadata!$B$2:$B1000))),L$1,"""")"),"Divine")</f>
        <v>Divine</v>
      </c>
      <c r="M14" s="34" t="str">
        <f>IFERROR(__xludf.DUMMYFUNCTION("IF(IF(M$1="""","""",REGEXMATCH(LOWER($E14),XLOOKUP(M$1,Metadata!$A$2:$A1000,Metadata!$B$2:$B1000))),M$1,"""")"),"")</f>
        <v/>
      </c>
      <c r="N14" s="34" t="str">
        <f>IFERROR(__xludf.DUMMYFUNCTION("IF(IF(N$1="""","""",REGEXMATCH(LOWER($E14),XLOOKUP(N$1,Metadata!$A$2:$A1000,Metadata!$B$2:$B1000))),N$1,"""")"),"")</f>
        <v/>
      </c>
      <c r="O14" s="34" t="str">
        <f>IFERROR(__xludf.DUMMYFUNCTION("IF(IF(O$1="""","""",REGEXMATCH(LOWER($E14),XLOOKUP(O$1,Metadata!$A$2:$A1000,Metadata!$B$2:$B1000))),O$1,"""")"),"")</f>
        <v/>
      </c>
      <c r="P14" s="34" t="str">
        <f>IFERROR(__xludf.DUMMYFUNCTION("IF(IF(P$1="""","""",REGEXMATCH(LOWER($E14),XLOOKUP(P$1,Metadata!$A$2:$A1000,Metadata!$B$2:$B1000))),P$1,"""")"),"")</f>
        <v/>
      </c>
      <c r="Q14" s="34" t="str">
        <f>IFERROR(__xludf.DUMMYFUNCTION("IF(IF(Q$1="""","""",REGEXMATCH(LOWER($E14),XLOOKUP(Q$1,Metadata!$A$2:$A1000,Metadata!$B$2:$B1000))),Q$1,"""")"),"")</f>
        <v/>
      </c>
      <c r="R14" s="34" t="str">
        <f>IFERROR(__xludf.DUMMYFUNCTION("IF(IF(R$1="""","""",REGEXMATCH(LOWER($E14),XLOOKUP(R$1,Metadata!$A$2:$A1000,Metadata!$B$2:$B1000))),R$1,"""")"),"")</f>
        <v/>
      </c>
      <c r="S14" s="34" t="str">
        <f>IFERROR(__xludf.DUMMYFUNCTION("IF(IF(S$1="""","""",REGEXMATCH(LOWER($E14),XLOOKUP(S$1,Metadata!$A$2:$A1000,Metadata!$B$2:$B1000))),S$1,"""")"),"")</f>
        <v/>
      </c>
      <c r="T14" s="34" t="str">
        <f>IFERROR(__xludf.DUMMYFUNCTION("IF(IF(T$1="""","""",REGEXMATCH(LOWER($E14),XLOOKUP(T$1,Metadata!$A$2:$A1000,Metadata!$B$2:$B1000))),T$1,"""")"),"")</f>
        <v/>
      </c>
      <c r="U14" s="34" t="str">
        <f>IFERROR(__xludf.DUMMYFUNCTION("IF(IF(U$1="""","""",REGEXMATCH(LOWER($E14),XLOOKUP(U$1,Metadata!$A$2:$A1000,Metadata!$B$2:$B1000))),U$1,"""")"),"")</f>
        <v/>
      </c>
      <c r="V14" s="34" t="str">
        <f>IFERROR(__xludf.DUMMYFUNCTION("IF(IF(V$1="""","""",REGEXMATCH(LOWER($E14),XLOOKUP(V$1,Metadata!$A$2:$A1000,Metadata!$B$2:$B1000))),V$1,"""")"),"")</f>
        <v/>
      </c>
      <c r="W14" s="34" t="str">
        <f>IFERROR(__xludf.DUMMYFUNCTION("IF(IF(W$1="""","""",REGEXMATCH(LOWER($E14),XLOOKUP(W$1,Metadata!$A$2:$A1000,Metadata!$B$2:$B1000))),W$1,"""")"),"")</f>
        <v/>
      </c>
      <c r="X14" s="34" t="str">
        <f>IFERROR(__xludf.DUMMYFUNCTION("IF(IF(X$1="""","""",REGEXMATCH(LOWER($E14),XLOOKUP(X$1,Metadata!$A$2:$A1000,Metadata!$B$2:$B1000))),X$1,"""")"),"")</f>
        <v/>
      </c>
      <c r="Y14" s="34" t="str">
        <f>IFERROR(__xludf.DUMMYFUNCTION("IF(IF(Y$1="""","""",REGEXMATCH(LOWER($E14),XLOOKUP(Y$1,Metadata!$A$2:$A1000,Metadata!$B$2:$B1000))),Y$1,"""")"),"")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I15">XLOOKUP($A15,Cards!$A$2:$A1000,Cards!$B$2:$I1000,"")</f>
        <v>Divine</v>
      </c>
      <c r="C15" s="34">
        <v>1.0</v>
      </c>
      <c r="D15" s="34" t="s">
        <v>28</v>
      </c>
      <c r="E15" s="34" t="s">
        <v>118</v>
      </c>
      <c r="F15" s="34" t="s">
        <v>119</v>
      </c>
      <c r="G15" s="34">
        <v>2.0</v>
      </c>
      <c r="H15" s="34" t="s">
        <v>99</v>
      </c>
      <c r="I15" s="34" t="s">
        <v>70</v>
      </c>
      <c r="J15" s="34">
        <f>IFERROR(__xludf.DUMMYFUNCTION("LEN(REGEXREPLACE(XLOOKUP($A15,Cards!$A$2:$A1000,Cards!$H$2:$H1000,""""),"",\s"",""""))"),3.0)</f>
        <v>3</v>
      </c>
      <c r="K15" s="34" t="str">
        <f t="shared" si="1"/>
        <v>      Ramp         </v>
      </c>
      <c r="L15" s="34" t="str">
        <f>IFERROR(__xludf.DUMMYFUNCTION("IF(IF(L$1="""","""",REGEXMATCH(LOWER($E15),XLOOKUP(L$1,Metadata!$A$2:$A1000,Metadata!$B$2:$B1000))),L$1,"""")"),"")</f>
        <v/>
      </c>
      <c r="M15" s="34" t="str">
        <f>IFERROR(__xludf.DUMMYFUNCTION("IF(IF(M$1="""","""",REGEXMATCH(LOWER($E15),XLOOKUP(M$1,Metadata!$A$2:$A1000,Metadata!$B$2:$B1000))),M$1,"""")"),"")</f>
        <v/>
      </c>
      <c r="N15" s="34" t="str">
        <f>IFERROR(__xludf.DUMMYFUNCTION("IF(IF(N$1="""","""",REGEXMATCH(LOWER($E15),XLOOKUP(N$1,Metadata!$A$2:$A1000,Metadata!$B$2:$B1000))),N$1,"""")"),"")</f>
        <v/>
      </c>
      <c r="O15" s="34" t="str">
        <f>IFERROR(__xludf.DUMMYFUNCTION("IF(IF(O$1="""","""",REGEXMATCH(LOWER($E15),XLOOKUP(O$1,Metadata!$A$2:$A1000,Metadata!$B$2:$B1000))),O$1,"""")"),"")</f>
        <v/>
      </c>
      <c r="P15" s="34" t="str">
        <f>IFERROR(__xludf.DUMMYFUNCTION("IF(IF(P$1="""","""",REGEXMATCH(LOWER($E15),XLOOKUP(P$1,Metadata!$A$2:$A1000,Metadata!$B$2:$B1000))),P$1,"""")"),"")</f>
        <v/>
      </c>
      <c r="Q15" s="34" t="str">
        <f>IFERROR(__xludf.DUMMYFUNCTION("IF(IF(Q$1="""","""",REGEXMATCH(LOWER($E15),XLOOKUP(Q$1,Metadata!$A$2:$A1000,Metadata!$B$2:$B1000))),Q$1,"""")"),"")</f>
        <v/>
      </c>
      <c r="R15" s="34" t="str">
        <f>IFERROR(__xludf.DUMMYFUNCTION("IF(IF(R$1="""","""",REGEXMATCH(LOWER($E15),XLOOKUP(R$1,Metadata!$A$2:$A1000,Metadata!$B$2:$B1000))),R$1,"""")"),"Ramp")</f>
        <v>Ramp</v>
      </c>
      <c r="S15" s="34" t="str">
        <f>IFERROR(__xludf.DUMMYFUNCTION("IF(IF(S$1="""","""",REGEXMATCH(LOWER($E15),XLOOKUP(S$1,Metadata!$A$2:$A1000,Metadata!$B$2:$B1000))),S$1,"""")"),"")</f>
        <v/>
      </c>
      <c r="T15" s="34" t="str">
        <f>IFERROR(__xludf.DUMMYFUNCTION("IF(IF(T$1="""","""",REGEXMATCH(LOWER($E15),XLOOKUP(T$1,Metadata!$A$2:$A1000,Metadata!$B$2:$B1000))),T$1,"""")"),"")</f>
        <v/>
      </c>
      <c r="U15" s="34" t="str">
        <f>IFERROR(__xludf.DUMMYFUNCTION("IF(IF(U$1="""","""",REGEXMATCH(LOWER($E15),XLOOKUP(U$1,Metadata!$A$2:$A1000,Metadata!$B$2:$B1000))),U$1,"""")"),"")</f>
        <v/>
      </c>
      <c r="V15" s="34" t="str">
        <f>IFERROR(__xludf.DUMMYFUNCTION("IF(IF(V$1="""","""",REGEXMATCH(LOWER($E15),XLOOKUP(V$1,Metadata!$A$2:$A1000,Metadata!$B$2:$B1000))),V$1,"""")"),"")</f>
        <v/>
      </c>
      <c r="W15" s="34" t="str">
        <f>IFERROR(__xludf.DUMMYFUNCTION("IF(IF(W$1="""","""",REGEXMATCH(LOWER($E15),XLOOKUP(W$1,Metadata!$A$2:$A1000,Metadata!$B$2:$B1000))),W$1,"""")"),"")</f>
        <v/>
      </c>
      <c r="X15" s="34" t="str">
        <f>IFERROR(__xludf.DUMMYFUNCTION("IF(IF(X$1="""","""",REGEXMATCH(LOWER($E15),XLOOKUP(X$1,Metadata!$A$2:$A1000,Metadata!$B$2:$B1000))),X$1,"""")"),"")</f>
        <v/>
      </c>
      <c r="Y15" s="34" t="str">
        <f>IFERROR(__xludf.DUMMYFUNCTION("IF(IF(Y$1="""","""",REGEXMATCH(LOWER($E15),XLOOKUP(Y$1,Metadata!$A$2:$A1000,Metadata!$B$2:$B1000))),Y$1,"""")"),"")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I16">XLOOKUP($A16,Cards!$A$2:$A1000,Cards!$B$2:$I1000,"")</f>
        <v>Divine</v>
      </c>
      <c r="C16" s="34">
        <v>1.0</v>
      </c>
      <c r="D16" s="34" t="s">
        <v>124</v>
      </c>
      <c r="E16" s="34" t="s">
        <v>125</v>
      </c>
      <c r="F16" s="34" t="s">
        <v>126</v>
      </c>
      <c r="G16" s="34">
        <v>6.0</v>
      </c>
      <c r="H16" s="34" t="s">
        <v>127</v>
      </c>
      <c r="I16" s="34" t="s">
        <v>26</v>
      </c>
      <c r="J16" s="34">
        <f>IFERROR(__xludf.DUMMYFUNCTION("LEN(REGEXREPLACE(XLOOKUP($A16,Cards!$A$2:$A1000,Cards!$H$2:$H1000,""""),"",\s"",""""))"),6.0)</f>
        <v>6</v>
      </c>
      <c r="K16" s="34" t="str">
        <f t="shared" si="1"/>
        <v>         Aggro   Ambush   </v>
      </c>
      <c r="L16" s="34" t="str">
        <f>IFERROR(__xludf.DUMMYFUNCTION("IF(IF(L$1="""","""",REGEXMATCH(LOWER($E16),XLOOKUP(L$1,Metadata!$A$2:$A1000,Metadata!$B$2:$B1000))),L$1,"""")"),"")</f>
        <v/>
      </c>
      <c r="M16" s="34" t="str">
        <f>IFERROR(__xludf.DUMMYFUNCTION("IF(IF(M$1="""","""",REGEXMATCH(LOWER($E16),XLOOKUP(M$1,Metadata!$A$2:$A1000,Metadata!$B$2:$B1000))),M$1,"""")"),"")</f>
        <v/>
      </c>
      <c r="N16" s="34" t="str">
        <f>IFERROR(__xludf.DUMMYFUNCTION("IF(IF(N$1="""","""",REGEXMATCH(LOWER($E16),XLOOKUP(N$1,Metadata!$A$2:$A1000,Metadata!$B$2:$B1000))),N$1,"""")"),"")</f>
        <v/>
      </c>
      <c r="O16" s="34" t="str">
        <f>IFERROR(__xludf.DUMMYFUNCTION("IF(IF(O$1="""","""",REGEXMATCH(LOWER($E16),XLOOKUP(O$1,Metadata!$A$2:$A1000,Metadata!$B$2:$B1000))),O$1,"""")"),"")</f>
        <v/>
      </c>
      <c r="P16" s="34" t="str">
        <f>IFERROR(__xludf.DUMMYFUNCTION("IF(IF(P$1="""","""",REGEXMATCH(LOWER($E16),XLOOKUP(P$1,Metadata!$A$2:$A1000,Metadata!$B$2:$B1000))),P$1,"""")"),"")</f>
        <v/>
      </c>
      <c r="Q16" s="34" t="str">
        <f>IFERROR(__xludf.DUMMYFUNCTION("IF(IF(Q$1="""","""",REGEXMATCH(LOWER($E16),XLOOKUP(Q$1,Metadata!$A$2:$A1000,Metadata!$B$2:$B1000))),Q$1,"""")"),"")</f>
        <v/>
      </c>
      <c r="R16" s="34" t="str">
        <f>IFERROR(__xludf.DUMMYFUNCTION("IF(IF(R$1="""","""",REGEXMATCH(LOWER($E16),XLOOKUP(R$1,Metadata!$A$2:$A1000,Metadata!$B$2:$B1000))),R$1,"""")"),"")</f>
        <v/>
      </c>
      <c r="S16" s="34" t="str">
        <f>IFERROR(__xludf.DUMMYFUNCTION("IF(IF(S$1="""","""",REGEXMATCH(LOWER($E16),XLOOKUP(S$1,Metadata!$A$2:$A1000,Metadata!$B$2:$B1000))),S$1,"""")"),"")</f>
        <v/>
      </c>
      <c r="T16" s="34" t="str">
        <f>IFERROR(__xludf.DUMMYFUNCTION("IF(IF(T$1="""","""",REGEXMATCH(LOWER($E16),XLOOKUP(T$1,Metadata!$A$2:$A1000,Metadata!$B$2:$B1000))),T$1,"""")"),"")</f>
        <v/>
      </c>
      <c r="U16" s="34" t="str">
        <f>IFERROR(__xludf.DUMMYFUNCTION("IF(IF(U$1="""","""",REGEXMATCH(LOWER($E16),XLOOKUP(U$1,Metadata!$A$2:$A1000,Metadata!$B$2:$B1000))),U$1,"""")"),"Aggro")</f>
        <v>Aggro</v>
      </c>
      <c r="V16" s="34" t="str">
        <f>IFERROR(__xludf.DUMMYFUNCTION("IF(IF(V$1="""","""",REGEXMATCH(LOWER($E16),XLOOKUP(V$1,Metadata!$A$2:$A1000,Metadata!$B$2:$B1000))),V$1,"""")"),"")</f>
        <v/>
      </c>
      <c r="W16" s="34" t="str">
        <f>IFERROR(__xludf.DUMMYFUNCTION("IF(IF(W$1="""","""",REGEXMATCH(LOWER($E16),XLOOKUP(W$1,Metadata!$A$2:$A1000,Metadata!$B$2:$B1000))),W$1,"""")"),"")</f>
        <v/>
      </c>
      <c r="X16" s="34" t="str">
        <f>IFERROR(__xludf.DUMMYFUNCTION("IF(IF(X$1="""","""",REGEXMATCH(LOWER($E16),XLOOKUP(X$1,Metadata!$A$2:$A1000,Metadata!$B$2:$B1000))),X$1,"""")"),"Ambush")</f>
        <v>Ambush</v>
      </c>
      <c r="Y16" s="34" t="str">
        <f>IFERROR(__xludf.DUMMYFUNCTION("IF(IF(Y$1="""","""",REGEXMATCH(LOWER($E16),XLOOKUP(Y$1,Metadata!$A$2:$A1000,Metadata!$B$2:$B1000))),Y$1,"""")"),"")</f>
        <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I17">XLOOKUP($A17,Cards!$A$2:$A1000,Cards!$B$2:$I1000,"")</f>
        <v>Divine</v>
      </c>
      <c r="C17" s="34">
        <v>1.0</v>
      </c>
      <c r="D17" s="34" t="s">
        <v>133</v>
      </c>
      <c r="E17" s="34" t="s">
        <v>134</v>
      </c>
      <c r="F17" s="34" t="s">
        <v>135</v>
      </c>
      <c r="G17" s="34">
        <v>2.0</v>
      </c>
      <c r="H17" s="34" t="s">
        <v>106</v>
      </c>
      <c r="I17" s="34" t="s">
        <v>26</v>
      </c>
      <c r="J17" s="34">
        <f>IFERROR(__xludf.DUMMYFUNCTION("LEN(REGEXREPLACE(XLOOKUP($A17,Cards!$A$2:$A1000,Cards!$H$2:$H1000,""""),"",\s"",""""))"),2.0)</f>
        <v>2</v>
      </c>
      <c r="K17" s="34" t="str">
        <f t="shared" si="1"/>
        <v>      Ramp Control     Ambush   </v>
      </c>
      <c r="L17" s="34" t="str">
        <f>IFERROR(__xludf.DUMMYFUNCTION("IF(IF(L$1="""","""",REGEXMATCH(LOWER($E17),XLOOKUP(L$1,Metadata!$A$2:$A1000,Metadata!$B$2:$B1000))),L$1,"""")"),"")</f>
        <v/>
      </c>
      <c r="M17" s="34" t="str">
        <f>IFERROR(__xludf.DUMMYFUNCTION("IF(IF(M$1="""","""",REGEXMATCH(LOWER($E17),XLOOKUP(M$1,Metadata!$A$2:$A1000,Metadata!$B$2:$B1000))),M$1,"""")"),"")</f>
        <v/>
      </c>
      <c r="N17" s="34" t="str">
        <f>IFERROR(__xludf.DUMMYFUNCTION("IF(IF(N$1="""","""",REGEXMATCH(LOWER($E17),XLOOKUP(N$1,Metadata!$A$2:$A1000,Metadata!$B$2:$B1000))),N$1,"""")"),"")</f>
        <v/>
      </c>
      <c r="O17" s="34" t="str">
        <f>IFERROR(__xludf.DUMMYFUNCTION("IF(IF(O$1="""","""",REGEXMATCH(LOWER($E17),XLOOKUP(O$1,Metadata!$A$2:$A1000,Metadata!$B$2:$B1000))),O$1,"""")"),"")</f>
        <v/>
      </c>
      <c r="P17" s="34" t="str">
        <f>IFERROR(__xludf.DUMMYFUNCTION("IF(IF(P$1="""","""",REGEXMATCH(LOWER($E17),XLOOKUP(P$1,Metadata!$A$2:$A1000,Metadata!$B$2:$B1000))),P$1,"""")"),"")</f>
        <v/>
      </c>
      <c r="Q17" s="34" t="str">
        <f>IFERROR(__xludf.DUMMYFUNCTION("IF(IF(Q$1="""","""",REGEXMATCH(LOWER($E17),XLOOKUP(Q$1,Metadata!$A$2:$A1000,Metadata!$B$2:$B1000))),Q$1,"""")"),"")</f>
        <v/>
      </c>
      <c r="R17" s="34" t="str">
        <f>IFERROR(__xludf.DUMMYFUNCTION("IF(IF(R$1="""","""",REGEXMATCH(LOWER($E17),XLOOKUP(R$1,Metadata!$A$2:$A1000,Metadata!$B$2:$B1000))),R$1,"""")"),"Ramp")</f>
        <v>Ramp</v>
      </c>
      <c r="S17" s="34" t="str">
        <f>IFERROR(__xludf.DUMMYFUNCTION("IF(IF(S$1="""","""",REGEXMATCH(LOWER($E17),XLOOKUP(S$1,Metadata!$A$2:$A1000,Metadata!$B$2:$B1000))),S$1,"""")"),"Control")</f>
        <v>Control</v>
      </c>
      <c r="T17" s="34" t="str">
        <f>IFERROR(__xludf.DUMMYFUNCTION("IF(IF(T$1="""","""",REGEXMATCH(LOWER($E17),XLOOKUP(T$1,Metadata!$A$2:$A1000,Metadata!$B$2:$B1000))),T$1,"""")"),"")</f>
        <v/>
      </c>
      <c r="U17" s="34" t="str">
        <f>IFERROR(__xludf.DUMMYFUNCTION("IF(IF(U$1="""","""",REGEXMATCH(LOWER($E17),XLOOKUP(U$1,Metadata!$A$2:$A1000,Metadata!$B$2:$B1000))),U$1,"""")"),"")</f>
        <v/>
      </c>
      <c r="V17" s="34" t="str">
        <f>IFERROR(__xludf.DUMMYFUNCTION("IF(IF(V$1="""","""",REGEXMATCH(LOWER($E17),XLOOKUP(V$1,Metadata!$A$2:$A1000,Metadata!$B$2:$B1000))),V$1,"""")"),"")</f>
        <v/>
      </c>
      <c r="W17" s="34" t="str">
        <f>IFERROR(__xludf.DUMMYFUNCTION("IF(IF(W$1="""","""",REGEXMATCH(LOWER($E17),XLOOKUP(W$1,Metadata!$A$2:$A1000,Metadata!$B$2:$B1000))),W$1,"""")"),"")</f>
        <v/>
      </c>
      <c r="X17" s="34" t="str">
        <f>IFERROR(__xludf.DUMMYFUNCTION("IF(IF(X$1="""","""",REGEXMATCH(LOWER($E17),XLOOKUP(X$1,Metadata!$A$2:$A1000,Metadata!$B$2:$B1000))),X$1,"""")"),"Ambush")</f>
        <v>Ambush</v>
      </c>
      <c r="Y17" s="34" t="str">
        <f>IFERROR(__xludf.DUMMYFUNCTION("IF(IF(Y$1="""","""",REGEXMATCH(LOWER($E17),XLOOKUP(Y$1,Metadata!$A$2:$A1000,Metadata!$B$2:$B1000))),Y$1,"""")"),"")</f>
        <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I18">XLOOKUP($A18,Cards!$A$2:$A1000,Cards!$B$2:$I1000,"")</f>
        <v>Divine</v>
      </c>
      <c r="C18" s="34">
        <v>1.0</v>
      </c>
      <c r="D18" s="34" t="s">
        <v>80</v>
      </c>
      <c r="E18" s="34" t="s">
        <v>139</v>
      </c>
      <c r="F18" s="34" t="s">
        <v>140</v>
      </c>
      <c r="G18" s="34">
        <v>3.0</v>
      </c>
      <c r="H18" s="34" t="s">
        <v>53</v>
      </c>
      <c r="I18" s="34" t="s">
        <v>26</v>
      </c>
      <c r="J18" s="34">
        <f>IFERROR(__xludf.DUMMYFUNCTION("LEN(REGEXREPLACE(XLOOKUP($A18,Cards!$A$2:$A1000,Cards!$H$2:$H1000,""""),"",\s"",""""))"),3.0)</f>
        <v>3</v>
      </c>
      <c r="K18" s="34" t="str">
        <f t="shared" si="1"/>
        <v>               </v>
      </c>
      <c r="L18" s="34" t="str">
        <f>IFERROR(__xludf.DUMMYFUNCTION("IF(IF(L$1="""","""",REGEXMATCH(LOWER($E18),XLOOKUP(L$1,Metadata!$A$2:$A1000,Metadata!$B$2:$B1000))),L$1,"""")"),"")</f>
        <v/>
      </c>
      <c r="M18" s="34" t="str">
        <f>IFERROR(__xludf.DUMMYFUNCTION("IF(IF(M$1="""","""",REGEXMATCH(LOWER($E18),XLOOKUP(M$1,Metadata!$A$2:$A1000,Metadata!$B$2:$B1000))),M$1,"""")"),"")</f>
        <v/>
      </c>
      <c r="N18" s="34" t="str">
        <f>IFERROR(__xludf.DUMMYFUNCTION("IF(IF(N$1="""","""",REGEXMATCH(LOWER($E18),XLOOKUP(N$1,Metadata!$A$2:$A1000,Metadata!$B$2:$B1000))),N$1,"""")"),"")</f>
        <v/>
      </c>
      <c r="O18" s="34" t="str">
        <f>IFERROR(__xludf.DUMMYFUNCTION("IF(IF(O$1="""","""",REGEXMATCH(LOWER($E18),XLOOKUP(O$1,Metadata!$A$2:$A1000,Metadata!$B$2:$B1000))),O$1,"""")"),"")</f>
        <v/>
      </c>
      <c r="P18" s="34" t="str">
        <f>IFERROR(__xludf.DUMMYFUNCTION("IF(IF(P$1="""","""",REGEXMATCH(LOWER($E18),XLOOKUP(P$1,Metadata!$A$2:$A1000,Metadata!$B$2:$B1000))),P$1,"""")"),"")</f>
        <v/>
      </c>
      <c r="Q18" s="34" t="str">
        <f>IFERROR(__xludf.DUMMYFUNCTION("IF(IF(Q$1="""","""",REGEXMATCH(LOWER($E18),XLOOKUP(Q$1,Metadata!$A$2:$A1000,Metadata!$B$2:$B1000))),Q$1,"""")"),"")</f>
        <v/>
      </c>
      <c r="R18" s="34" t="str">
        <f>IFERROR(__xludf.DUMMYFUNCTION("IF(IF(R$1="""","""",REGEXMATCH(LOWER($E18),XLOOKUP(R$1,Metadata!$A$2:$A1000,Metadata!$B$2:$B1000))),R$1,"""")"),"")</f>
        <v/>
      </c>
      <c r="S18" s="34" t="str">
        <f>IFERROR(__xludf.DUMMYFUNCTION("IF(IF(S$1="""","""",REGEXMATCH(LOWER($E18),XLOOKUP(S$1,Metadata!$A$2:$A1000,Metadata!$B$2:$B1000))),S$1,"""")"),"")</f>
        <v/>
      </c>
      <c r="T18" s="34" t="str">
        <f>IFERROR(__xludf.DUMMYFUNCTION("IF(IF(T$1="""","""",REGEXMATCH(LOWER($E18),XLOOKUP(T$1,Metadata!$A$2:$A1000,Metadata!$B$2:$B1000))),T$1,"""")"),"")</f>
        <v/>
      </c>
      <c r="U18" s="34" t="str">
        <f>IFERROR(__xludf.DUMMYFUNCTION("IF(IF(U$1="""","""",REGEXMATCH(LOWER($E18),XLOOKUP(U$1,Metadata!$A$2:$A1000,Metadata!$B$2:$B1000))),U$1,"""")"),"")</f>
        <v/>
      </c>
      <c r="V18" s="34" t="str">
        <f>IFERROR(__xludf.DUMMYFUNCTION("IF(IF(V$1="""","""",REGEXMATCH(LOWER($E18),XLOOKUP(V$1,Metadata!$A$2:$A1000,Metadata!$B$2:$B1000))),V$1,"""")"),"")</f>
        <v/>
      </c>
      <c r="W18" s="34" t="str">
        <f>IFERROR(__xludf.DUMMYFUNCTION("IF(IF(W$1="""","""",REGEXMATCH(LOWER($E18),XLOOKUP(W$1,Metadata!$A$2:$A1000,Metadata!$B$2:$B1000))),W$1,"""")"),"")</f>
        <v/>
      </c>
      <c r="X18" s="34" t="str">
        <f>IFERROR(__xludf.DUMMYFUNCTION("IF(IF(X$1="""","""",REGEXMATCH(LOWER($E18),XLOOKUP(X$1,Metadata!$A$2:$A1000,Metadata!$B$2:$B1000))),X$1,"""")"),"")</f>
        <v/>
      </c>
      <c r="Y18" s="34" t="str">
        <f>IFERROR(__xludf.DUMMYFUNCTION("IF(IF(Y$1="""","""",REGEXMATCH(LOWER($E18),XLOOKUP(Y$1,Metadata!$A$2:$A1000,Metadata!$B$2:$B1000))),Y$1,"""")"),"")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I19">XLOOKUP($A19,Cards!$A$2:$A1000,Cards!$B$2:$I1000,"")</f>
        <v>Divine</v>
      </c>
      <c r="C19" s="34">
        <v>2.0</v>
      </c>
      <c r="D19" s="34" t="s">
        <v>28</v>
      </c>
      <c r="E19" s="34" t="s">
        <v>146</v>
      </c>
      <c r="F19" s="34" t="s">
        <v>147</v>
      </c>
      <c r="G19" s="34">
        <v>4.0</v>
      </c>
      <c r="H19" s="34" t="s">
        <v>31</v>
      </c>
      <c r="I19" s="34" t="s">
        <v>70</v>
      </c>
      <c r="J19" s="34">
        <f>IFERROR(__xludf.DUMMYFUNCTION("LEN(REGEXREPLACE(XLOOKUP($A19,Cards!$A$2:$A1000,Cards!$H$2:$H1000,""""),"",\s"",""""))"),5.0)</f>
        <v>5</v>
      </c>
      <c r="K19" s="34" t="str">
        <f t="shared" si="1"/>
        <v>     Unearth  Control     Ambush   </v>
      </c>
      <c r="L19" s="34" t="str">
        <f>IFERROR(__xludf.DUMMYFUNCTION("IF(IF(L$1="""","""",REGEXMATCH(LOWER($E19),XLOOKUP(L$1,Metadata!$A$2:$A1000,Metadata!$B$2:$B1000))),L$1,"""")"),"")</f>
        <v/>
      </c>
      <c r="M19" s="34" t="str">
        <f>IFERROR(__xludf.DUMMYFUNCTION("IF(IF(M$1="""","""",REGEXMATCH(LOWER($E19),XLOOKUP(M$1,Metadata!$A$2:$A1000,Metadata!$B$2:$B1000))),M$1,"""")"),"")</f>
        <v/>
      </c>
      <c r="N19" s="34" t="str">
        <f>IFERROR(__xludf.DUMMYFUNCTION("IF(IF(N$1="""","""",REGEXMATCH(LOWER($E19),XLOOKUP(N$1,Metadata!$A$2:$A1000,Metadata!$B$2:$B1000))),N$1,"""")"),"")</f>
        <v/>
      </c>
      <c r="O19" s="34" t="str">
        <f>IFERROR(__xludf.DUMMYFUNCTION("IF(IF(O$1="""","""",REGEXMATCH(LOWER($E19),XLOOKUP(O$1,Metadata!$A$2:$A1000,Metadata!$B$2:$B1000))),O$1,"""")"),"")</f>
        <v/>
      </c>
      <c r="P19" s="34" t="str">
        <f>IFERROR(__xludf.DUMMYFUNCTION("IF(IF(P$1="""","""",REGEXMATCH(LOWER($E19),XLOOKUP(P$1,Metadata!$A$2:$A1000,Metadata!$B$2:$B1000))),P$1,"""")"),"")</f>
        <v/>
      </c>
      <c r="Q19" s="34" t="str">
        <f>IFERROR(__xludf.DUMMYFUNCTION("IF(IF(Q$1="""","""",REGEXMATCH(LOWER($E19),XLOOKUP(Q$1,Metadata!$A$2:$A1000,Metadata!$B$2:$B1000))),Q$1,"""")"),"Unearth")</f>
        <v>Unearth</v>
      </c>
      <c r="R19" s="34" t="str">
        <f>IFERROR(__xludf.DUMMYFUNCTION("IF(IF(R$1="""","""",REGEXMATCH(LOWER($E19),XLOOKUP(R$1,Metadata!$A$2:$A1000,Metadata!$B$2:$B1000))),R$1,"""")"),"")</f>
        <v/>
      </c>
      <c r="S19" s="34" t="str">
        <f>IFERROR(__xludf.DUMMYFUNCTION("IF(IF(S$1="""","""",REGEXMATCH(LOWER($E19),XLOOKUP(S$1,Metadata!$A$2:$A1000,Metadata!$B$2:$B1000))),S$1,"""")"),"Control")</f>
        <v>Control</v>
      </c>
      <c r="T19" s="34" t="str">
        <f>IFERROR(__xludf.DUMMYFUNCTION("IF(IF(T$1="""","""",REGEXMATCH(LOWER($E19),XLOOKUP(T$1,Metadata!$A$2:$A1000,Metadata!$B$2:$B1000))),T$1,"""")"),"")</f>
        <v/>
      </c>
      <c r="U19" s="34" t="str">
        <f>IFERROR(__xludf.DUMMYFUNCTION("IF(IF(U$1="""","""",REGEXMATCH(LOWER($E19),XLOOKUP(U$1,Metadata!$A$2:$A1000,Metadata!$B$2:$B1000))),U$1,"""")"),"")</f>
        <v/>
      </c>
      <c r="V19" s="34" t="str">
        <f>IFERROR(__xludf.DUMMYFUNCTION("IF(IF(V$1="""","""",REGEXMATCH(LOWER($E19),XLOOKUP(V$1,Metadata!$A$2:$A1000,Metadata!$B$2:$B1000))),V$1,"""")"),"")</f>
        <v/>
      </c>
      <c r="W19" s="34" t="str">
        <f>IFERROR(__xludf.DUMMYFUNCTION("IF(IF(W$1="""","""",REGEXMATCH(LOWER($E19),XLOOKUP(W$1,Metadata!$A$2:$A1000,Metadata!$B$2:$B1000))),W$1,"""")"),"")</f>
        <v/>
      </c>
      <c r="X19" s="34" t="str">
        <f>IFERROR(__xludf.DUMMYFUNCTION("IF(IF(X$1="""","""",REGEXMATCH(LOWER($E19),XLOOKUP(X$1,Metadata!$A$2:$A1000,Metadata!$B$2:$B1000))),X$1,"""")"),"Ambush")</f>
        <v>Ambush</v>
      </c>
      <c r="Y19" s="34" t="str">
        <f>IFERROR(__xludf.DUMMYFUNCTION("IF(IF(Y$1="""","""",REGEXMATCH(LOWER($E19),XLOOKUP(Y$1,Metadata!$A$2:$A1000,Metadata!$B$2:$B1000))),Y$1,"""")"),"")</f>
        <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I20">XLOOKUP($A20,Cards!$A$2:$A1000,Cards!$B$2:$I1000,"")</f>
        <v>Divine</v>
      </c>
      <c r="C20" s="34">
        <v>1.0</v>
      </c>
      <c r="D20" s="34" t="s">
        <v>149</v>
      </c>
      <c r="E20" s="34" t="s">
        <v>150</v>
      </c>
      <c r="F20" s="34" t="s">
        <v>151</v>
      </c>
      <c r="G20" s="34">
        <v>2.0</v>
      </c>
      <c r="H20" s="34" t="s">
        <v>106</v>
      </c>
      <c r="I20" s="34" t="s">
        <v>26</v>
      </c>
      <c r="J20" s="34">
        <f>IFERROR(__xludf.DUMMYFUNCTION("LEN(REGEXREPLACE(XLOOKUP($A20,Cards!$A$2:$A1000,Cards!$H$2:$H1000,""""),"",\s"",""""))"),2.0)</f>
        <v>2</v>
      </c>
      <c r="K20" s="34" t="str">
        <f t="shared" si="1"/>
        <v>               </v>
      </c>
      <c r="L20" s="34" t="str">
        <f>IFERROR(__xludf.DUMMYFUNCTION("IF(IF(L$1="""","""",REGEXMATCH(LOWER($E20),XLOOKUP(L$1,Metadata!$A$2:$A1000,Metadata!$B$2:$B1000))),L$1,"""")"),"")</f>
        <v/>
      </c>
      <c r="M20" s="34" t="str">
        <f>IFERROR(__xludf.DUMMYFUNCTION("IF(IF(M$1="""","""",REGEXMATCH(LOWER($E20),XLOOKUP(M$1,Metadata!$A$2:$A1000,Metadata!$B$2:$B1000))),M$1,"""")"),"")</f>
        <v/>
      </c>
      <c r="N20" s="34" t="str">
        <f>IFERROR(__xludf.DUMMYFUNCTION("IF(IF(N$1="""","""",REGEXMATCH(LOWER($E20),XLOOKUP(N$1,Metadata!$A$2:$A1000,Metadata!$B$2:$B1000))),N$1,"""")"),"")</f>
        <v/>
      </c>
      <c r="O20" s="34" t="str">
        <f>IFERROR(__xludf.DUMMYFUNCTION("IF(IF(O$1="""","""",REGEXMATCH(LOWER($E20),XLOOKUP(O$1,Metadata!$A$2:$A1000,Metadata!$B$2:$B1000))),O$1,"""")"),"")</f>
        <v/>
      </c>
      <c r="P20" s="34" t="str">
        <f>IFERROR(__xludf.DUMMYFUNCTION("IF(IF(P$1="""","""",REGEXMATCH(LOWER($E20),XLOOKUP(P$1,Metadata!$A$2:$A1000,Metadata!$B$2:$B1000))),P$1,"""")"),"")</f>
        <v/>
      </c>
      <c r="Q20" s="34" t="str">
        <f>IFERROR(__xludf.DUMMYFUNCTION("IF(IF(Q$1="""","""",REGEXMATCH(LOWER($E20),XLOOKUP(Q$1,Metadata!$A$2:$A1000,Metadata!$B$2:$B1000))),Q$1,"""")"),"")</f>
        <v/>
      </c>
      <c r="R20" s="34" t="str">
        <f>IFERROR(__xludf.DUMMYFUNCTION("IF(IF(R$1="""","""",REGEXMATCH(LOWER($E20),XLOOKUP(R$1,Metadata!$A$2:$A1000,Metadata!$B$2:$B1000))),R$1,"""")"),"")</f>
        <v/>
      </c>
      <c r="S20" s="34" t="str">
        <f>IFERROR(__xludf.DUMMYFUNCTION("IF(IF(S$1="""","""",REGEXMATCH(LOWER($E20),XLOOKUP(S$1,Metadata!$A$2:$A1000,Metadata!$B$2:$B1000))),S$1,"""")"),"")</f>
        <v/>
      </c>
      <c r="T20" s="34" t="str">
        <f>IFERROR(__xludf.DUMMYFUNCTION("IF(IF(T$1="""","""",REGEXMATCH(LOWER($E20),XLOOKUP(T$1,Metadata!$A$2:$A1000,Metadata!$B$2:$B1000))),T$1,"""")"),"")</f>
        <v/>
      </c>
      <c r="U20" s="34" t="str">
        <f>IFERROR(__xludf.DUMMYFUNCTION("IF(IF(U$1="""","""",REGEXMATCH(LOWER($E20),XLOOKUP(U$1,Metadata!$A$2:$A1000,Metadata!$B$2:$B1000))),U$1,"""")"),"")</f>
        <v/>
      </c>
      <c r="V20" s="34" t="str">
        <f>IFERROR(__xludf.DUMMYFUNCTION("IF(IF(V$1="""","""",REGEXMATCH(LOWER($E20),XLOOKUP(V$1,Metadata!$A$2:$A1000,Metadata!$B$2:$B1000))),V$1,"""")"),"")</f>
        <v/>
      </c>
      <c r="W20" s="34" t="str">
        <f>IFERROR(__xludf.DUMMYFUNCTION("IF(IF(W$1="""","""",REGEXMATCH(LOWER($E20),XLOOKUP(W$1,Metadata!$A$2:$A1000,Metadata!$B$2:$B1000))),W$1,"""")"),"")</f>
        <v/>
      </c>
      <c r="X20" s="34" t="str">
        <f>IFERROR(__xludf.DUMMYFUNCTION("IF(IF(X$1="""","""",REGEXMATCH(LOWER($E20),XLOOKUP(X$1,Metadata!$A$2:$A1000,Metadata!$B$2:$B1000))),X$1,"""")"),"")</f>
        <v/>
      </c>
      <c r="Y20" s="34" t="str">
        <f>IFERROR(__xludf.DUMMYFUNCTION("IF(IF(Y$1="""","""",REGEXMATCH(LOWER($E20),XLOOKUP(Y$1,Metadata!$A$2:$A1000,Metadata!$B$2:$B1000))),Y$1,"""")"),"")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I21">XLOOKUP($A21,Cards!$A$2:$A1000,Cards!$B$2:$I1000,"")</f>
        <v>Divine</v>
      </c>
      <c r="C21" s="34">
        <v>1.0</v>
      </c>
      <c r="D21" s="34" t="s">
        <v>155</v>
      </c>
      <c r="E21" s="34" t="s">
        <v>156</v>
      </c>
      <c r="F21" s="34" t="s">
        <v>157</v>
      </c>
      <c r="G21" s="34">
        <v>4.0</v>
      </c>
      <c r="H21" s="34" t="s">
        <v>158</v>
      </c>
      <c r="I21" s="34" t="s">
        <v>70</v>
      </c>
      <c r="J21" s="34">
        <f>IFERROR(__xludf.DUMMYFUNCTION("LEN(REGEXREPLACE(XLOOKUP($A21,Cards!$A$2:$A1000,Cards!$H$2:$H1000,""""),"",\s"",""""))"),4.0)</f>
        <v>4</v>
      </c>
      <c r="K21" s="34" t="str">
        <f t="shared" si="1"/>
        <v>               </v>
      </c>
      <c r="L21" s="34" t="str">
        <f>IFERROR(__xludf.DUMMYFUNCTION("IF(IF(L$1="""","""",REGEXMATCH(LOWER($E21),XLOOKUP(L$1,Metadata!$A$2:$A1000,Metadata!$B$2:$B1000))),L$1,"""")"),"")</f>
        <v/>
      </c>
      <c r="M21" s="34" t="str">
        <f>IFERROR(__xludf.DUMMYFUNCTION("IF(IF(M$1="""","""",REGEXMATCH(LOWER($E21),XLOOKUP(M$1,Metadata!$A$2:$A1000,Metadata!$B$2:$B1000))),M$1,"""")"),"")</f>
        <v/>
      </c>
      <c r="N21" s="34" t="str">
        <f>IFERROR(__xludf.DUMMYFUNCTION("IF(IF(N$1="""","""",REGEXMATCH(LOWER($E21),XLOOKUP(N$1,Metadata!$A$2:$A1000,Metadata!$B$2:$B1000))),N$1,"""")"),"")</f>
        <v/>
      </c>
      <c r="O21" s="34" t="str">
        <f>IFERROR(__xludf.DUMMYFUNCTION("IF(IF(O$1="""","""",REGEXMATCH(LOWER($E21),XLOOKUP(O$1,Metadata!$A$2:$A1000,Metadata!$B$2:$B1000))),O$1,"""")"),"")</f>
        <v/>
      </c>
      <c r="P21" s="34" t="str">
        <f>IFERROR(__xludf.DUMMYFUNCTION("IF(IF(P$1="""","""",REGEXMATCH(LOWER($E21),XLOOKUP(P$1,Metadata!$A$2:$A1000,Metadata!$B$2:$B1000))),P$1,"""")"),"")</f>
        <v/>
      </c>
      <c r="Q21" s="34" t="str">
        <f>IFERROR(__xludf.DUMMYFUNCTION("IF(IF(Q$1="""","""",REGEXMATCH(LOWER($E21),XLOOKUP(Q$1,Metadata!$A$2:$A1000,Metadata!$B$2:$B1000))),Q$1,"""")"),"")</f>
        <v/>
      </c>
      <c r="R21" s="34" t="str">
        <f>IFERROR(__xludf.DUMMYFUNCTION("IF(IF(R$1="""","""",REGEXMATCH(LOWER($E21),XLOOKUP(R$1,Metadata!$A$2:$A1000,Metadata!$B$2:$B1000))),R$1,"""")"),"")</f>
        <v/>
      </c>
      <c r="S21" s="34" t="str">
        <f>IFERROR(__xludf.DUMMYFUNCTION("IF(IF(S$1="""","""",REGEXMATCH(LOWER($E21),XLOOKUP(S$1,Metadata!$A$2:$A1000,Metadata!$B$2:$B1000))),S$1,"""")"),"")</f>
        <v/>
      </c>
      <c r="T21" s="34" t="str">
        <f>IFERROR(__xludf.DUMMYFUNCTION("IF(IF(T$1="""","""",REGEXMATCH(LOWER($E21),XLOOKUP(T$1,Metadata!$A$2:$A1000,Metadata!$B$2:$B1000))),T$1,"""")"),"")</f>
        <v/>
      </c>
      <c r="U21" s="34" t="str">
        <f>IFERROR(__xludf.DUMMYFUNCTION("IF(IF(U$1="""","""",REGEXMATCH(LOWER($E21),XLOOKUP(U$1,Metadata!$A$2:$A1000,Metadata!$B$2:$B1000))),U$1,"""")"),"")</f>
        <v/>
      </c>
      <c r="V21" s="34" t="str">
        <f>IFERROR(__xludf.DUMMYFUNCTION("IF(IF(V$1="""","""",REGEXMATCH(LOWER($E21),XLOOKUP(V$1,Metadata!$A$2:$A1000,Metadata!$B$2:$B1000))),V$1,"""")"),"")</f>
        <v/>
      </c>
      <c r="W21" s="34" t="str">
        <f>IFERROR(__xludf.DUMMYFUNCTION("IF(IF(W$1="""","""",REGEXMATCH(LOWER($E21),XLOOKUP(W$1,Metadata!$A$2:$A1000,Metadata!$B$2:$B1000))),W$1,"""")"),"")</f>
        <v/>
      </c>
      <c r="X21" s="34" t="str">
        <f>IFERROR(__xludf.DUMMYFUNCTION("IF(IF(X$1="""","""",REGEXMATCH(LOWER($E21),XLOOKUP(X$1,Metadata!$A$2:$A1000,Metadata!$B$2:$B1000))),X$1,"""")"),"")</f>
        <v/>
      </c>
      <c r="Y21" s="34" t="str">
        <f>IFERROR(__xludf.DUMMYFUNCTION("IF(IF(Y$1="""","""",REGEXMATCH(LOWER($E21),XLOOKUP(Y$1,Metadata!$A$2:$A1000,Metadata!$B$2:$B1000))),Y$1,"""")"),"")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I22">XLOOKUP($A22,Cards!$A$2:$A1000,Cards!$B$2:$I1000,"")</f>
        <v>Divine</v>
      </c>
      <c r="C22" s="34">
        <v>1.0</v>
      </c>
      <c r="D22" s="34" t="s">
        <v>133</v>
      </c>
      <c r="E22" s="34" t="s">
        <v>162</v>
      </c>
      <c r="F22" s="34" t="s">
        <v>163</v>
      </c>
      <c r="G22" s="34">
        <v>3.0</v>
      </c>
      <c r="H22" s="34" t="s">
        <v>99</v>
      </c>
      <c r="I22" s="34" t="s">
        <v>70</v>
      </c>
      <c r="J22" s="34">
        <f>IFERROR(__xludf.DUMMYFUNCTION("LEN(REGEXREPLACE(XLOOKUP($A22,Cards!$A$2:$A1000,Cards!$H$2:$H1000,""""),"",\s"",""""))"),3.0)</f>
        <v>3</v>
      </c>
      <c r="K22" s="34" t="str">
        <f t="shared" si="1"/>
        <v>      Ramp Control     Ambush   </v>
      </c>
      <c r="L22" s="34" t="str">
        <f>IFERROR(__xludf.DUMMYFUNCTION("IF(IF(L$1="""","""",REGEXMATCH(LOWER($E22),XLOOKUP(L$1,Metadata!$A$2:$A1000,Metadata!$B$2:$B1000))),L$1,"""")"),"")</f>
        <v/>
      </c>
      <c r="M22" s="34" t="str">
        <f>IFERROR(__xludf.DUMMYFUNCTION("IF(IF(M$1="""","""",REGEXMATCH(LOWER($E22),XLOOKUP(M$1,Metadata!$A$2:$A1000,Metadata!$B$2:$B1000))),M$1,"""")"),"")</f>
        <v/>
      </c>
      <c r="N22" s="34" t="str">
        <f>IFERROR(__xludf.DUMMYFUNCTION("IF(IF(N$1="""","""",REGEXMATCH(LOWER($E22),XLOOKUP(N$1,Metadata!$A$2:$A1000,Metadata!$B$2:$B1000))),N$1,"""")"),"")</f>
        <v/>
      </c>
      <c r="O22" s="34" t="str">
        <f>IFERROR(__xludf.DUMMYFUNCTION("IF(IF(O$1="""","""",REGEXMATCH(LOWER($E22),XLOOKUP(O$1,Metadata!$A$2:$A1000,Metadata!$B$2:$B1000))),O$1,"""")"),"")</f>
        <v/>
      </c>
      <c r="P22" s="34" t="str">
        <f>IFERROR(__xludf.DUMMYFUNCTION("IF(IF(P$1="""","""",REGEXMATCH(LOWER($E22),XLOOKUP(P$1,Metadata!$A$2:$A1000,Metadata!$B$2:$B1000))),P$1,"""")"),"")</f>
        <v/>
      </c>
      <c r="Q22" s="34" t="str">
        <f>IFERROR(__xludf.DUMMYFUNCTION("IF(IF(Q$1="""","""",REGEXMATCH(LOWER($E22),XLOOKUP(Q$1,Metadata!$A$2:$A1000,Metadata!$B$2:$B1000))),Q$1,"""")"),"")</f>
        <v/>
      </c>
      <c r="R22" s="34" t="str">
        <f>IFERROR(__xludf.DUMMYFUNCTION("IF(IF(R$1="""","""",REGEXMATCH(LOWER($E22),XLOOKUP(R$1,Metadata!$A$2:$A1000,Metadata!$B$2:$B1000))),R$1,"""")"),"Ramp")</f>
        <v>Ramp</v>
      </c>
      <c r="S22" s="34" t="str">
        <f>IFERROR(__xludf.DUMMYFUNCTION("IF(IF(S$1="""","""",REGEXMATCH(LOWER($E22),XLOOKUP(S$1,Metadata!$A$2:$A1000,Metadata!$B$2:$B1000))),S$1,"""")"),"Control")</f>
        <v>Control</v>
      </c>
      <c r="T22" s="34" t="str">
        <f>IFERROR(__xludf.DUMMYFUNCTION("IF(IF(T$1="""","""",REGEXMATCH(LOWER($E22),XLOOKUP(T$1,Metadata!$A$2:$A1000,Metadata!$B$2:$B1000))),T$1,"""")"),"")</f>
        <v/>
      </c>
      <c r="U22" s="34" t="str">
        <f>IFERROR(__xludf.DUMMYFUNCTION("IF(IF(U$1="""","""",REGEXMATCH(LOWER($E22),XLOOKUP(U$1,Metadata!$A$2:$A1000,Metadata!$B$2:$B1000))),U$1,"""")"),"")</f>
        <v/>
      </c>
      <c r="V22" s="34" t="str">
        <f>IFERROR(__xludf.DUMMYFUNCTION("IF(IF(V$1="""","""",REGEXMATCH(LOWER($E22),XLOOKUP(V$1,Metadata!$A$2:$A1000,Metadata!$B$2:$B1000))),V$1,"""")"),"")</f>
        <v/>
      </c>
      <c r="W22" s="34" t="str">
        <f>IFERROR(__xludf.DUMMYFUNCTION("IF(IF(W$1="""","""",REGEXMATCH(LOWER($E22),XLOOKUP(W$1,Metadata!$A$2:$A1000,Metadata!$B$2:$B1000))),W$1,"""")"),"")</f>
        <v/>
      </c>
      <c r="X22" s="34" t="str">
        <f>IFERROR(__xludf.DUMMYFUNCTION("IF(IF(X$1="""","""",REGEXMATCH(LOWER($E22),XLOOKUP(X$1,Metadata!$A$2:$A1000,Metadata!$B$2:$B1000))),X$1,"""")"),"Ambush")</f>
        <v>Ambush</v>
      </c>
      <c r="Y22" s="34" t="str">
        <f>IFERROR(__xludf.DUMMYFUNCTION("IF(IF(Y$1="""","""",REGEXMATCH(LOWER($E22),XLOOKUP(Y$1,Metadata!$A$2:$A1000,Metadata!$B$2:$B1000))),Y$1,"""")"),"")</f>
        <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I23">XLOOKUP($A23,Cards!$A$2:$A1000,Cards!$B$2:$I1000,"")</f>
        <v>Divine</v>
      </c>
      <c r="C23" s="34">
        <v>0.0</v>
      </c>
      <c r="D23" s="34" t="s">
        <v>96</v>
      </c>
      <c r="E23" s="34" t="s">
        <v>167</v>
      </c>
      <c r="F23" s="34" t="s">
        <v>168</v>
      </c>
      <c r="G23" s="34">
        <v>4.0</v>
      </c>
      <c r="H23" s="34" t="s">
        <v>31</v>
      </c>
      <c r="I23" s="34" t="s">
        <v>70</v>
      </c>
      <c r="J23" s="34">
        <f>IFERROR(__xludf.DUMMYFUNCTION("LEN(REGEXREPLACE(XLOOKUP($A23,Cards!$A$2:$A1000,Cards!$H$2:$H1000,""""),"",\s"",""""))"),5.0)</f>
        <v>5</v>
      </c>
      <c r="K23" s="34" t="str">
        <f t="shared" si="1"/>
        <v>      Ramp         </v>
      </c>
      <c r="L23" s="34" t="str">
        <f>IFERROR(__xludf.DUMMYFUNCTION("IF(IF(L$1="""","""",REGEXMATCH(LOWER($E23),XLOOKUP(L$1,Metadata!$A$2:$A1000,Metadata!$B$2:$B1000))),L$1,"""")"),"")</f>
        <v/>
      </c>
      <c r="M23" s="34" t="str">
        <f>IFERROR(__xludf.DUMMYFUNCTION("IF(IF(M$1="""","""",REGEXMATCH(LOWER($E23),XLOOKUP(M$1,Metadata!$A$2:$A1000,Metadata!$B$2:$B1000))),M$1,"""")"),"")</f>
        <v/>
      </c>
      <c r="N23" s="34" t="str">
        <f>IFERROR(__xludf.DUMMYFUNCTION("IF(IF(N$1="""","""",REGEXMATCH(LOWER($E23),XLOOKUP(N$1,Metadata!$A$2:$A1000,Metadata!$B$2:$B1000))),N$1,"""")"),"")</f>
        <v/>
      </c>
      <c r="O23" s="34" t="str">
        <f>IFERROR(__xludf.DUMMYFUNCTION("IF(IF(O$1="""","""",REGEXMATCH(LOWER($E23),XLOOKUP(O$1,Metadata!$A$2:$A1000,Metadata!$B$2:$B1000))),O$1,"""")"),"")</f>
        <v/>
      </c>
      <c r="P23" s="34" t="str">
        <f>IFERROR(__xludf.DUMMYFUNCTION("IF(IF(P$1="""","""",REGEXMATCH(LOWER($E23),XLOOKUP(P$1,Metadata!$A$2:$A1000,Metadata!$B$2:$B1000))),P$1,"""")"),"")</f>
        <v/>
      </c>
      <c r="Q23" s="34" t="str">
        <f>IFERROR(__xludf.DUMMYFUNCTION("IF(IF(Q$1="""","""",REGEXMATCH(LOWER($E23),XLOOKUP(Q$1,Metadata!$A$2:$A1000,Metadata!$B$2:$B1000))),Q$1,"""")"),"")</f>
        <v/>
      </c>
      <c r="R23" s="34" t="str">
        <f>IFERROR(__xludf.DUMMYFUNCTION("IF(IF(R$1="""","""",REGEXMATCH(LOWER($E23),XLOOKUP(R$1,Metadata!$A$2:$A1000,Metadata!$B$2:$B1000))),R$1,"""")"),"Ramp")</f>
        <v>Ramp</v>
      </c>
      <c r="S23" s="34" t="str">
        <f>IFERROR(__xludf.DUMMYFUNCTION("IF(IF(S$1="""","""",REGEXMATCH(LOWER($E23),XLOOKUP(S$1,Metadata!$A$2:$A1000,Metadata!$B$2:$B1000))),S$1,"""")"),"")</f>
        <v/>
      </c>
      <c r="T23" s="34" t="str">
        <f>IFERROR(__xludf.DUMMYFUNCTION("IF(IF(T$1="""","""",REGEXMATCH(LOWER($E23),XLOOKUP(T$1,Metadata!$A$2:$A1000,Metadata!$B$2:$B1000))),T$1,"""")"),"")</f>
        <v/>
      </c>
      <c r="U23" s="34" t="str">
        <f>IFERROR(__xludf.DUMMYFUNCTION("IF(IF(U$1="""","""",REGEXMATCH(LOWER($E23),XLOOKUP(U$1,Metadata!$A$2:$A1000,Metadata!$B$2:$B1000))),U$1,"""")"),"")</f>
        <v/>
      </c>
      <c r="V23" s="34" t="str">
        <f>IFERROR(__xludf.DUMMYFUNCTION("IF(IF(V$1="""","""",REGEXMATCH(LOWER($E23),XLOOKUP(V$1,Metadata!$A$2:$A1000,Metadata!$B$2:$B1000))),V$1,"""")"),"")</f>
        <v/>
      </c>
      <c r="W23" s="34" t="str">
        <f>IFERROR(__xludf.DUMMYFUNCTION("IF(IF(W$1="""","""",REGEXMATCH(LOWER($E23),XLOOKUP(W$1,Metadata!$A$2:$A1000,Metadata!$B$2:$B1000))),W$1,"""")"),"")</f>
        <v/>
      </c>
      <c r="X23" s="34" t="str">
        <f>IFERROR(__xludf.DUMMYFUNCTION("IF(IF(X$1="""","""",REGEXMATCH(LOWER($E23),XLOOKUP(X$1,Metadata!$A$2:$A1000,Metadata!$B$2:$B1000))),X$1,"""")"),"")</f>
        <v/>
      </c>
      <c r="Y23" s="34" t="str">
        <f>IFERROR(__xludf.DUMMYFUNCTION("IF(IF(Y$1="""","""",REGEXMATCH(LOWER($E23),XLOOKUP(Y$1,Metadata!$A$2:$A1000,Metadata!$B$2:$B1000))),Y$1,"""")"),"")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I24">XLOOKUP($A24,Cards!$A$2:$A1000,Cards!$B$2:$I1000,"")</f>
        <v>Divine</v>
      </c>
      <c r="C24" s="34">
        <v>1.0</v>
      </c>
      <c r="D24" s="34" t="s">
        <v>80</v>
      </c>
      <c r="E24" s="34" t="s">
        <v>170</v>
      </c>
      <c r="F24" s="34" t="s">
        <v>171</v>
      </c>
      <c r="G24" s="34">
        <v>3.0</v>
      </c>
      <c r="H24" s="34" t="s">
        <v>158</v>
      </c>
      <c r="I24" s="34" t="s">
        <v>70</v>
      </c>
      <c r="J24" s="34">
        <f>IFERROR(__xludf.DUMMYFUNCTION("LEN(REGEXREPLACE(XLOOKUP($A24,Cards!$A$2:$A1000,Cards!$H$2:$H1000,""""),"",\s"",""""))"),4.0)</f>
        <v>4</v>
      </c>
      <c r="K24" s="34" t="str">
        <f t="shared" si="1"/>
        <v>      Ramp         </v>
      </c>
      <c r="L24" s="34" t="str">
        <f>IFERROR(__xludf.DUMMYFUNCTION("IF(IF(L$1="""","""",REGEXMATCH(LOWER($E24),XLOOKUP(L$1,Metadata!$A$2:$A1000,Metadata!$B$2:$B1000))),L$1,"""")"),"")</f>
        <v/>
      </c>
      <c r="M24" s="34" t="str">
        <f>IFERROR(__xludf.DUMMYFUNCTION("IF(IF(M$1="""","""",REGEXMATCH(LOWER($E24),XLOOKUP(M$1,Metadata!$A$2:$A1000,Metadata!$B$2:$B1000))),M$1,"""")"),"")</f>
        <v/>
      </c>
      <c r="N24" s="34" t="str">
        <f>IFERROR(__xludf.DUMMYFUNCTION("IF(IF(N$1="""","""",REGEXMATCH(LOWER($E24),XLOOKUP(N$1,Metadata!$A$2:$A1000,Metadata!$B$2:$B1000))),N$1,"""")"),"")</f>
        <v/>
      </c>
      <c r="O24" s="34" t="str">
        <f>IFERROR(__xludf.DUMMYFUNCTION("IF(IF(O$1="""","""",REGEXMATCH(LOWER($E24),XLOOKUP(O$1,Metadata!$A$2:$A1000,Metadata!$B$2:$B1000))),O$1,"""")"),"")</f>
        <v/>
      </c>
      <c r="P24" s="34" t="str">
        <f>IFERROR(__xludf.DUMMYFUNCTION("IF(IF(P$1="""","""",REGEXMATCH(LOWER($E24),XLOOKUP(P$1,Metadata!$A$2:$A1000,Metadata!$B$2:$B1000))),P$1,"""")"),"")</f>
        <v/>
      </c>
      <c r="Q24" s="34" t="str">
        <f>IFERROR(__xludf.DUMMYFUNCTION("IF(IF(Q$1="""","""",REGEXMATCH(LOWER($E24),XLOOKUP(Q$1,Metadata!$A$2:$A1000,Metadata!$B$2:$B1000))),Q$1,"""")"),"")</f>
        <v/>
      </c>
      <c r="R24" s="34" t="str">
        <f>IFERROR(__xludf.DUMMYFUNCTION("IF(IF(R$1="""","""",REGEXMATCH(LOWER($E24),XLOOKUP(R$1,Metadata!$A$2:$A1000,Metadata!$B$2:$B1000))),R$1,"""")"),"Ramp")</f>
        <v>Ramp</v>
      </c>
      <c r="S24" s="34" t="str">
        <f>IFERROR(__xludf.DUMMYFUNCTION("IF(IF(S$1="""","""",REGEXMATCH(LOWER($E24),XLOOKUP(S$1,Metadata!$A$2:$A1000,Metadata!$B$2:$B1000))),S$1,"""")"),"")</f>
        <v/>
      </c>
      <c r="T24" s="34" t="str">
        <f>IFERROR(__xludf.DUMMYFUNCTION("IF(IF(T$1="""","""",REGEXMATCH(LOWER($E24),XLOOKUP(T$1,Metadata!$A$2:$A1000,Metadata!$B$2:$B1000))),T$1,"""")"),"")</f>
        <v/>
      </c>
      <c r="U24" s="34" t="str">
        <f>IFERROR(__xludf.DUMMYFUNCTION("IF(IF(U$1="""","""",REGEXMATCH(LOWER($E24),XLOOKUP(U$1,Metadata!$A$2:$A1000,Metadata!$B$2:$B1000))),U$1,"""")"),"")</f>
        <v/>
      </c>
      <c r="V24" s="34" t="str">
        <f>IFERROR(__xludf.DUMMYFUNCTION("IF(IF(V$1="""","""",REGEXMATCH(LOWER($E24),XLOOKUP(V$1,Metadata!$A$2:$A1000,Metadata!$B$2:$B1000))),V$1,"""")"),"")</f>
        <v/>
      </c>
      <c r="W24" s="34" t="str">
        <f>IFERROR(__xludf.DUMMYFUNCTION("IF(IF(W$1="""","""",REGEXMATCH(LOWER($E24),XLOOKUP(W$1,Metadata!$A$2:$A1000,Metadata!$B$2:$B1000))),W$1,"""")"),"")</f>
        <v/>
      </c>
      <c r="X24" s="34" t="str">
        <f>IFERROR(__xludf.DUMMYFUNCTION("IF(IF(X$1="""","""",REGEXMATCH(LOWER($E24),XLOOKUP(X$1,Metadata!$A$2:$A1000,Metadata!$B$2:$B1000))),X$1,"""")"),"")</f>
        <v/>
      </c>
      <c r="Y24" s="34" t="str">
        <f>IFERROR(__xludf.DUMMYFUNCTION("IF(IF(Y$1="""","""",REGEXMATCH(LOWER($E24),XLOOKUP(Y$1,Metadata!$A$2:$A1000,Metadata!$B$2:$B1000))),Y$1,"""")"),"")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I25">XLOOKUP($A25,Cards!$A$2:$A1000,Cards!$B$2:$I1000,"")</f>
        <v>Divine</v>
      </c>
      <c r="C25" s="34">
        <v>2.0</v>
      </c>
      <c r="D25" s="34" t="s">
        <v>28</v>
      </c>
      <c r="E25" s="34" t="s">
        <v>175</v>
      </c>
      <c r="F25" s="34" t="s">
        <v>176</v>
      </c>
      <c r="G25" s="34">
        <v>4.0</v>
      </c>
      <c r="H25" s="34" t="s">
        <v>99</v>
      </c>
      <c r="I25" s="34" t="s">
        <v>70</v>
      </c>
      <c r="J25" s="34">
        <f>IFERROR(__xludf.DUMMYFUNCTION("LEN(REGEXREPLACE(XLOOKUP($A25,Cards!$A$2:$A1000,Cards!$H$2:$H1000,""""),"",\s"",""""))"),3.0)</f>
        <v>3</v>
      </c>
      <c r="K25" s="34" t="str">
        <f t="shared" si="1"/>
        <v>      Ramp         </v>
      </c>
      <c r="L25" s="34" t="str">
        <f>IFERROR(__xludf.DUMMYFUNCTION("IF(IF(L$1="""","""",REGEXMATCH(LOWER($E25),XLOOKUP(L$1,Metadata!$A$2:$A1000,Metadata!$B$2:$B1000))),L$1,"""")"),"")</f>
        <v/>
      </c>
      <c r="M25" s="34" t="str">
        <f>IFERROR(__xludf.DUMMYFUNCTION("IF(IF(M$1="""","""",REGEXMATCH(LOWER($E25),XLOOKUP(M$1,Metadata!$A$2:$A1000,Metadata!$B$2:$B1000))),M$1,"""")"),"")</f>
        <v/>
      </c>
      <c r="N25" s="34" t="str">
        <f>IFERROR(__xludf.DUMMYFUNCTION("IF(IF(N$1="""","""",REGEXMATCH(LOWER($E25),XLOOKUP(N$1,Metadata!$A$2:$A1000,Metadata!$B$2:$B1000))),N$1,"""")"),"")</f>
        <v/>
      </c>
      <c r="O25" s="34" t="str">
        <f>IFERROR(__xludf.DUMMYFUNCTION("IF(IF(O$1="""","""",REGEXMATCH(LOWER($E25),XLOOKUP(O$1,Metadata!$A$2:$A1000,Metadata!$B$2:$B1000))),O$1,"""")"),"")</f>
        <v/>
      </c>
      <c r="P25" s="34" t="str">
        <f>IFERROR(__xludf.DUMMYFUNCTION("IF(IF(P$1="""","""",REGEXMATCH(LOWER($E25),XLOOKUP(P$1,Metadata!$A$2:$A1000,Metadata!$B$2:$B1000))),P$1,"""")"),"")</f>
        <v/>
      </c>
      <c r="Q25" s="34" t="str">
        <f>IFERROR(__xludf.DUMMYFUNCTION("IF(IF(Q$1="""","""",REGEXMATCH(LOWER($E25),XLOOKUP(Q$1,Metadata!$A$2:$A1000,Metadata!$B$2:$B1000))),Q$1,"""")"),"")</f>
        <v/>
      </c>
      <c r="R25" s="34" t="str">
        <f>IFERROR(__xludf.DUMMYFUNCTION("IF(IF(R$1="""","""",REGEXMATCH(LOWER($E25),XLOOKUP(R$1,Metadata!$A$2:$A1000,Metadata!$B$2:$B1000))),R$1,"""")"),"Ramp")</f>
        <v>Ramp</v>
      </c>
      <c r="S25" s="34" t="str">
        <f>IFERROR(__xludf.DUMMYFUNCTION("IF(IF(S$1="""","""",REGEXMATCH(LOWER($E25),XLOOKUP(S$1,Metadata!$A$2:$A1000,Metadata!$B$2:$B1000))),S$1,"""")"),"")</f>
        <v/>
      </c>
      <c r="T25" s="34" t="str">
        <f>IFERROR(__xludf.DUMMYFUNCTION("IF(IF(T$1="""","""",REGEXMATCH(LOWER($E25),XLOOKUP(T$1,Metadata!$A$2:$A1000,Metadata!$B$2:$B1000))),T$1,"""")"),"")</f>
        <v/>
      </c>
      <c r="U25" s="34" t="str">
        <f>IFERROR(__xludf.DUMMYFUNCTION("IF(IF(U$1="""","""",REGEXMATCH(LOWER($E25),XLOOKUP(U$1,Metadata!$A$2:$A1000,Metadata!$B$2:$B1000))),U$1,"""")"),"")</f>
        <v/>
      </c>
      <c r="V25" s="34" t="str">
        <f>IFERROR(__xludf.DUMMYFUNCTION("IF(IF(V$1="""","""",REGEXMATCH(LOWER($E25),XLOOKUP(V$1,Metadata!$A$2:$A1000,Metadata!$B$2:$B1000))),V$1,"""")"),"")</f>
        <v/>
      </c>
      <c r="W25" s="34" t="str">
        <f>IFERROR(__xludf.DUMMYFUNCTION("IF(IF(W$1="""","""",REGEXMATCH(LOWER($E25),XLOOKUP(W$1,Metadata!$A$2:$A1000,Metadata!$B$2:$B1000))),W$1,"""")"),"")</f>
        <v/>
      </c>
      <c r="X25" s="34" t="str">
        <f>IFERROR(__xludf.DUMMYFUNCTION("IF(IF(X$1="""","""",REGEXMATCH(LOWER($E25),XLOOKUP(X$1,Metadata!$A$2:$A1000,Metadata!$B$2:$B1000))),X$1,"""")"),"")</f>
        <v/>
      </c>
      <c r="Y25" s="34" t="str">
        <f>IFERROR(__xludf.DUMMYFUNCTION("IF(IF(Y$1="""","""",REGEXMATCH(LOWER($E25),XLOOKUP(Y$1,Metadata!$A$2:$A1000,Metadata!$B$2:$B1000))),Y$1,"""")"),"")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I26">XLOOKUP($A26,Cards!$A$2:$A1000,Cards!$B$2:$I1000,"")</f>
        <v>Divine</v>
      </c>
      <c r="C26" s="34">
        <v>2.0</v>
      </c>
      <c r="D26" s="34" t="s">
        <v>40</v>
      </c>
      <c r="E26" s="34" t="s">
        <v>178</v>
      </c>
      <c r="F26" s="34" t="s">
        <v>179</v>
      </c>
      <c r="G26" s="34">
        <v>2.0</v>
      </c>
      <c r="H26" s="34" t="s">
        <v>53</v>
      </c>
      <c r="I26" s="34" t="s">
        <v>70</v>
      </c>
      <c r="J26" s="34">
        <f>IFERROR(__xludf.DUMMYFUNCTION("LEN(REGEXREPLACE(XLOOKUP($A26,Cards!$A$2:$A1000,Cards!$H$2:$H1000,""""),"",\s"",""""))"),3.0)</f>
        <v>3</v>
      </c>
      <c r="K26" s="34" t="str">
        <f t="shared" si="1"/>
        <v>       Control     Ambush   </v>
      </c>
      <c r="L26" s="34" t="str">
        <f>IFERROR(__xludf.DUMMYFUNCTION("IF(IF(L$1="""","""",REGEXMATCH(LOWER($E26),XLOOKUP(L$1,Metadata!$A$2:$A1000,Metadata!$B$2:$B1000))),L$1,"""")"),"")</f>
        <v/>
      </c>
      <c r="M26" s="34" t="str">
        <f>IFERROR(__xludf.DUMMYFUNCTION("IF(IF(M$1="""","""",REGEXMATCH(LOWER($E26),XLOOKUP(M$1,Metadata!$A$2:$A1000,Metadata!$B$2:$B1000))),M$1,"""")"),"")</f>
        <v/>
      </c>
      <c r="N26" s="34" t="str">
        <f>IFERROR(__xludf.DUMMYFUNCTION("IF(IF(N$1="""","""",REGEXMATCH(LOWER($E26),XLOOKUP(N$1,Metadata!$A$2:$A1000,Metadata!$B$2:$B1000))),N$1,"""")"),"")</f>
        <v/>
      </c>
      <c r="O26" s="34" t="str">
        <f>IFERROR(__xludf.DUMMYFUNCTION("IF(IF(O$1="""","""",REGEXMATCH(LOWER($E26),XLOOKUP(O$1,Metadata!$A$2:$A1000,Metadata!$B$2:$B1000))),O$1,"""")"),"")</f>
        <v/>
      </c>
      <c r="P26" s="34" t="str">
        <f>IFERROR(__xludf.DUMMYFUNCTION("IF(IF(P$1="""","""",REGEXMATCH(LOWER($E26),XLOOKUP(P$1,Metadata!$A$2:$A1000,Metadata!$B$2:$B1000))),P$1,"""")"),"")</f>
        <v/>
      </c>
      <c r="Q26" s="34" t="str">
        <f>IFERROR(__xludf.DUMMYFUNCTION("IF(IF(Q$1="""","""",REGEXMATCH(LOWER($E26),XLOOKUP(Q$1,Metadata!$A$2:$A1000,Metadata!$B$2:$B1000))),Q$1,"""")"),"")</f>
        <v/>
      </c>
      <c r="R26" s="34" t="str">
        <f>IFERROR(__xludf.DUMMYFUNCTION("IF(IF(R$1="""","""",REGEXMATCH(LOWER($E26),XLOOKUP(R$1,Metadata!$A$2:$A1000,Metadata!$B$2:$B1000))),R$1,"""")"),"")</f>
        <v/>
      </c>
      <c r="S26" s="34" t="str">
        <f>IFERROR(__xludf.DUMMYFUNCTION("IF(IF(S$1="""","""",REGEXMATCH(LOWER($E26),XLOOKUP(S$1,Metadata!$A$2:$A1000,Metadata!$B$2:$B1000))),S$1,"""")"),"Control")</f>
        <v>Control</v>
      </c>
      <c r="T26" s="34" t="str">
        <f>IFERROR(__xludf.DUMMYFUNCTION("IF(IF(T$1="""","""",REGEXMATCH(LOWER($E26),XLOOKUP(T$1,Metadata!$A$2:$A1000,Metadata!$B$2:$B1000))),T$1,"""")"),"")</f>
        <v/>
      </c>
      <c r="U26" s="34" t="str">
        <f>IFERROR(__xludf.DUMMYFUNCTION("IF(IF(U$1="""","""",REGEXMATCH(LOWER($E26),XLOOKUP(U$1,Metadata!$A$2:$A1000,Metadata!$B$2:$B1000))),U$1,"""")"),"")</f>
        <v/>
      </c>
      <c r="V26" s="34" t="str">
        <f>IFERROR(__xludf.DUMMYFUNCTION("IF(IF(V$1="""","""",REGEXMATCH(LOWER($E26),XLOOKUP(V$1,Metadata!$A$2:$A1000,Metadata!$B$2:$B1000))),V$1,"""")"),"")</f>
        <v/>
      </c>
      <c r="W26" s="34" t="str">
        <f>IFERROR(__xludf.DUMMYFUNCTION("IF(IF(W$1="""","""",REGEXMATCH(LOWER($E26),XLOOKUP(W$1,Metadata!$A$2:$A1000,Metadata!$B$2:$B1000))),W$1,"""")"),"")</f>
        <v/>
      </c>
      <c r="X26" s="34" t="str">
        <f>IFERROR(__xludf.DUMMYFUNCTION("IF(IF(X$1="""","""",REGEXMATCH(LOWER($E26),XLOOKUP(X$1,Metadata!$A$2:$A1000,Metadata!$B$2:$B1000))),X$1,"""")"),"Ambush")</f>
        <v>Ambush</v>
      </c>
      <c r="Y26" s="34" t="str">
        <f>IFERROR(__xludf.DUMMYFUNCTION("IF(IF(Y$1="""","""",REGEXMATCH(LOWER($E26),XLOOKUP(Y$1,Metadata!$A$2:$A1000,Metadata!$B$2:$B1000))),Y$1,"""")"),"")</f>
        <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I27">XLOOKUP($A27,Cards!$A$2:$A1000,Cards!$B$2:$I1000,"")</f>
        <v>Divine</v>
      </c>
      <c r="C27" s="34">
        <v>2.0</v>
      </c>
      <c r="D27" s="34" t="s">
        <v>181</v>
      </c>
      <c r="E27" s="34" t="s">
        <v>182</v>
      </c>
      <c r="F27" s="34" t="s">
        <v>183</v>
      </c>
      <c r="G27" s="34">
        <v>0.0</v>
      </c>
      <c r="H27" s="34" t="s">
        <v>53</v>
      </c>
      <c r="I27" s="34" t="s">
        <v>70</v>
      </c>
      <c r="J27" s="34">
        <f>IFERROR(__xludf.DUMMYFUNCTION("LEN(REGEXREPLACE(XLOOKUP($A27,Cards!$A$2:$A1000,Cards!$H$2:$H1000,""""),"",\s"",""""))"),3.0)</f>
        <v>3</v>
      </c>
      <c r="K27" s="34" t="str">
        <f t="shared" si="1"/>
        <v>    Void  Ramp         </v>
      </c>
      <c r="L27" s="34" t="str">
        <f>IFERROR(__xludf.DUMMYFUNCTION("IF(IF(L$1="""","""",REGEXMATCH(LOWER($E27),XLOOKUP(L$1,Metadata!$A$2:$A1000,Metadata!$B$2:$B1000))),L$1,"""")"),"")</f>
        <v/>
      </c>
      <c r="M27" s="34" t="str">
        <f>IFERROR(__xludf.DUMMYFUNCTION("IF(IF(M$1="""","""",REGEXMATCH(LOWER($E27),XLOOKUP(M$1,Metadata!$A$2:$A1000,Metadata!$B$2:$B1000))),M$1,"""")"),"")</f>
        <v/>
      </c>
      <c r="N27" s="34" t="str">
        <f>IFERROR(__xludf.DUMMYFUNCTION("IF(IF(N$1="""","""",REGEXMATCH(LOWER($E27),XLOOKUP(N$1,Metadata!$A$2:$A1000,Metadata!$B$2:$B1000))),N$1,"""")"),"")</f>
        <v/>
      </c>
      <c r="O27" s="34" t="str">
        <f>IFERROR(__xludf.DUMMYFUNCTION("IF(IF(O$1="""","""",REGEXMATCH(LOWER($E27),XLOOKUP(O$1,Metadata!$A$2:$A1000,Metadata!$B$2:$B1000))),O$1,"""")"),"")</f>
        <v/>
      </c>
      <c r="P27" s="34" t="str">
        <f>IFERROR(__xludf.DUMMYFUNCTION("IF(IF(P$1="""","""",REGEXMATCH(LOWER($E27),XLOOKUP(P$1,Metadata!$A$2:$A1000,Metadata!$B$2:$B1000))),P$1,"""")"),"Void")</f>
        <v>Void</v>
      </c>
      <c r="Q27" s="34" t="str">
        <f>IFERROR(__xludf.DUMMYFUNCTION("IF(IF(Q$1="""","""",REGEXMATCH(LOWER($E27),XLOOKUP(Q$1,Metadata!$A$2:$A1000,Metadata!$B$2:$B1000))),Q$1,"""")"),"")</f>
        <v/>
      </c>
      <c r="R27" s="34" t="str">
        <f>IFERROR(__xludf.DUMMYFUNCTION("IF(IF(R$1="""","""",REGEXMATCH(LOWER($E27),XLOOKUP(R$1,Metadata!$A$2:$A1000,Metadata!$B$2:$B1000))),R$1,"""")"),"Ramp")</f>
        <v>Ramp</v>
      </c>
      <c r="S27" s="34" t="str">
        <f>IFERROR(__xludf.DUMMYFUNCTION("IF(IF(S$1="""","""",REGEXMATCH(LOWER($E27),XLOOKUP(S$1,Metadata!$A$2:$A1000,Metadata!$B$2:$B1000))),S$1,"""")"),"")</f>
        <v/>
      </c>
      <c r="T27" s="34" t="str">
        <f>IFERROR(__xludf.DUMMYFUNCTION("IF(IF(T$1="""","""",REGEXMATCH(LOWER($E27),XLOOKUP(T$1,Metadata!$A$2:$A1000,Metadata!$B$2:$B1000))),T$1,"""")"),"")</f>
        <v/>
      </c>
      <c r="U27" s="34" t="str">
        <f>IFERROR(__xludf.DUMMYFUNCTION("IF(IF(U$1="""","""",REGEXMATCH(LOWER($E27),XLOOKUP(U$1,Metadata!$A$2:$A1000,Metadata!$B$2:$B1000))),U$1,"""")"),"")</f>
        <v/>
      </c>
      <c r="V27" s="34" t="str">
        <f>IFERROR(__xludf.DUMMYFUNCTION("IF(IF(V$1="""","""",REGEXMATCH(LOWER($E27),XLOOKUP(V$1,Metadata!$A$2:$A1000,Metadata!$B$2:$B1000))),V$1,"""")"),"")</f>
        <v/>
      </c>
      <c r="W27" s="34" t="str">
        <f>IFERROR(__xludf.DUMMYFUNCTION("IF(IF(W$1="""","""",REGEXMATCH(LOWER($E27),XLOOKUP(W$1,Metadata!$A$2:$A1000,Metadata!$B$2:$B1000))),W$1,"""")"),"")</f>
        <v/>
      </c>
      <c r="X27" s="34" t="str">
        <f>IFERROR(__xludf.DUMMYFUNCTION("IF(IF(X$1="""","""",REGEXMATCH(LOWER($E27),XLOOKUP(X$1,Metadata!$A$2:$A1000,Metadata!$B$2:$B1000))),X$1,"""")"),"")</f>
        <v/>
      </c>
      <c r="Y27" s="34" t="str">
        <f>IFERROR(__xludf.DUMMYFUNCTION("IF(IF(Y$1="""","""",REGEXMATCH(LOWER($E27),XLOOKUP(Y$1,Metadata!$A$2:$A1000,Metadata!$B$2:$B1000))),Y$1,"""")"),"")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I28">XLOOKUP($A28,Cards!$A$2:$A1000,Cards!$B$2:$I1000,"")</f>
        <v>Divine</v>
      </c>
      <c r="C28" s="34">
        <v>1.0</v>
      </c>
      <c r="D28" s="34" t="s">
        <v>80</v>
      </c>
      <c r="E28" s="34" t="s">
        <v>185</v>
      </c>
      <c r="F28" s="34" t="s">
        <v>186</v>
      </c>
      <c r="G28" s="34">
        <v>6.0</v>
      </c>
      <c r="H28" s="34" t="s">
        <v>187</v>
      </c>
      <c r="I28" s="34" t="s">
        <v>70</v>
      </c>
      <c r="J28" s="34">
        <f>IFERROR(__xludf.DUMMYFUNCTION("LEN(REGEXREPLACE(XLOOKUP($A28,Cards!$A$2:$A1000,Cards!$H$2:$H1000,""""),"",\s"",""""))"),7.0)</f>
        <v>7</v>
      </c>
      <c r="K28" s="34" t="str">
        <f t="shared" si="1"/>
        <v>      Ramp         </v>
      </c>
      <c r="L28" s="34" t="str">
        <f>IFERROR(__xludf.DUMMYFUNCTION("IF(IF(L$1="""","""",REGEXMATCH(LOWER($E28),XLOOKUP(L$1,Metadata!$A$2:$A1000,Metadata!$B$2:$B1000))),L$1,"""")"),"")</f>
        <v/>
      </c>
      <c r="M28" s="34" t="str">
        <f>IFERROR(__xludf.DUMMYFUNCTION("IF(IF(M$1="""","""",REGEXMATCH(LOWER($E28),XLOOKUP(M$1,Metadata!$A$2:$A1000,Metadata!$B$2:$B1000))),M$1,"""")"),"")</f>
        <v/>
      </c>
      <c r="N28" s="34" t="str">
        <f>IFERROR(__xludf.DUMMYFUNCTION("IF(IF(N$1="""","""",REGEXMATCH(LOWER($E28),XLOOKUP(N$1,Metadata!$A$2:$A1000,Metadata!$B$2:$B1000))),N$1,"""")"),"")</f>
        <v/>
      </c>
      <c r="O28" s="34" t="str">
        <f>IFERROR(__xludf.DUMMYFUNCTION("IF(IF(O$1="""","""",REGEXMATCH(LOWER($E28),XLOOKUP(O$1,Metadata!$A$2:$A1000,Metadata!$B$2:$B1000))),O$1,"""")"),"")</f>
        <v/>
      </c>
      <c r="P28" s="34" t="str">
        <f>IFERROR(__xludf.DUMMYFUNCTION("IF(IF(P$1="""","""",REGEXMATCH(LOWER($E28),XLOOKUP(P$1,Metadata!$A$2:$A1000,Metadata!$B$2:$B1000))),P$1,"""")"),"")</f>
        <v/>
      </c>
      <c r="Q28" s="34" t="str">
        <f>IFERROR(__xludf.DUMMYFUNCTION("IF(IF(Q$1="""","""",REGEXMATCH(LOWER($E28),XLOOKUP(Q$1,Metadata!$A$2:$A1000,Metadata!$B$2:$B1000))),Q$1,"""")"),"")</f>
        <v/>
      </c>
      <c r="R28" s="34" t="str">
        <f>IFERROR(__xludf.DUMMYFUNCTION("IF(IF(R$1="""","""",REGEXMATCH(LOWER($E28),XLOOKUP(R$1,Metadata!$A$2:$A1000,Metadata!$B$2:$B1000))),R$1,"""")"),"Ramp")</f>
        <v>Ramp</v>
      </c>
      <c r="S28" s="34" t="str">
        <f>IFERROR(__xludf.DUMMYFUNCTION("IF(IF(S$1="""","""",REGEXMATCH(LOWER($E28),XLOOKUP(S$1,Metadata!$A$2:$A1000,Metadata!$B$2:$B1000))),S$1,"""")"),"")</f>
        <v/>
      </c>
      <c r="T28" s="34" t="str">
        <f>IFERROR(__xludf.DUMMYFUNCTION("IF(IF(T$1="""","""",REGEXMATCH(LOWER($E28),XLOOKUP(T$1,Metadata!$A$2:$A1000,Metadata!$B$2:$B1000))),T$1,"""")"),"")</f>
        <v/>
      </c>
      <c r="U28" s="34" t="str">
        <f>IFERROR(__xludf.DUMMYFUNCTION("IF(IF(U$1="""","""",REGEXMATCH(LOWER($E28),XLOOKUP(U$1,Metadata!$A$2:$A1000,Metadata!$B$2:$B1000))),U$1,"""")"),"")</f>
        <v/>
      </c>
      <c r="V28" s="34" t="str">
        <f>IFERROR(__xludf.DUMMYFUNCTION("IF(IF(V$1="""","""",REGEXMATCH(LOWER($E28),XLOOKUP(V$1,Metadata!$A$2:$A1000,Metadata!$B$2:$B1000))),V$1,"""")"),"")</f>
        <v/>
      </c>
      <c r="W28" s="34" t="str">
        <f>IFERROR(__xludf.DUMMYFUNCTION("IF(IF(W$1="""","""",REGEXMATCH(LOWER($E28),XLOOKUP(W$1,Metadata!$A$2:$A1000,Metadata!$B$2:$B1000))),W$1,"""")"),"")</f>
        <v/>
      </c>
      <c r="X28" s="34" t="str">
        <f>IFERROR(__xludf.DUMMYFUNCTION("IF(IF(X$1="""","""",REGEXMATCH(LOWER($E28),XLOOKUP(X$1,Metadata!$A$2:$A1000,Metadata!$B$2:$B1000))),X$1,"""")"),"")</f>
        <v/>
      </c>
      <c r="Y28" s="34" t="str">
        <f>IFERROR(__xludf.DUMMYFUNCTION("IF(IF(Y$1="""","""",REGEXMATCH(LOWER($E28),XLOOKUP(Y$1,Metadata!$A$2:$A1000,Metadata!$B$2:$B1000))),Y$1,"""")"),"")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I29">XLOOKUP($A29,Cards!$A$2:$A1000,Cards!$B$2:$I1000,"")</f>
        <v>Divine</v>
      </c>
      <c r="C29" s="34">
        <v>2.0</v>
      </c>
      <c r="D29" s="34" t="s">
        <v>50</v>
      </c>
      <c r="E29" s="34" t="s">
        <v>191</v>
      </c>
      <c r="F29" s="34" t="s">
        <v>192</v>
      </c>
      <c r="G29" s="34">
        <v>4.0</v>
      </c>
      <c r="H29" s="34" t="s">
        <v>193</v>
      </c>
      <c r="I29" s="34" t="s">
        <v>70</v>
      </c>
      <c r="J29" s="34">
        <f>IFERROR(__xludf.DUMMYFUNCTION("LEN(REGEXREPLACE(XLOOKUP($A29,Cards!$A$2:$A1000,Cards!$H$2:$H1000,""""),"",\s"",""""))"),6.0)</f>
        <v>6</v>
      </c>
      <c r="K29" s="34" t="str">
        <f t="shared" si="1"/>
        <v>         Aggro      </v>
      </c>
      <c r="L29" s="34" t="str">
        <f>IFERROR(__xludf.DUMMYFUNCTION("IF(IF(L$1="""","""",REGEXMATCH(LOWER($E29),XLOOKUP(L$1,Metadata!$A$2:$A1000,Metadata!$B$2:$B1000))),L$1,"""")"),"")</f>
        <v/>
      </c>
      <c r="M29" s="34" t="str">
        <f>IFERROR(__xludf.DUMMYFUNCTION("IF(IF(M$1="""","""",REGEXMATCH(LOWER($E29),XLOOKUP(M$1,Metadata!$A$2:$A1000,Metadata!$B$2:$B1000))),M$1,"""")"),"")</f>
        <v/>
      </c>
      <c r="N29" s="34" t="str">
        <f>IFERROR(__xludf.DUMMYFUNCTION("IF(IF(N$1="""","""",REGEXMATCH(LOWER($E29),XLOOKUP(N$1,Metadata!$A$2:$A1000,Metadata!$B$2:$B1000))),N$1,"""")"),"")</f>
        <v/>
      </c>
      <c r="O29" s="34" t="str">
        <f>IFERROR(__xludf.DUMMYFUNCTION("IF(IF(O$1="""","""",REGEXMATCH(LOWER($E29),XLOOKUP(O$1,Metadata!$A$2:$A1000,Metadata!$B$2:$B1000))),O$1,"""")"),"")</f>
        <v/>
      </c>
      <c r="P29" s="34" t="str">
        <f>IFERROR(__xludf.DUMMYFUNCTION("IF(IF(P$1="""","""",REGEXMATCH(LOWER($E29),XLOOKUP(P$1,Metadata!$A$2:$A1000,Metadata!$B$2:$B1000))),P$1,"""")"),"")</f>
        <v/>
      </c>
      <c r="Q29" s="34" t="str">
        <f>IFERROR(__xludf.DUMMYFUNCTION("IF(IF(Q$1="""","""",REGEXMATCH(LOWER($E29),XLOOKUP(Q$1,Metadata!$A$2:$A1000,Metadata!$B$2:$B1000))),Q$1,"""")"),"")</f>
        <v/>
      </c>
      <c r="R29" s="34" t="str">
        <f>IFERROR(__xludf.DUMMYFUNCTION("IF(IF(R$1="""","""",REGEXMATCH(LOWER($E29),XLOOKUP(R$1,Metadata!$A$2:$A1000,Metadata!$B$2:$B1000))),R$1,"""")"),"")</f>
        <v/>
      </c>
      <c r="S29" s="34" t="str">
        <f>IFERROR(__xludf.DUMMYFUNCTION("IF(IF(S$1="""","""",REGEXMATCH(LOWER($E29),XLOOKUP(S$1,Metadata!$A$2:$A1000,Metadata!$B$2:$B1000))),S$1,"""")"),"")</f>
        <v/>
      </c>
      <c r="T29" s="34" t="str">
        <f>IFERROR(__xludf.DUMMYFUNCTION("IF(IF(T$1="""","""",REGEXMATCH(LOWER($E29),XLOOKUP(T$1,Metadata!$A$2:$A1000,Metadata!$B$2:$B1000))),T$1,"""")"),"")</f>
        <v/>
      </c>
      <c r="U29" s="34" t="str">
        <f>IFERROR(__xludf.DUMMYFUNCTION("IF(IF(U$1="""","""",REGEXMATCH(LOWER($E29),XLOOKUP(U$1,Metadata!$A$2:$A1000,Metadata!$B$2:$B1000))),U$1,"""")"),"Aggro")</f>
        <v>Aggro</v>
      </c>
      <c r="V29" s="34" t="str">
        <f>IFERROR(__xludf.DUMMYFUNCTION("IF(IF(V$1="""","""",REGEXMATCH(LOWER($E29),XLOOKUP(V$1,Metadata!$A$2:$A1000,Metadata!$B$2:$B1000))),V$1,"""")"),"")</f>
        <v/>
      </c>
      <c r="W29" s="34" t="str">
        <f>IFERROR(__xludf.DUMMYFUNCTION("IF(IF(W$1="""","""",REGEXMATCH(LOWER($E29),XLOOKUP(W$1,Metadata!$A$2:$A1000,Metadata!$B$2:$B1000))),W$1,"""")"),"")</f>
        <v/>
      </c>
      <c r="X29" s="34" t="str">
        <f>IFERROR(__xludf.DUMMYFUNCTION("IF(IF(X$1="""","""",REGEXMATCH(LOWER($E29),XLOOKUP(X$1,Metadata!$A$2:$A1000,Metadata!$B$2:$B1000))),X$1,"""")"),"")</f>
        <v/>
      </c>
      <c r="Y29" s="34" t="str">
        <f>IFERROR(__xludf.DUMMYFUNCTION("IF(IF(Y$1="""","""",REGEXMATCH(LOWER($E29),XLOOKUP(Y$1,Metadata!$A$2:$A1000,Metadata!$B$2:$B1000))),Y$1,"""")"),"")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I30">XLOOKUP($A30,Cards!$A$2:$A1000,Cards!$B$2:$I1000,"")</f>
        <v>Divine</v>
      </c>
      <c r="C30" s="34">
        <v>1.0</v>
      </c>
      <c r="D30" s="34" t="s">
        <v>195</v>
      </c>
      <c r="E30" s="34" t="s">
        <v>196</v>
      </c>
      <c r="F30" s="34" t="s">
        <v>197</v>
      </c>
      <c r="G30" s="34">
        <v>2.0</v>
      </c>
      <c r="H30" s="34" t="s">
        <v>158</v>
      </c>
      <c r="I30" s="34" t="s">
        <v>26</v>
      </c>
      <c r="J30" s="34">
        <f>IFERROR(__xludf.DUMMYFUNCTION("LEN(REGEXREPLACE(XLOOKUP($A30,Cards!$A$2:$A1000,Cards!$H$2:$H1000,""""),"",\s"",""""))"),4.0)</f>
        <v>4</v>
      </c>
      <c r="K30" s="34" t="str">
        <f t="shared" si="1"/>
        <v>      Ramp         </v>
      </c>
      <c r="L30" s="34" t="str">
        <f>IFERROR(__xludf.DUMMYFUNCTION("IF(IF(L$1="""","""",REGEXMATCH(LOWER($E30),XLOOKUP(L$1,Metadata!$A$2:$A1000,Metadata!$B$2:$B1000))),L$1,"""")"),"")</f>
        <v/>
      </c>
      <c r="M30" s="34" t="str">
        <f>IFERROR(__xludf.DUMMYFUNCTION("IF(IF(M$1="""","""",REGEXMATCH(LOWER($E30),XLOOKUP(M$1,Metadata!$A$2:$A1000,Metadata!$B$2:$B1000))),M$1,"""")"),"")</f>
        <v/>
      </c>
      <c r="N30" s="34" t="str">
        <f>IFERROR(__xludf.DUMMYFUNCTION("IF(IF(N$1="""","""",REGEXMATCH(LOWER($E30),XLOOKUP(N$1,Metadata!$A$2:$A1000,Metadata!$B$2:$B1000))),N$1,"""")"),"")</f>
        <v/>
      </c>
      <c r="O30" s="34" t="str">
        <f>IFERROR(__xludf.DUMMYFUNCTION("IF(IF(O$1="""","""",REGEXMATCH(LOWER($E30),XLOOKUP(O$1,Metadata!$A$2:$A1000,Metadata!$B$2:$B1000))),O$1,"""")"),"")</f>
        <v/>
      </c>
      <c r="P30" s="34" t="str">
        <f>IFERROR(__xludf.DUMMYFUNCTION("IF(IF(P$1="""","""",REGEXMATCH(LOWER($E30),XLOOKUP(P$1,Metadata!$A$2:$A1000,Metadata!$B$2:$B1000))),P$1,"""")"),"")</f>
        <v/>
      </c>
      <c r="Q30" s="34" t="str">
        <f>IFERROR(__xludf.DUMMYFUNCTION("IF(IF(Q$1="""","""",REGEXMATCH(LOWER($E30),XLOOKUP(Q$1,Metadata!$A$2:$A1000,Metadata!$B$2:$B1000))),Q$1,"""")"),"")</f>
        <v/>
      </c>
      <c r="R30" s="34" t="str">
        <f>IFERROR(__xludf.DUMMYFUNCTION("IF(IF(R$1="""","""",REGEXMATCH(LOWER($E30),XLOOKUP(R$1,Metadata!$A$2:$A1000,Metadata!$B$2:$B1000))),R$1,"""")"),"Ramp")</f>
        <v>Ramp</v>
      </c>
      <c r="S30" s="34" t="str">
        <f>IFERROR(__xludf.DUMMYFUNCTION("IF(IF(S$1="""","""",REGEXMATCH(LOWER($E30),XLOOKUP(S$1,Metadata!$A$2:$A1000,Metadata!$B$2:$B1000))),S$1,"""")"),"")</f>
        <v/>
      </c>
      <c r="T30" s="34" t="str">
        <f>IFERROR(__xludf.DUMMYFUNCTION("IF(IF(T$1="""","""",REGEXMATCH(LOWER($E30),XLOOKUP(T$1,Metadata!$A$2:$A1000,Metadata!$B$2:$B1000))),T$1,"""")"),"")</f>
        <v/>
      </c>
      <c r="U30" s="34" t="str">
        <f>IFERROR(__xludf.DUMMYFUNCTION("IF(IF(U$1="""","""",REGEXMATCH(LOWER($E30),XLOOKUP(U$1,Metadata!$A$2:$A1000,Metadata!$B$2:$B1000))),U$1,"""")"),"")</f>
        <v/>
      </c>
      <c r="V30" s="34" t="str">
        <f>IFERROR(__xludf.DUMMYFUNCTION("IF(IF(V$1="""","""",REGEXMATCH(LOWER($E30),XLOOKUP(V$1,Metadata!$A$2:$A1000,Metadata!$B$2:$B1000))),V$1,"""")"),"")</f>
        <v/>
      </c>
      <c r="W30" s="34" t="str">
        <f>IFERROR(__xludf.DUMMYFUNCTION("IF(IF(W$1="""","""",REGEXMATCH(LOWER($E30),XLOOKUP(W$1,Metadata!$A$2:$A1000,Metadata!$B$2:$B1000))),W$1,"""")"),"")</f>
        <v/>
      </c>
      <c r="X30" s="34" t="str">
        <f>IFERROR(__xludf.DUMMYFUNCTION("IF(IF(X$1="""","""",REGEXMATCH(LOWER($E30),XLOOKUP(X$1,Metadata!$A$2:$A1000,Metadata!$B$2:$B1000))),X$1,"""")"),"")</f>
        <v/>
      </c>
      <c r="Y30" s="34" t="str">
        <f>IFERROR(__xludf.DUMMYFUNCTION("IF(IF(Y$1="""","""",REGEXMATCH(LOWER($E30),XLOOKUP(Y$1,Metadata!$A$2:$A1000,Metadata!$B$2:$B1000))),Y$1,"""")"),"")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I31">XLOOKUP($A31,Cards!$A$2:$A1000,Cards!$B$2:$I1000,"")</f>
        <v>Divine</v>
      </c>
      <c r="C31" s="34">
        <v>1.0</v>
      </c>
      <c r="D31" s="34" t="s">
        <v>201</v>
      </c>
      <c r="E31" s="34" t="s">
        <v>202</v>
      </c>
      <c r="F31" s="34" t="s">
        <v>203</v>
      </c>
      <c r="G31" s="34">
        <v>2.0</v>
      </c>
      <c r="H31" s="34" t="s">
        <v>25</v>
      </c>
      <c r="I31" s="34" t="s">
        <v>26</v>
      </c>
      <c r="J31" s="34">
        <f>IFERROR(__xludf.DUMMYFUNCTION("LEN(REGEXREPLACE(XLOOKUP($A31,Cards!$A$2:$A1000,Cards!$H$2:$H1000,""""),"",\s"",""""))"),1.0)</f>
        <v>1</v>
      </c>
      <c r="K31" s="34" t="str">
        <f t="shared" si="1"/>
        <v>Divine               </v>
      </c>
      <c r="L31" s="34" t="str">
        <f>IFERROR(__xludf.DUMMYFUNCTION("IF(IF(L$1="""","""",REGEXMATCH(LOWER($E31),XLOOKUP(L$1,Metadata!$A$2:$A1000,Metadata!$B$2:$B1000))),L$1,"""")"),"Divine")</f>
        <v>Divine</v>
      </c>
      <c r="M31" s="34" t="str">
        <f>IFERROR(__xludf.DUMMYFUNCTION("IF(IF(M$1="""","""",REGEXMATCH(LOWER($E31),XLOOKUP(M$1,Metadata!$A$2:$A1000,Metadata!$B$2:$B1000))),M$1,"""")"),"")</f>
        <v/>
      </c>
      <c r="N31" s="34" t="str">
        <f>IFERROR(__xludf.DUMMYFUNCTION("IF(IF(N$1="""","""",REGEXMATCH(LOWER($E31),XLOOKUP(N$1,Metadata!$A$2:$A1000,Metadata!$B$2:$B1000))),N$1,"""")"),"")</f>
        <v/>
      </c>
      <c r="O31" s="34" t="str">
        <f>IFERROR(__xludf.DUMMYFUNCTION("IF(IF(O$1="""","""",REGEXMATCH(LOWER($E31),XLOOKUP(O$1,Metadata!$A$2:$A1000,Metadata!$B$2:$B1000))),O$1,"""")"),"")</f>
        <v/>
      </c>
      <c r="P31" s="34" t="str">
        <f>IFERROR(__xludf.DUMMYFUNCTION("IF(IF(P$1="""","""",REGEXMATCH(LOWER($E31),XLOOKUP(P$1,Metadata!$A$2:$A1000,Metadata!$B$2:$B1000))),P$1,"""")"),"")</f>
        <v/>
      </c>
      <c r="Q31" s="34" t="str">
        <f>IFERROR(__xludf.DUMMYFUNCTION("IF(IF(Q$1="""","""",REGEXMATCH(LOWER($E31),XLOOKUP(Q$1,Metadata!$A$2:$A1000,Metadata!$B$2:$B1000))),Q$1,"""")"),"")</f>
        <v/>
      </c>
      <c r="R31" s="34" t="str">
        <f>IFERROR(__xludf.DUMMYFUNCTION("IF(IF(R$1="""","""",REGEXMATCH(LOWER($E31),XLOOKUP(R$1,Metadata!$A$2:$A1000,Metadata!$B$2:$B1000))),R$1,"""")"),"")</f>
        <v/>
      </c>
      <c r="S31" s="34" t="str">
        <f>IFERROR(__xludf.DUMMYFUNCTION("IF(IF(S$1="""","""",REGEXMATCH(LOWER($E31),XLOOKUP(S$1,Metadata!$A$2:$A1000,Metadata!$B$2:$B1000))),S$1,"""")"),"")</f>
        <v/>
      </c>
      <c r="T31" s="34" t="str">
        <f>IFERROR(__xludf.DUMMYFUNCTION("IF(IF(T$1="""","""",REGEXMATCH(LOWER($E31),XLOOKUP(T$1,Metadata!$A$2:$A1000,Metadata!$B$2:$B1000))),T$1,"""")"),"")</f>
        <v/>
      </c>
      <c r="U31" s="34" t="str">
        <f>IFERROR(__xludf.DUMMYFUNCTION("IF(IF(U$1="""","""",REGEXMATCH(LOWER($E31),XLOOKUP(U$1,Metadata!$A$2:$A1000,Metadata!$B$2:$B1000))),U$1,"""")"),"")</f>
        <v/>
      </c>
      <c r="V31" s="34" t="str">
        <f>IFERROR(__xludf.DUMMYFUNCTION("IF(IF(V$1="""","""",REGEXMATCH(LOWER($E31),XLOOKUP(V$1,Metadata!$A$2:$A1000,Metadata!$B$2:$B1000))),V$1,"""")"),"")</f>
        <v/>
      </c>
      <c r="W31" s="34" t="str">
        <f>IFERROR(__xludf.DUMMYFUNCTION("IF(IF(W$1="""","""",REGEXMATCH(LOWER($E31),XLOOKUP(W$1,Metadata!$A$2:$A1000,Metadata!$B$2:$B1000))),W$1,"""")"),"")</f>
        <v/>
      </c>
      <c r="X31" s="34" t="str">
        <f>IFERROR(__xludf.DUMMYFUNCTION("IF(IF(X$1="""","""",REGEXMATCH(LOWER($E31),XLOOKUP(X$1,Metadata!$A$2:$A1000,Metadata!$B$2:$B1000))),X$1,"""")"),"")</f>
        <v/>
      </c>
      <c r="Y31" s="34" t="str">
        <f>IFERROR(__xludf.DUMMYFUNCTION("IF(IF(Y$1="""","""",REGEXMATCH(LOWER($E31),XLOOKUP(Y$1,Metadata!$A$2:$A1000,Metadata!$B$2:$B1000))),Y$1,"""")"),"")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I32">XLOOKUP($A32,Cards!$A$2:$A1000,Cards!$B$2:$I1000,"")</f>
        <v>Divine</v>
      </c>
      <c r="C32" s="34">
        <v>1.0</v>
      </c>
      <c r="D32" s="34" t="s">
        <v>111</v>
      </c>
      <c r="E32" s="34" t="s">
        <v>207</v>
      </c>
      <c r="F32" s="34" t="s">
        <v>208</v>
      </c>
      <c r="G32" s="34">
        <v>0.0</v>
      </c>
      <c r="H32" s="34" t="s">
        <v>53</v>
      </c>
      <c r="I32" s="34" t="s">
        <v>32</v>
      </c>
      <c r="J32" s="34">
        <f>IFERROR(__xludf.DUMMYFUNCTION("LEN(REGEXREPLACE(XLOOKUP($A32,Cards!$A$2:$A1000,Cards!$H$2:$H1000,""""),"",\s"",""""))"),3.0)</f>
        <v>3</v>
      </c>
      <c r="K32" s="34" t="str">
        <f t="shared" si="1"/>
        <v>               </v>
      </c>
      <c r="L32" s="34" t="str">
        <f>IFERROR(__xludf.DUMMYFUNCTION("IF(IF(L$1="""","""",REGEXMATCH(LOWER($E32),XLOOKUP(L$1,Metadata!$A$2:$A1000,Metadata!$B$2:$B1000))),L$1,"""")"),"")</f>
        <v/>
      </c>
      <c r="M32" s="34" t="str">
        <f>IFERROR(__xludf.DUMMYFUNCTION("IF(IF(M$1="""","""",REGEXMATCH(LOWER($E32),XLOOKUP(M$1,Metadata!$A$2:$A1000,Metadata!$B$2:$B1000))),M$1,"""")"),"")</f>
        <v/>
      </c>
      <c r="N32" s="34" t="str">
        <f>IFERROR(__xludf.DUMMYFUNCTION("IF(IF(N$1="""","""",REGEXMATCH(LOWER($E32),XLOOKUP(N$1,Metadata!$A$2:$A1000,Metadata!$B$2:$B1000))),N$1,"""")"),"")</f>
        <v/>
      </c>
      <c r="O32" s="34" t="str">
        <f>IFERROR(__xludf.DUMMYFUNCTION("IF(IF(O$1="""","""",REGEXMATCH(LOWER($E32),XLOOKUP(O$1,Metadata!$A$2:$A1000,Metadata!$B$2:$B1000))),O$1,"""")"),"")</f>
        <v/>
      </c>
      <c r="P32" s="34" t="str">
        <f>IFERROR(__xludf.DUMMYFUNCTION("IF(IF(P$1="""","""",REGEXMATCH(LOWER($E32),XLOOKUP(P$1,Metadata!$A$2:$A1000,Metadata!$B$2:$B1000))),P$1,"""")"),"")</f>
        <v/>
      </c>
      <c r="Q32" s="34" t="str">
        <f>IFERROR(__xludf.DUMMYFUNCTION("IF(IF(Q$1="""","""",REGEXMATCH(LOWER($E32),XLOOKUP(Q$1,Metadata!$A$2:$A1000,Metadata!$B$2:$B1000))),Q$1,"""")"),"")</f>
        <v/>
      </c>
      <c r="R32" s="34" t="str">
        <f>IFERROR(__xludf.DUMMYFUNCTION("IF(IF(R$1="""","""",REGEXMATCH(LOWER($E32),XLOOKUP(R$1,Metadata!$A$2:$A1000,Metadata!$B$2:$B1000))),R$1,"""")"),"")</f>
        <v/>
      </c>
      <c r="S32" s="34" t="str">
        <f>IFERROR(__xludf.DUMMYFUNCTION("IF(IF(S$1="""","""",REGEXMATCH(LOWER($E32),XLOOKUP(S$1,Metadata!$A$2:$A1000,Metadata!$B$2:$B1000))),S$1,"""")"),"")</f>
        <v/>
      </c>
      <c r="T32" s="34" t="str">
        <f>IFERROR(__xludf.DUMMYFUNCTION("IF(IF(T$1="""","""",REGEXMATCH(LOWER($E32),XLOOKUP(T$1,Metadata!$A$2:$A1000,Metadata!$B$2:$B1000))),T$1,"""")"),"")</f>
        <v/>
      </c>
      <c r="U32" s="34" t="str">
        <f>IFERROR(__xludf.DUMMYFUNCTION("IF(IF(U$1="""","""",REGEXMATCH(LOWER($E32),XLOOKUP(U$1,Metadata!$A$2:$A1000,Metadata!$B$2:$B1000))),U$1,"""")"),"")</f>
        <v/>
      </c>
      <c r="V32" s="34" t="str">
        <f>IFERROR(__xludf.DUMMYFUNCTION("IF(IF(V$1="""","""",REGEXMATCH(LOWER($E32),XLOOKUP(V$1,Metadata!$A$2:$A1000,Metadata!$B$2:$B1000))),V$1,"""")"),"")</f>
        <v/>
      </c>
      <c r="W32" s="34" t="str">
        <f>IFERROR(__xludf.DUMMYFUNCTION("IF(IF(W$1="""","""",REGEXMATCH(LOWER($E32),XLOOKUP(W$1,Metadata!$A$2:$A1000,Metadata!$B$2:$B1000))),W$1,"""")"),"")</f>
        <v/>
      </c>
      <c r="X32" s="34" t="str">
        <f>IFERROR(__xludf.DUMMYFUNCTION("IF(IF(X$1="""","""",REGEXMATCH(LOWER($E32),XLOOKUP(X$1,Metadata!$A$2:$A1000,Metadata!$B$2:$B1000))),X$1,"""")"),"")</f>
        <v/>
      </c>
      <c r="Y32" s="34" t="str">
        <f>IFERROR(__xludf.DUMMYFUNCTION("IF(IF(Y$1="""","""",REGEXMATCH(LOWER($E32),XLOOKUP(Y$1,Metadata!$A$2:$A1000,Metadata!$B$2:$B1000))),Y$1,"""")"),"")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I33">XLOOKUP($A33,Cards!$A$2:$A1000,Cards!$B$2:$I1000,"")</f>
        <v>Divine</v>
      </c>
      <c r="C33" s="34">
        <v>2.0</v>
      </c>
      <c r="D33" s="34" t="s">
        <v>80</v>
      </c>
      <c r="E33" s="34" t="s">
        <v>212</v>
      </c>
      <c r="F33" s="34" t="s">
        <v>213</v>
      </c>
      <c r="G33" s="34">
        <v>1.0</v>
      </c>
      <c r="H33" s="34" t="s">
        <v>25</v>
      </c>
      <c r="I33" s="34" t="s">
        <v>70</v>
      </c>
      <c r="J33" s="34">
        <f>IFERROR(__xludf.DUMMYFUNCTION("LEN(REGEXREPLACE(XLOOKUP($A33,Cards!$A$2:$A1000,Cards!$H$2:$H1000,""""),"",\s"",""""))"),1.0)</f>
        <v>1</v>
      </c>
      <c r="K33" s="34" t="str">
        <f t="shared" si="1"/>
        <v>               </v>
      </c>
      <c r="L33" s="34" t="str">
        <f>IFERROR(__xludf.DUMMYFUNCTION("IF(IF(L$1="""","""",REGEXMATCH(LOWER($E33),XLOOKUP(L$1,Metadata!$A$2:$A1000,Metadata!$B$2:$B1000))),L$1,"""")"),"")</f>
        <v/>
      </c>
      <c r="M33" s="34" t="str">
        <f>IFERROR(__xludf.DUMMYFUNCTION("IF(IF(M$1="""","""",REGEXMATCH(LOWER($E33),XLOOKUP(M$1,Metadata!$A$2:$A1000,Metadata!$B$2:$B1000))),M$1,"""")"),"")</f>
        <v/>
      </c>
      <c r="N33" s="34" t="str">
        <f>IFERROR(__xludf.DUMMYFUNCTION("IF(IF(N$1="""","""",REGEXMATCH(LOWER($E33),XLOOKUP(N$1,Metadata!$A$2:$A1000,Metadata!$B$2:$B1000))),N$1,"""")"),"")</f>
        <v/>
      </c>
      <c r="O33" s="34" t="str">
        <f>IFERROR(__xludf.DUMMYFUNCTION("IF(IF(O$1="""","""",REGEXMATCH(LOWER($E33),XLOOKUP(O$1,Metadata!$A$2:$A1000,Metadata!$B$2:$B1000))),O$1,"""")"),"")</f>
        <v/>
      </c>
      <c r="P33" s="34" t="str">
        <f>IFERROR(__xludf.DUMMYFUNCTION("IF(IF(P$1="""","""",REGEXMATCH(LOWER($E33),XLOOKUP(P$1,Metadata!$A$2:$A1000,Metadata!$B$2:$B1000))),P$1,"""")"),"")</f>
        <v/>
      </c>
      <c r="Q33" s="34" t="str">
        <f>IFERROR(__xludf.DUMMYFUNCTION("IF(IF(Q$1="""","""",REGEXMATCH(LOWER($E33),XLOOKUP(Q$1,Metadata!$A$2:$A1000,Metadata!$B$2:$B1000))),Q$1,"""")"),"")</f>
        <v/>
      </c>
      <c r="R33" s="34" t="str">
        <f>IFERROR(__xludf.DUMMYFUNCTION("IF(IF(R$1="""","""",REGEXMATCH(LOWER($E33),XLOOKUP(R$1,Metadata!$A$2:$A1000,Metadata!$B$2:$B1000))),R$1,"""")"),"")</f>
        <v/>
      </c>
      <c r="S33" s="34" t="str">
        <f>IFERROR(__xludf.DUMMYFUNCTION("IF(IF(S$1="""","""",REGEXMATCH(LOWER($E33),XLOOKUP(S$1,Metadata!$A$2:$A1000,Metadata!$B$2:$B1000))),S$1,"""")"),"")</f>
        <v/>
      </c>
      <c r="T33" s="34" t="str">
        <f>IFERROR(__xludf.DUMMYFUNCTION("IF(IF(T$1="""","""",REGEXMATCH(LOWER($E33),XLOOKUP(T$1,Metadata!$A$2:$A1000,Metadata!$B$2:$B1000))),T$1,"""")"),"")</f>
        <v/>
      </c>
      <c r="U33" s="34" t="str">
        <f>IFERROR(__xludf.DUMMYFUNCTION("IF(IF(U$1="""","""",REGEXMATCH(LOWER($E33),XLOOKUP(U$1,Metadata!$A$2:$A1000,Metadata!$B$2:$B1000))),U$1,"""")"),"")</f>
        <v/>
      </c>
      <c r="V33" s="34" t="str">
        <f>IFERROR(__xludf.DUMMYFUNCTION("IF(IF(V$1="""","""",REGEXMATCH(LOWER($E33),XLOOKUP(V$1,Metadata!$A$2:$A1000,Metadata!$B$2:$B1000))),V$1,"""")"),"")</f>
        <v/>
      </c>
      <c r="W33" s="34" t="str">
        <f>IFERROR(__xludf.DUMMYFUNCTION("IF(IF(W$1="""","""",REGEXMATCH(LOWER($E33),XLOOKUP(W$1,Metadata!$A$2:$A1000,Metadata!$B$2:$B1000))),W$1,"""")"),"")</f>
        <v/>
      </c>
      <c r="X33" s="34" t="str">
        <f>IFERROR(__xludf.DUMMYFUNCTION("IF(IF(X$1="""","""",REGEXMATCH(LOWER($E33),XLOOKUP(X$1,Metadata!$A$2:$A1000,Metadata!$B$2:$B1000))),X$1,"""")"),"")</f>
        <v/>
      </c>
      <c r="Y33" s="34" t="str">
        <f>IFERROR(__xludf.DUMMYFUNCTION("IF(IF(Y$1="""","""",REGEXMATCH(LOWER($E33),XLOOKUP(Y$1,Metadata!$A$2:$A1000,Metadata!$B$2:$B1000))),Y$1,"""")"),"")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I34">XLOOKUP($A34,Cards!$A$2:$A1000,Cards!$B$2:$I1000,"")</f>
        <v>Divine</v>
      </c>
      <c r="C34" s="34">
        <v>1.0</v>
      </c>
      <c r="D34" s="34" t="s">
        <v>133</v>
      </c>
      <c r="E34" s="34" t="s">
        <v>215</v>
      </c>
      <c r="F34" s="34" t="s">
        <v>216</v>
      </c>
      <c r="G34" s="34">
        <v>4.0</v>
      </c>
      <c r="H34" s="34" t="s">
        <v>158</v>
      </c>
      <c r="I34" s="34" t="s">
        <v>26</v>
      </c>
      <c r="J34" s="34">
        <f>IFERROR(__xludf.DUMMYFUNCTION("LEN(REGEXREPLACE(XLOOKUP($A34,Cards!$A$2:$A1000,Cards!$H$2:$H1000,""""),"",\s"",""""))"),4.0)</f>
        <v>4</v>
      </c>
      <c r="K34" s="34" t="str">
        <f t="shared" si="1"/>
        <v>               </v>
      </c>
      <c r="L34" s="34" t="str">
        <f>IFERROR(__xludf.DUMMYFUNCTION("IF(IF(L$1="""","""",REGEXMATCH(LOWER($E34),XLOOKUP(L$1,Metadata!$A$2:$A1000,Metadata!$B$2:$B1000))),L$1,"""")"),"")</f>
        <v/>
      </c>
      <c r="M34" s="34" t="str">
        <f>IFERROR(__xludf.DUMMYFUNCTION("IF(IF(M$1="""","""",REGEXMATCH(LOWER($E34),XLOOKUP(M$1,Metadata!$A$2:$A1000,Metadata!$B$2:$B1000))),M$1,"""")"),"")</f>
        <v/>
      </c>
      <c r="N34" s="34" t="str">
        <f>IFERROR(__xludf.DUMMYFUNCTION("IF(IF(N$1="""","""",REGEXMATCH(LOWER($E34),XLOOKUP(N$1,Metadata!$A$2:$A1000,Metadata!$B$2:$B1000))),N$1,"""")"),"")</f>
        <v/>
      </c>
      <c r="O34" s="34" t="str">
        <f>IFERROR(__xludf.DUMMYFUNCTION("IF(IF(O$1="""","""",REGEXMATCH(LOWER($E34),XLOOKUP(O$1,Metadata!$A$2:$A1000,Metadata!$B$2:$B1000))),O$1,"""")"),"")</f>
        <v/>
      </c>
      <c r="P34" s="34" t="str">
        <f>IFERROR(__xludf.DUMMYFUNCTION("IF(IF(P$1="""","""",REGEXMATCH(LOWER($E34),XLOOKUP(P$1,Metadata!$A$2:$A1000,Metadata!$B$2:$B1000))),P$1,"""")"),"")</f>
        <v/>
      </c>
      <c r="Q34" s="34" t="str">
        <f>IFERROR(__xludf.DUMMYFUNCTION("IF(IF(Q$1="""","""",REGEXMATCH(LOWER($E34),XLOOKUP(Q$1,Metadata!$A$2:$A1000,Metadata!$B$2:$B1000))),Q$1,"""")"),"")</f>
        <v/>
      </c>
      <c r="R34" s="34" t="str">
        <f>IFERROR(__xludf.DUMMYFUNCTION("IF(IF(R$1="""","""",REGEXMATCH(LOWER($E34),XLOOKUP(R$1,Metadata!$A$2:$A1000,Metadata!$B$2:$B1000))),R$1,"""")"),"")</f>
        <v/>
      </c>
      <c r="S34" s="34" t="str">
        <f>IFERROR(__xludf.DUMMYFUNCTION("IF(IF(S$1="""","""",REGEXMATCH(LOWER($E34),XLOOKUP(S$1,Metadata!$A$2:$A1000,Metadata!$B$2:$B1000))),S$1,"""")"),"")</f>
        <v/>
      </c>
      <c r="T34" s="34" t="str">
        <f>IFERROR(__xludf.DUMMYFUNCTION("IF(IF(T$1="""","""",REGEXMATCH(LOWER($E34),XLOOKUP(T$1,Metadata!$A$2:$A1000,Metadata!$B$2:$B1000))),T$1,"""")"),"")</f>
        <v/>
      </c>
      <c r="U34" s="34" t="str">
        <f>IFERROR(__xludf.DUMMYFUNCTION("IF(IF(U$1="""","""",REGEXMATCH(LOWER($E34),XLOOKUP(U$1,Metadata!$A$2:$A1000,Metadata!$B$2:$B1000))),U$1,"""")"),"")</f>
        <v/>
      </c>
      <c r="V34" s="34" t="str">
        <f>IFERROR(__xludf.DUMMYFUNCTION("IF(IF(V$1="""","""",REGEXMATCH(LOWER($E34),XLOOKUP(V$1,Metadata!$A$2:$A1000,Metadata!$B$2:$B1000))),V$1,"""")"),"")</f>
        <v/>
      </c>
      <c r="W34" s="34" t="str">
        <f>IFERROR(__xludf.DUMMYFUNCTION("IF(IF(W$1="""","""",REGEXMATCH(LOWER($E34),XLOOKUP(W$1,Metadata!$A$2:$A1000,Metadata!$B$2:$B1000))),W$1,"""")"),"")</f>
        <v/>
      </c>
      <c r="X34" s="34" t="str">
        <f>IFERROR(__xludf.DUMMYFUNCTION("IF(IF(X$1="""","""",REGEXMATCH(LOWER($E34),XLOOKUP(X$1,Metadata!$A$2:$A1000,Metadata!$B$2:$B1000))),X$1,"""")"),"")</f>
        <v/>
      </c>
      <c r="Y34" s="34" t="str">
        <f>IFERROR(__xludf.DUMMYFUNCTION("IF(IF(Y$1="""","""",REGEXMATCH(LOWER($E34),XLOOKUP(Y$1,Metadata!$A$2:$A1000,Metadata!$B$2:$B1000))),Y$1,"""")"),"")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I35">XLOOKUP($A35,Cards!$A$2:$A1000,Cards!$B$2:$I1000,"")</f>
        <v>Divine</v>
      </c>
      <c r="C35" s="34">
        <v>1.0</v>
      </c>
      <c r="D35" s="34" t="s">
        <v>220</v>
      </c>
      <c r="E35" s="34"/>
      <c r="F35" s="34" t="s">
        <v>221</v>
      </c>
      <c r="G35" s="34">
        <v>3.0</v>
      </c>
      <c r="H35" s="34" t="s">
        <v>25</v>
      </c>
      <c r="I35" s="34" t="s">
        <v>70</v>
      </c>
      <c r="J35" s="34">
        <f>IFERROR(__xludf.DUMMYFUNCTION("LEN(REGEXREPLACE(XLOOKUP($A35,Cards!$A$2:$A1000,Cards!$H$2:$H1000,""""),"",\s"",""""))"),1.0)</f>
        <v>1</v>
      </c>
      <c r="K35" s="34" t="str">
        <f t="shared" si="1"/>
        <v>               </v>
      </c>
      <c r="L35" s="34" t="str">
        <f>IFERROR(__xludf.DUMMYFUNCTION("IF(IF(L$1="""","""",REGEXMATCH(LOWER($E35),XLOOKUP(L$1,Metadata!$A$2:$A1000,Metadata!$B$2:$B1000))),L$1,"""")"),"")</f>
        <v/>
      </c>
      <c r="M35" s="34" t="str">
        <f>IFERROR(__xludf.DUMMYFUNCTION("IF(IF(M$1="""","""",REGEXMATCH(LOWER($E35),XLOOKUP(M$1,Metadata!$A$2:$A1000,Metadata!$B$2:$B1000))),M$1,"""")"),"")</f>
        <v/>
      </c>
      <c r="N35" s="34" t="str">
        <f>IFERROR(__xludf.DUMMYFUNCTION("IF(IF(N$1="""","""",REGEXMATCH(LOWER($E35),XLOOKUP(N$1,Metadata!$A$2:$A1000,Metadata!$B$2:$B1000))),N$1,"""")"),"")</f>
        <v/>
      </c>
      <c r="O35" s="34" t="str">
        <f>IFERROR(__xludf.DUMMYFUNCTION("IF(IF(O$1="""","""",REGEXMATCH(LOWER($E35),XLOOKUP(O$1,Metadata!$A$2:$A1000,Metadata!$B$2:$B1000))),O$1,"""")"),"")</f>
        <v/>
      </c>
      <c r="P35" s="34" t="str">
        <f>IFERROR(__xludf.DUMMYFUNCTION("IF(IF(P$1="""","""",REGEXMATCH(LOWER($E35),XLOOKUP(P$1,Metadata!$A$2:$A1000,Metadata!$B$2:$B1000))),P$1,"""")"),"")</f>
        <v/>
      </c>
      <c r="Q35" s="34" t="str">
        <f>IFERROR(__xludf.DUMMYFUNCTION("IF(IF(Q$1="""","""",REGEXMATCH(LOWER($E35),XLOOKUP(Q$1,Metadata!$A$2:$A1000,Metadata!$B$2:$B1000))),Q$1,"""")"),"")</f>
        <v/>
      </c>
      <c r="R35" s="34" t="str">
        <f>IFERROR(__xludf.DUMMYFUNCTION("IF(IF(R$1="""","""",REGEXMATCH(LOWER($E35),XLOOKUP(R$1,Metadata!$A$2:$A1000,Metadata!$B$2:$B1000))),R$1,"""")"),"")</f>
        <v/>
      </c>
      <c r="S35" s="34" t="str">
        <f>IFERROR(__xludf.DUMMYFUNCTION("IF(IF(S$1="""","""",REGEXMATCH(LOWER($E35),XLOOKUP(S$1,Metadata!$A$2:$A1000,Metadata!$B$2:$B1000))),S$1,"""")"),"")</f>
        <v/>
      </c>
      <c r="T35" s="34" t="str">
        <f>IFERROR(__xludf.DUMMYFUNCTION("IF(IF(T$1="""","""",REGEXMATCH(LOWER($E35),XLOOKUP(T$1,Metadata!$A$2:$A1000,Metadata!$B$2:$B1000))),T$1,"""")"),"")</f>
        <v/>
      </c>
      <c r="U35" s="34" t="str">
        <f>IFERROR(__xludf.DUMMYFUNCTION("IF(IF(U$1="""","""",REGEXMATCH(LOWER($E35),XLOOKUP(U$1,Metadata!$A$2:$A1000,Metadata!$B$2:$B1000))),U$1,"""")"),"")</f>
        <v/>
      </c>
      <c r="V35" s="34" t="str">
        <f>IFERROR(__xludf.DUMMYFUNCTION("IF(IF(V$1="""","""",REGEXMATCH(LOWER($E35),XLOOKUP(V$1,Metadata!$A$2:$A1000,Metadata!$B$2:$B1000))),V$1,"""")"),"")</f>
        <v/>
      </c>
      <c r="W35" s="34" t="str">
        <f>IFERROR(__xludf.DUMMYFUNCTION("IF(IF(W$1="""","""",REGEXMATCH(LOWER($E35),XLOOKUP(W$1,Metadata!$A$2:$A1000,Metadata!$B$2:$B1000))),W$1,"""")"),"")</f>
        <v/>
      </c>
      <c r="X35" s="34" t="str">
        <f>IFERROR(__xludf.DUMMYFUNCTION("IF(IF(X$1="""","""",REGEXMATCH(LOWER($E35),XLOOKUP(X$1,Metadata!$A$2:$A1000,Metadata!$B$2:$B1000))),X$1,"""")"),"")</f>
        <v/>
      </c>
      <c r="Y35" s="34" t="str">
        <f>IFERROR(__xludf.DUMMYFUNCTION("IF(IF(Y$1="""","""",REGEXMATCH(LOWER($E35),XLOOKUP(Y$1,Metadata!$A$2:$A1000,Metadata!$B$2:$B1000))),Y$1,"""")"),"")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I36">XLOOKUP($A36,Cards!$A$2:$A1000,Cards!$B$2:$I1000,"")</f>
        <v>Divine</v>
      </c>
      <c r="C36" s="34">
        <v>2.0</v>
      </c>
      <c r="D36" s="34" t="s">
        <v>37</v>
      </c>
      <c r="E36" s="34" t="s">
        <v>229</v>
      </c>
      <c r="F36" s="34" t="s">
        <v>24</v>
      </c>
      <c r="G36" s="34">
        <v>0.0</v>
      </c>
      <c r="H36" s="34" t="s">
        <v>99</v>
      </c>
      <c r="I36" s="34" t="s">
        <v>26</v>
      </c>
      <c r="J36" s="34">
        <f>IFERROR(__xludf.DUMMYFUNCTION("LEN(REGEXREPLACE(XLOOKUP($A36,Cards!$A$2:$A1000,Cards!$H$2:$H1000,""""),"",\s"",""""))"),3.0)</f>
        <v>3</v>
      </c>
      <c r="K36" s="34" t="str">
        <f t="shared" si="1"/>
        <v>               </v>
      </c>
      <c r="L36" s="34" t="str">
        <f>IFERROR(__xludf.DUMMYFUNCTION("IF(IF(L$1="""","""",REGEXMATCH(LOWER($E36),XLOOKUP(L$1,Metadata!$A$2:$A1000,Metadata!$B$2:$B1000))),L$1,"""")"),"")</f>
        <v/>
      </c>
      <c r="M36" s="34" t="str">
        <f>IFERROR(__xludf.DUMMYFUNCTION("IF(IF(M$1="""","""",REGEXMATCH(LOWER($E36),XLOOKUP(M$1,Metadata!$A$2:$A1000,Metadata!$B$2:$B1000))),M$1,"""")"),"")</f>
        <v/>
      </c>
      <c r="N36" s="34" t="str">
        <f>IFERROR(__xludf.DUMMYFUNCTION("IF(IF(N$1="""","""",REGEXMATCH(LOWER($E36),XLOOKUP(N$1,Metadata!$A$2:$A1000,Metadata!$B$2:$B1000))),N$1,"""")"),"")</f>
        <v/>
      </c>
      <c r="O36" s="34" t="str">
        <f>IFERROR(__xludf.DUMMYFUNCTION("IF(IF(O$1="""","""",REGEXMATCH(LOWER($E36),XLOOKUP(O$1,Metadata!$A$2:$A1000,Metadata!$B$2:$B1000))),O$1,"""")"),"")</f>
        <v/>
      </c>
      <c r="P36" s="34" t="str">
        <f>IFERROR(__xludf.DUMMYFUNCTION("IF(IF(P$1="""","""",REGEXMATCH(LOWER($E36),XLOOKUP(P$1,Metadata!$A$2:$A1000,Metadata!$B$2:$B1000))),P$1,"""")"),"")</f>
        <v/>
      </c>
      <c r="Q36" s="34" t="str">
        <f>IFERROR(__xludf.DUMMYFUNCTION("IF(IF(Q$1="""","""",REGEXMATCH(LOWER($E36),XLOOKUP(Q$1,Metadata!$A$2:$A1000,Metadata!$B$2:$B1000))),Q$1,"""")"),"")</f>
        <v/>
      </c>
      <c r="R36" s="34" t="str">
        <f>IFERROR(__xludf.DUMMYFUNCTION("IF(IF(R$1="""","""",REGEXMATCH(LOWER($E36),XLOOKUP(R$1,Metadata!$A$2:$A1000,Metadata!$B$2:$B1000))),R$1,"""")"),"")</f>
        <v/>
      </c>
      <c r="S36" s="34" t="str">
        <f>IFERROR(__xludf.DUMMYFUNCTION("IF(IF(S$1="""","""",REGEXMATCH(LOWER($E36),XLOOKUP(S$1,Metadata!$A$2:$A1000,Metadata!$B$2:$B1000))),S$1,"""")"),"")</f>
        <v/>
      </c>
      <c r="T36" s="34" t="str">
        <f>IFERROR(__xludf.DUMMYFUNCTION("IF(IF(T$1="""","""",REGEXMATCH(LOWER($E36),XLOOKUP(T$1,Metadata!$A$2:$A1000,Metadata!$B$2:$B1000))),T$1,"""")"),"")</f>
        <v/>
      </c>
      <c r="U36" s="34" t="str">
        <f>IFERROR(__xludf.DUMMYFUNCTION("IF(IF(U$1="""","""",REGEXMATCH(LOWER($E36),XLOOKUP(U$1,Metadata!$A$2:$A1000,Metadata!$B$2:$B1000))),U$1,"""")"),"")</f>
        <v/>
      </c>
      <c r="V36" s="34" t="str">
        <f>IFERROR(__xludf.DUMMYFUNCTION("IF(IF(V$1="""","""",REGEXMATCH(LOWER($E36),XLOOKUP(V$1,Metadata!$A$2:$A1000,Metadata!$B$2:$B1000))),V$1,"""")"),"")</f>
        <v/>
      </c>
      <c r="W36" s="34" t="str">
        <f>IFERROR(__xludf.DUMMYFUNCTION("IF(IF(W$1="""","""",REGEXMATCH(LOWER($E36),XLOOKUP(W$1,Metadata!$A$2:$A1000,Metadata!$B$2:$B1000))),W$1,"""")"),"")</f>
        <v/>
      </c>
      <c r="X36" s="34" t="str">
        <f>IFERROR(__xludf.DUMMYFUNCTION("IF(IF(X$1="""","""",REGEXMATCH(LOWER($E36),XLOOKUP(X$1,Metadata!$A$2:$A1000,Metadata!$B$2:$B1000))),X$1,"""")"),"")</f>
        <v/>
      </c>
      <c r="Y36" s="34" t="str">
        <f>IFERROR(__xludf.DUMMYFUNCTION("IF(IF(Y$1="""","""",REGEXMATCH(LOWER($E36),XLOOKUP(Y$1,Metadata!$A$2:$A1000,Metadata!$B$2:$B1000))),Y$1,"""")"),"")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I37">XLOOKUP($A37,Cards!$A$2:$A1000,Cards!$B$2:$I1000,"")</f>
        <v>Divine</v>
      </c>
      <c r="C37" s="34">
        <v>2.0</v>
      </c>
      <c r="D37" s="34" t="s">
        <v>50</v>
      </c>
      <c r="E37" s="34" t="s">
        <v>231</v>
      </c>
      <c r="F37" s="34" t="s">
        <v>232</v>
      </c>
      <c r="G37" s="34">
        <v>8.0</v>
      </c>
      <c r="H37" s="34" t="s">
        <v>233</v>
      </c>
      <c r="I37" s="34" t="s">
        <v>32</v>
      </c>
      <c r="J37" s="34">
        <f>IFERROR(__xludf.DUMMYFUNCTION("LEN(REGEXREPLACE(XLOOKUP($A37,Cards!$A$2:$A1000,Cards!$H$2:$H1000,""""),"",\s"",""""))"),7.0)</f>
        <v>7</v>
      </c>
      <c r="K37" s="34" t="str">
        <f t="shared" si="1"/>
        <v>      Ramp         </v>
      </c>
      <c r="L37" s="34" t="str">
        <f>IFERROR(__xludf.DUMMYFUNCTION("IF(IF(L$1="""","""",REGEXMATCH(LOWER($E37),XLOOKUP(L$1,Metadata!$A$2:$A1000,Metadata!$B$2:$B1000))),L$1,"""")"),"")</f>
        <v/>
      </c>
      <c r="M37" s="34" t="str">
        <f>IFERROR(__xludf.DUMMYFUNCTION("IF(IF(M$1="""","""",REGEXMATCH(LOWER($E37),XLOOKUP(M$1,Metadata!$A$2:$A1000,Metadata!$B$2:$B1000))),M$1,"""")"),"")</f>
        <v/>
      </c>
      <c r="N37" s="34" t="str">
        <f>IFERROR(__xludf.DUMMYFUNCTION("IF(IF(N$1="""","""",REGEXMATCH(LOWER($E37),XLOOKUP(N$1,Metadata!$A$2:$A1000,Metadata!$B$2:$B1000))),N$1,"""")"),"")</f>
        <v/>
      </c>
      <c r="O37" s="34" t="str">
        <f>IFERROR(__xludf.DUMMYFUNCTION("IF(IF(O$1="""","""",REGEXMATCH(LOWER($E37),XLOOKUP(O$1,Metadata!$A$2:$A1000,Metadata!$B$2:$B1000))),O$1,"""")"),"")</f>
        <v/>
      </c>
      <c r="P37" s="34" t="str">
        <f>IFERROR(__xludf.DUMMYFUNCTION("IF(IF(P$1="""","""",REGEXMATCH(LOWER($E37),XLOOKUP(P$1,Metadata!$A$2:$A1000,Metadata!$B$2:$B1000))),P$1,"""")"),"")</f>
        <v/>
      </c>
      <c r="Q37" s="34" t="str">
        <f>IFERROR(__xludf.DUMMYFUNCTION("IF(IF(Q$1="""","""",REGEXMATCH(LOWER($E37),XLOOKUP(Q$1,Metadata!$A$2:$A1000,Metadata!$B$2:$B1000))),Q$1,"""")"),"")</f>
        <v/>
      </c>
      <c r="R37" s="34" t="str">
        <f>IFERROR(__xludf.DUMMYFUNCTION("IF(IF(R$1="""","""",REGEXMATCH(LOWER($E37),XLOOKUP(R$1,Metadata!$A$2:$A1000,Metadata!$B$2:$B1000))),R$1,"""")"),"Ramp")</f>
        <v>Ramp</v>
      </c>
      <c r="S37" s="34" t="str">
        <f>IFERROR(__xludf.DUMMYFUNCTION("IF(IF(S$1="""","""",REGEXMATCH(LOWER($E37),XLOOKUP(S$1,Metadata!$A$2:$A1000,Metadata!$B$2:$B1000))),S$1,"""")"),"")</f>
        <v/>
      </c>
      <c r="T37" s="34" t="str">
        <f>IFERROR(__xludf.DUMMYFUNCTION("IF(IF(T$1="""","""",REGEXMATCH(LOWER($E37),XLOOKUP(T$1,Metadata!$A$2:$A1000,Metadata!$B$2:$B1000))),T$1,"""")"),"")</f>
        <v/>
      </c>
      <c r="U37" s="34" t="str">
        <f>IFERROR(__xludf.DUMMYFUNCTION("IF(IF(U$1="""","""",REGEXMATCH(LOWER($E37),XLOOKUP(U$1,Metadata!$A$2:$A1000,Metadata!$B$2:$B1000))),U$1,"""")"),"")</f>
        <v/>
      </c>
      <c r="V37" s="34" t="str">
        <f>IFERROR(__xludf.DUMMYFUNCTION("IF(IF(V$1="""","""",REGEXMATCH(LOWER($E37),XLOOKUP(V$1,Metadata!$A$2:$A1000,Metadata!$B$2:$B1000))),V$1,"""")"),"")</f>
        <v/>
      </c>
      <c r="W37" s="34" t="str">
        <f>IFERROR(__xludf.DUMMYFUNCTION("IF(IF(W$1="""","""",REGEXMATCH(LOWER($E37),XLOOKUP(W$1,Metadata!$A$2:$A1000,Metadata!$B$2:$B1000))),W$1,"""")"),"")</f>
        <v/>
      </c>
      <c r="X37" s="34" t="str">
        <f>IFERROR(__xludf.DUMMYFUNCTION("IF(IF(X$1="""","""",REGEXMATCH(LOWER($E37),XLOOKUP(X$1,Metadata!$A$2:$A1000,Metadata!$B$2:$B1000))),X$1,"""")"),"")</f>
        <v/>
      </c>
      <c r="Y37" s="34" t="str">
        <f>IFERROR(__xludf.DUMMYFUNCTION("IF(IF(Y$1="""","""",REGEXMATCH(LOWER($E37),XLOOKUP(Y$1,Metadata!$A$2:$A1000,Metadata!$B$2:$B1000))),Y$1,"""")"),"")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I38">XLOOKUP($A38,Cards!$A$2:$A1000,Cards!$B$2:$I1000,"")</f>
        <v>Divine</v>
      </c>
      <c r="C38" s="34">
        <v>2.0</v>
      </c>
      <c r="D38" s="34" t="s">
        <v>40</v>
      </c>
      <c r="E38" s="34" t="s">
        <v>235</v>
      </c>
      <c r="F38" s="34" t="s">
        <v>236</v>
      </c>
      <c r="G38" s="34">
        <v>5.0</v>
      </c>
      <c r="H38" s="34" t="s">
        <v>31</v>
      </c>
      <c r="I38" s="34" t="s">
        <v>70</v>
      </c>
      <c r="J38" s="34">
        <f>IFERROR(__xludf.DUMMYFUNCTION("LEN(REGEXREPLACE(XLOOKUP($A38,Cards!$A$2:$A1000,Cards!$H$2:$H1000,""""),"",\s"",""""))"),5.0)</f>
        <v>5</v>
      </c>
      <c r="K38" s="34" t="str">
        <f t="shared" si="1"/>
        <v>           Move    </v>
      </c>
      <c r="L38" s="34" t="str">
        <f>IFERROR(__xludf.DUMMYFUNCTION("IF(IF(L$1="""","""",REGEXMATCH(LOWER($E38),XLOOKUP(L$1,Metadata!$A$2:$A1000,Metadata!$B$2:$B1000))),L$1,"""")"),"")</f>
        <v/>
      </c>
      <c r="M38" s="34" t="str">
        <f>IFERROR(__xludf.DUMMYFUNCTION("IF(IF(M$1="""","""",REGEXMATCH(LOWER($E38),XLOOKUP(M$1,Metadata!$A$2:$A1000,Metadata!$B$2:$B1000))),M$1,"""")"),"")</f>
        <v/>
      </c>
      <c r="N38" s="34" t="str">
        <f>IFERROR(__xludf.DUMMYFUNCTION("IF(IF(N$1="""","""",REGEXMATCH(LOWER($E38),XLOOKUP(N$1,Metadata!$A$2:$A1000,Metadata!$B$2:$B1000))),N$1,"""")"),"")</f>
        <v/>
      </c>
      <c r="O38" s="34" t="str">
        <f>IFERROR(__xludf.DUMMYFUNCTION("IF(IF(O$1="""","""",REGEXMATCH(LOWER($E38),XLOOKUP(O$1,Metadata!$A$2:$A1000,Metadata!$B$2:$B1000))),O$1,"""")"),"")</f>
        <v/>
      </c>
      <c r="P38" s="34" t="str">
        <f>IFERROR(__xludf.DUMMYFUNCTION("IF(IF(P$1="""","""",REGEXMATCH(LOWER($E38),XLOOKUP(P$1,Metadata!$A$2:$A1000,Metadata!$B$2:$B1000))),P$1,"""")"),"")</f>
        <v/>
      </c>
      <c r="Q38" s="34" t="str">
        <f>IFERROR(__xludf.DUMMYFUNCTION("IF(IF(Q$1="""","""",REGEXMATCH(LOWER($E38),XLOOKUP(Q$1,Metadata!$A$2:$A1000,Metadata!$B$2:$B1000))),Q$1,"""")"),"")</f>
        <v/>
      </c>
      <c r="R38" s="34" t="str">
        <f>IFERROR(__xludf.DUMMYFUNCTION("IF(IF(R$1="""","""",REGEXMATCH(LOWER($E38),XLOOKUP(R$1,Metadata!$A$2:$A1000,Metadata!$B$2:$B1000))),R$1,"""")"),"")</f>
        <v/>
      </c>
      <c r="S38" s="34" t="str">
        <f>IFERROR(__xludf.DUMMYFUNCTION("IF(IF(S$1="""","""",REGEXMATCH(LOWER($E38),XLOOKUP(S$1,Metadata!$A$2:$A1000,Metadata!$B$2:$B1000))),S$1,"""")"),"")</f>
        <v/>
      </c>
      <c r="T38" s="34" t="str">
        <f>IFERROR(__xludf.DUMMYFUNCTION("IF(IF(T$1="""","""",REGEXMATCH(LOWER($E38),XLOOKUP(T$1,Metadata!$A$2:$A1000,Metadata!$B$2:$B1000))),T$1,"""")"),"")</f>
        <v/>
      </c>
      <c r="U38" s="34" t="str">
        <f>IFERROR(__xludf.DUMMYFUNCTION("IF(IF(U$1="""","""",REGEXMATCH(LOWER($E38),XLOOKUP(U$1,Metadata!$A$2:$A1000,Metadata!$B$2:$B1000))),U$1,"""")"),"")</f>
        <v/>
      </c>
      <c r="V38" s="34" t="str">
        <f>IFERROR(__xludf.DUMMYFUNCTION("IF(IF(V$1="""","""",REGEXMATCH(LOWER($E38),XLOOKUP(V$1,Metadata!$A$2:$A1000,Metadata!$B$2:$B1000))),V$1,"""")"),"")</f>
        <v/>
      </c>
      <c r="W38" s="34" t="str">
        <f>IFERROR(__xludf.DUMMYFUNCTION("IF(IF(W$1="""","""",REGEXMATCH(LOWER($E38),XLOOKUP(W$1,Metadata!$A$2:$A1000,Metadata!$B$2:$B1000))),W$1,"""")"),"Move")</f>
        <v>Move</v>
      </c>
      <c r="X38" s="34" t="str">
        <f>IFERROR(__xludf.DUMMYFUNCTION("IF(IF(X$1="""","""",REGEXMATCH(LOWER($E38),XLOOKUP(X$1,Metadata!$A$2:$A1000,Metadata!$B$2:$B1000))),X$1,"""")"),"")</f>
        <v/>
      </c>
      <c r="Y38" s="34" t="str">
        <f>IFERROR(__xludf.DUMMYFUNCTION("IF(IF(Y$1="""","""",REGEXMATCH(LOWER($E38),XLOOKUP(Y$1,Metadata!$A$2:$A1000,Metadata!$B$2:$B1000))),Y$1,"""")"),"")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I39">XLOOKUP($A39,Cards!$A$2:$A1000,Cards!$B$2:$I1000,"")</f>
        <v>Divine</v>
      </c>
      <c r="C39" s="34">
        <v>2.0</v>
      </c>
      <c r="D39" s="34" t="s">
        <v>238</v>
      </c>
      <c r="E39" s="34" t="s">
        <v>239</v>
      </c>
      <c r="F39" s="34" t="s">
        <v>240</v>
      </c>
      <c r="G39" s="34">
        <v>2.0</v>
      </c>
      <c r="H39" s="34" t="s">
        <v>106</v>
      </c>
      <c r="I39" s="34" t="s">
        <v>70</v>
      </c>
      <c r="J39" s="34">
        <f>IFERROR(__xludf.DUMMYFUNCTION("LEN(REGEXREPLACE(XLOOKUP($A39,Cards!$A$2:$A1000,Cards!$H$2:$H1000,""""),"",\s"",""""))"),2.0)</f>
        <v>2</v>
      </c>
      <c r="K39" s="34" t="str">
        <f t="shared" si="1"/>
        <v>               </v>
      </c>
      <c r="L39" s="34" t="str">
        <f>IFERROR(__xludf.DUMMYFUNCTION("IF(IF(L$1="""","""",REGEXMATCH(LOWER($E39),XLOOKUP(L$1,Metadata!$A$2:$A1000,Metadata!$B$2:$B1000))),L$1,"""")"),"")</f>
        <v/>
      </c>
      <c r="M39" s="34" t="str">
        <f>IFERROR(__xludf.DUMMYFUNCTION("IF(IF(M$1="""","""",REGEXMATCH(LOWER($E39),XLOOKUP(M$1,Metadata!$A$2:$A1000,Metadata!$B$2:$B1000))),M$1,"""")"),"")</f>
        <v/>
      </c>
      <c r="N39" s="34" t="str">
        <f>IFERROR(__xludf.DUMMYFUNCTION("IF(IF(N$1="""","""",REGEXMATCH(LOWER($E39),XLOOKUP(N$1,Metadata!$A$2:$A1000,Metadata!$B$2:$B1000))),N$1,"""")"),"")</f>
        <v/>
      </c>
      <c r="O39" s="34" t="str">
        <f>IFERROR(__xludf.DUMMYFUNCTION("IF(IF(O$1="""","""",REGEXMATCH(LOWER($E39),XLOOKUP(O$1,Metadata!$A$2:$A1000,Metadata!$B$2:$B1000))),O$1,"""")"),"")</f>
        <v/>
      </c>
      <c r="P39" s="34" t="str">
        <f>IFERROR(__xludf.DUMMYFUNCTION("IF(IF(P$1="""","""",REGEXMATCH(LOWER($E39),XLOOKUP(P$1,Metadata!$A$2:$A1000,Metadata!$B$2:$B1000))),P$1,"""")"),"")</f>
        <v/>
      </c>
      <c r="Q39" s="34" t="str">
        <f>IFERROR(__xludf.DUMMYFUNCTION("IF(IF(Q$1="""","""",REGEXMATCH(LOWER($E39),XLOOKUP(Q$1,Metadata!$A$2:$A1000,Metadata!$B$2:$B1000))),Q$1,"""")"),"")</f>
        <v/>
      </c>
      <c r="R39" s="34" t="str">
        <f>IFERROR(__xludf.DUMMYFUNCTION("IF(IF(R$1="""","""",REGEXMATCH(LOWER($E39),XLOOKUP(R$1,Metadata!$A$2:$A1000,Metadata!$B$2:$B1000))),R$1,"""")"),"")</f>
        <v/>
      </c>
      <c r="S39" s="34" t="str">
        <f>IFERROR(__xludf.DUMMYFUNCTION("IF(IF(S$1="""","""",REGEXMATCH(LOWER($E39),XLOOKUP(S$1,Metadata!$A$2:$A1000,Metadata!$B$2:$B1000))),S$1,"""")"),"")</f>
        <v/>
      </c>
      <c r="T39" s="34" t="str">
        <f>IFERROR(__xludf.DUMMYFUNCTION("IF(IF(T$1="""","""",REGEXMATCH(LOWER($E39),XLOOKUP(T$1,Metadata!$A$2:$A1000,Metadata!$B$2:$B1000))),T$1,"""")"),"")</f>
        <v/>
      </c>
      <c r="U39" s="34" t="str">
        <f>IFERROR(__xludf.DUMMYFUNCTION("IF(IF(U$1="""","""",REGEXMATCH(LOWER($E39),XLOOKUP(U$1,Metadata!$A$2:$A1000,Metadata!$B$2:$B1000))),U$1,"""")"),"")</f>
        <v/>
      </c>
      <c r="V39" s="34" t="str">
        <f>IFERROR(__xludf.DUMMYFUNCTION("IF(IF(V$1="""","""",REGEXMATCH(LOWER($E39),XLOOKUP(V$1,Metadata!$A$2:$A1000,Metadata!$B$2:$B1000))),V$1,"""")"),"")</f>
        <v/>
      </c>
      <c r="W39" s="34" t="str">
        <f>IFERROR(__xludf.DUMMYFUNCTION("IF(IF(W$1="""","""",REGEXMATCH(LOWER($E39),XLOOKUP(W$1,Metadata!$A$2:$A1000,Metadata!$B$2:$B1000))),W$1,"""")"),"")</f>
        <v/>
      </c>
      <c r="X39" s="34" t="str">
        <f>IFERROR(__xludf.DUMMYFUNCTION("IF(IF(X$1="""","""",REGEXMATCH(LOWER($E39),XLOOKUP(X$1,Metadata!$A$2:$A1000,Metadata!$B$2:$B1000))),X$1,"""")"),"")</f>
        <v/>
      </c>
      <c r="Y39" s="34" t="str">
        <f>IFERROR(__xludf.DUMMYFUNCTION("IF(IF(Y$1="""","""",REGEXMATCH(LOWER($E39),XLOOKUP(Y$1,Metadata!$A$2:$A1000,Metadata!$B$2:$B1000))),Y$1,"""")"),"")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I40">XLOOKUP($A40,Cards!$A$2:$A1000,Cards!$B$2:$I1000,"")</f>
        <v>Divine</v>
      </c>
      <c r="C40" s="34">
        <v>1.0</v>
      </c>
      <c r="D40" s="34" t="s">
        <v>242</v>
      </c>
      <c r="E40" s="34" t="s">
        <v>243</v>
      </c>
      <c r="F40" s="34" t="s">
        <v>244</v>
      </c>
      <c r="G40" s="34">
        <v>3.0</v>
      </c>
      <c r="H40" s="34" t="s">
        <v>245</v>
      </c>
      <c r="I40" s="34" t="s">
        <v>70</v>
      </c>
      <c r="J40" s="34">
        <f>IFERROR(__xludf.DUMMYFUNCTION("LEN(REGEXREPLACE(XLOOKUP($A40,Cards!$A$2:$A1000,Cards!$H$2:$H1000,""""),"",\s"",""""))"),4.0)</f>
        <v>4</v>
      </c>
      <c r="K40" s="34" t="str">
        <f t="shared" si="1"/>
        <v>               </v>
      </c>
      <c r="L40" s="34" t="str">
        <f>IFERROR(__xludf.DUMMYFUNCTION("IF(IF(L$1="""","""",REGEXMATCH(LOWER($E40),XLOOKUP(L$1,Metadata!$A$2:$A1000,Metadata!$B$2:$B1000))),L$1,"""")"),"")</f>
        <v/>
      </c>
      <c r="M40" s="34" t="str">
        <f>IFERROR(__xludf.DUMMYFUNCTION("IF(IF(M$1="""","""",REGEXMATCH(LOWER($E40),XLOOKUP(M$1,Metadata!$A$2:$A1000,Metadata!$B$2:$B1000))),M$1,"""")"),"")</f>
        <v/>
      </c>
      <c r="N40" s="34" t="str">
        <f>IFERROR(__xludf.DUMMYFUNCTION("IF(IF(N$1="""","""",REGEXMATCH(LOWER($E40),XLOOKUP(N$1,Metadata!$A$2:$A1000,Metadata!$B$2:$B1000))),N$1,"""")"),"")</f>
        <v/>
      </c>
      <c r="O40" s="34" t="str">
        <f>IFERROR(__xludf.DUMMYFUNCTION("IF(IF(O$1="""","""",REGEXMATCH(LOWER($E40),XLOOKUP(O$1,Metadata!$A$2:$A1000,Metadata!$B$2:$B1000))),O$1,"""")"),"")</f>
        <v/>
      </c>
      <c r="P40" s="34" t="str">
        <f>IFERROR(__xludf.DUMMYFUNCTION("IF(IF(P$1="""","""",REGEXMATCH(LOWER($E40),XLOOKUP(P$1,Metadata!$A$2:$A1000,Metadata!$B$2:$B1000))),P$1,"""")"),"")</f>
        <v/>
      </c>
      <c r="Q40" s="34" t="str">
        <f>IFERROR(__xludf.DUMMYFUNCTION("IF(IF(Q$1="""","""",REGEXMATCH(LOWER($E40),XLOOKUP(Q$1,Metadata!$A$2:$A1000,Metadata!$B$2:$B1000))),Q$1,"""")"),"")</f>
        <v/>
      </c>
      <c r="R40" s="34" t="str">
        <f>IFERROR(__xludf.DUMMYFUNCTION("IF(IF(R$1="""","""",REGEXMATCH(LOWER($E40),XLOOKUP(R$1,Metadata!$A$2:$A1000,Metadata!$B$2:$B1000))),R$1,"""")"),"")</f>
        <v/>
      </c>
      <c r="S40" s="34" t="str">
        <f>IFERROR(__xludf.DUMMYFUNCTION("IF(IF(S$1="""","""",REGEXMATCH(LOWER($E40),XLOOKUP(S$1,Metadata!$A$2:$A1000,Metadata!$B$2:$B1000))),S$1,"""")"),"")</f>
        <v/>
      </c>
      <c r="T40" s="34" t="str">
        <f>IFERROR(__xludf.DUMMYFUNCTION("IF(IF(T$1="""","""",REGEXMATCH(LOWER($E40),XLOOKUP(T$1,Metadata!$A$2:$A1000,Metadata!$B$2:$B1000))),T$1,"""")"),"")</f>
        <v/>
      </c>
      <c r="U40" s="34" t="str">
        <f>IFERROR(__xludf.DUMMYFUNCTION("IF(IF(U$1="""","""",REGEXMATCH(LOWER($E40),XLOOKUP(U$1,Metadata!$A$2:$A1000,Metadata!$B$2:$B1000))),U$1,"""")"),"")</f>
        <v/>
      </c>
      <c r="V40" s="34" t="str">
        <f>IFERROR(__xludf.DUMMYFUNCTION("IF(IF(V$1="""","""",REGEXMATCH(LOWER($E40),XLOOKUP(V$1,Metadata!$A$2:$A1000,Metadata!$B$2:$B1000))),V$1,"""")"),"")</f>
        <v/>
      </c>
      <c r="W40" s="34" t="str">
        <f>IFERROR(__xludf.DUMMYFUNCTION("IF(IF(W$1="""","""",REGEXMATCH(LOWER($E40),XLOOKUP(W$1,Metadata!$A$2:$A1000,Metadata!$B$2:$B1000))),W$1,"""")"),"")</f>
        <v/>
      </c>
      <c r="X40" s="34" t="str">
        <f>IFERROR(__xludf.DUMMYFUNCTION("IF(IF(X$1="""","""",REGEXMATCH(LOWER($E40),XLOOKUP(X$1,Metadata!$A$2:$A1000,Metadata!$B$2:$B1000))),X$1,"""")"),"")</f>
        <v/>
      </c>
      <c r="Y40" s="34" t="str">
        <f>IFERROR(__xludf.DUMMYFUNCTION("IF(IF(Y$1="""","""",REGEXMATCH(LOWER($E40),XLOOKUP(Y$1,Metadata!$A$2:$A1000,Metadata!$B$2:$B1000))),Y$1,"""")"),"")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I41">XLOOKUP($A41,Cards!$A$2:$A1000,Cards!$B$2:$I1000,"")</f>
        <v>Divine</v>
      </c>
      <c r="C41" s="34">
        <v>1.0</v>
      </c>
      <c r="D41" s="34" t="s">
        <v>250</v>
      </c>
      <c r="E41" s="34" t="s">
        <v>251</v>
      </c>
      <c r="F41" s="34" t="s">
        <v>252</v>
      </c>
      <c r="G41" s="34">
        <v>6.0</v>
      </c>
      <c r="H41" s="34" t="s">
        <v>62</v>
      </c>
      <c r="I41" s="34" t="s">
        <v>26</v>
      </c>
      <c r="J41" s="34">
        <f>IFERROR(__xludf.DUMMYFUNCTION("LEN(REGEXREPLACE(XLOOKUP($A41,Cards!$A$2:$A1000,Cards!$H$2:$H1000,""""),"",\s"",""""))"),6.0)</f>
        <v>6</v>
      </c>
      <c r="K41" s="34" t="str">
        <f t="shared" si="1"/>
        <v>Divine               </v>
      </c>
      <c r="L41" s="34" t="str">
        <f>IFERROR(__xludf.DUMMYFUNCTION("IF(IF(L$1="""","""",REGEXMATCH(LOWER($E41),XLOOKUP(L$1,Metadata!$A$2:$A1000,Metadata!$B$2:$B1000))),L$1,"""")"),"Divine")</f>
        <v>Divine</v>
      </c>
      <c r="M41" s="34" t="str">
        <f>IFERROR(__xludf.DUMMYFUNCTION("IF(IF(M$1="""","""",REGEXMATCH(LOWER($E41),XLOOKUP(M$1,Metadata!$A$2:$A1000,Metadata!$B$2:$B1000))),M$1,"""")"),"")</f>
        <v/>
      </c>
      <c r="N41" s="34" t="str">
        <f>IFERROR(__xludf.DUMMYFUNCTION("IF(IF(N$1="""","""",REGEXMATCH(LOWER($E41),XLOOKUP(N$1,Metadata!$A$2:$A1000,Metadata!$B$2:$B1000))),N$1,"""")"),"")</f>
        <v/>
      </c>
      <c r="O41" s="34" t="str">
        <f>IFERROR(__xludf.DUMMYFUNCTION("IF(IF(O$1="""","""",REGEXMATCH(LOWER($E41),XLOOKUP(O$1,Metadata!$A$2:$A1000,Metadata!$B$2:$B1000))),O$1,"""")"),"")</f>
        <v/>
      </c>
      <c r="P41" s="34" t="str">
        <f>IFERROR(__xludf.DUMMYFUNCTION("IF(IF(P$1="""","""",REGEXMATCH(LOWER($E41),XLOOKUP(P$1,Metadata!$A$2:$A1000,Metadata!$B$2:$B1000))),P$1,"""")"),"")</f>
        <v/>
      </c>
      <c r="Q41" s="34" t="str">
        <f>IFERROR(__xludf.DUMMYFUNCTION("IF(IF(Q$1="""","""",REGEXMATCH(LOWER($E41),XLOOKUP(Q$1,Metadata!$A$2:$A1000,Metadata!$B$2:$B1000))),Q$1,"""")"),"")</f>
        <v/>
      </c>
      <c r="R41" s="34" t="str">
        <f>IFERROR(__xludf.DUMMYFUNCTION("IF(IF(R$1="""","""",REGEXMATCH(LOWER($E41),XLOOKUP(R$1,Metadata!$A$2:$A1000,Metadata!$B$2:$B1000))),R$1,"""")"),"")</f>
        <v/>
      </c>
      <c r="S41" s="34" t="str">
        <f>IFERROR(__xludf.DUMMYFUNCTION("IF(IF(S$1="""","""",REGEXMATCH(LOWER($E41),XLOOKUP(S$1,Metadata!$A$2:$A1000,Metadata!$B$2:$B1000))),S$1,"""")"),"")</f>
        <v/>
      </c>
      <c r="T41" s="34" t="str">
        <f>IFERROR(__xludf.DUMMYFUNCTION("IF(IF(T$1="""","""",REGEXMATCH(LOWER($E41),XLOOKUP(T$1,Metadata!$A$2:$A1000,Metadata!$B$2:$B1000))),T$1,"""")"),"")</f>
        <v/>
      </c>
      <c r="U41" s="34" t="str">
        <f>IFERROR(__xludf.DUMMYFUNCTION("IF(IF(U$1="""","""",REGEXMATCH(LOWER($E41),XLOOKUP(U$1,Metadata!$A$2:$A1000,Metadata!$B$2:$B1000))),U$1,"""")"),"")</f>
        <v/>
      </c>
      <c r="V41" s="34" t="str">
        <f>IFERROR(__xludf.DUMMYFUNCTION("IF(IF(V$1="""","""",REGEXMATCH(LOWER($E41),XLOOKUP(V$1,Metadata!$A$2:$A1000,Metadata!$B$2:$B1000))),V$1,"""")"),"")</f>
        <v/>
      </c>
      <c r="W41" s="34" t="str">
        <f>IFERROR(__xludf.DUMMYFUNCTION("IF(IF(W$1="""","""",REGEXMATCH(LOWER($E41),XLOOKUP(W$1,Metadata!$A$2:$A1000,Metadata!$B$2:$B1000))),W$1,"""")"),"")</f>
        <v/>
      </c>
      <c r="X41" s="34" t="str">
        <f>IFERROR(__xludf.DUMMYFUNCTION("IF(IF(X$1="""","""",REGEXMATCH(LOWER($E41),XLOOKUP(X$1,Metadata!$A$2:$A1000,Metadata!$B$2:$B1000))),X$1,"""")"),"")</f>
        <v/>
      </c>
      <c r="Y41" s="34" t="str">
        <f>IFERROR(__xludf.DUMMYFUNCTION("IF(IF(Y$1="""","""",REGEXMATCH(LOWER($E41),XLOOKUP(Y$1,Metadata!$A$2:$A1000,Metadata!$B$2:$B1000))),Y$1,"""")"),"")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I42">XLOOKUP($A42,Cards!$A$2:$A1000,Cards!$B$2:$I1000,"")</f>
        <v>Divine</v>
      </c>
      <c r="C42" s="34">
        <v>2.0</v>
      </c>
      <c r="D42" s="34" t="s">
        <v>80</v>
      </c>
      <c r="E42" s="34" t="s">
        <v>256</v>
      </c>
      <c r="F42" s="34" t="s">
        <v>24</v>
      </c>
      <c r="G42" s="34">
        <v>3.0</v>
      </c>
      <c r="H42" s="34" t="s">
        <v>158</v>
      </c>
      <c r="I42" s="34" t="s">
        <v>70</v>
      </c>
      <c r="J42" s="34">
        <f>IFERROR(__xludf.DUMMYFUNCTION("LEN(REGEXREPLACE(XLOOKUP($A42,Cards!$A$2:$A1000,Cards!$H$2:$H1000,""""),"",\s"",""""))"),4.0)</f>
        <v>4</v>
      </c>
      <c r="K42" s="34" t="str">
        <f t="shared" si="1"/>
        <v>               </v>
      </c>
      <c r="L42" s="34" t="str">
        <f>IFERROR(__xludf.DUMMYFUNCTION("IF(IF(L$1="""","""",REGEXMATCH(LOWER($E42),XLOOKUP(L$1,Metadata!$A$2:$A1000,Metadata!$B$2:$B1000))),L$1,"""")"),"")</f>
        <v/>
      </c>
      <c r="M42" s="34" t="str">
        <f>IFERROR(__xludf.DUMMYFUNCTION("IF(IF(M$1="""","""",REGEXMATCH(LOWER($E42),XLOOKUP(M$1,Metadata!$A$2:$A1000,Metadata!$B$2:$B1000))),M$1,"""")"),"")</f>
        <v/>
      </c>
      <c r="N42" s="34" t="str">
        <f>IFERROR(__xludf.DUMMYFUNCTION("IF(IF(N$1="""","""",REGEXMATCH(LOWER($E42),XLOOKUP(N$1,Metadata!$A$2:$A1000,Metadata!$B$2:$B1000))),N$1,"""")"),"")</f>
        <v/>
      </c>
      <c r="O42" s="34" t="str">
        <f>IFERROR(__xludf.DUMMYFUNCTION("IF(IF(O$1="""","""",REGEXMATCH(LOWER($E42),XLOOKUP(O$1,Metadata!$A$2:$A1000,Metadata!$B$2:$B1000))),O$1,"""")"),"")</f>
        <v/>
      </c>
      <c r="P42" s="34" t="str">
        <f>IFERROR(__xludf.DUMMYFUNCTION("IF(IF(P$1="""","""",REGEXMATCH(LOWER($E42),XLOOKUP(P$1,Metadata!$A$2:$A1000,Metadata!$B$2:$B1000))),P$1,"""")"),"")</f>
        <v/>
      </c>
      <c r="Q42" s="34" t="str">
        <f>IFERROR(__xludf.DUMMYFUNCTION("IF(IF(Q$1="""","""",REGEXMATCH(LOWER($E42),XLOOKUP(Q$1,Metadata!$A$2:$A1000,Metadata!$B$2:$B1000))),Q$1,"""")"),"")</f>
        <v/>
      </c>
      <c r="R42" s="34" t="str">
        <f>IFERROR(__xludf.DUMMYFUNCTION("IF(IF(R$1="""","""",REGEXMATCH(LOWER($E42),XLOOKUP(R$1,Metadata!$A$2:$A1000,Metadata!$B$2:$B1000))),R$1,"""")"),"")</f>
        <v/>
      </c>
      <c r="S42" s="34" t="str">
        <f>IFERROR(__xludf.DUMMYFUNCTION("IF(IF(S$1="""","""",REGEXMATCH(LOWER($E42),XLOOKUP(S$1,Metadata!$A$2:$A1000,Metadata!$B$2:$B1000))),S$1,"""")"),"")</f>
        <v/>
      </c>
      <c r="T42" s="34" t="str">
        <f>IFERROR(__xludf.DUMMYFUNCTION("IF(IF(T$1="""","""",REGEXMATCH(LOWER($E42),XLOOKUP(T$1,Metadata!$A$2:$A1000,Metadata!$B$2:$B1000))),T$1,"""")"),"")</f>
        <v/>
      </c>
      <c r="U42" s="34" t="str">
        <f>IFERROR(__xludf.DUMMYFUNCTION("IF(IF(U$1="""","""",REGEXMATCH(LOWER($E42),XLOOKUP(U$1,Metadata!$A$2:$A1000,Metadata!$B$2:$B1000))),U$1,"""")"),"")</f>
        <v/>
      </c>
      <c r="V42" s="34" t="str">
        <f>IFERROR(__xludf.DUMMYFUNCTION("IF(IF(V$1="""","""",REGEXMATCH(LOWER($E42),XLOOKUP(V$1,Metadata!$A$2:$A1000,Metadata!$B$2:$B1000))),V$1,"""")"),"")</f>
        <v/>
      </c>
      <c r="W42" s="34" t="str">
        <f>IFERROR(__xludf.DUMMYFUNCTION("IF(IF(W$1="""","""",REGEXMATCH(LOWER($E42),XLOOKUP(W$1,Metadata!$A$2:$A1000,Metadata!$B$2:$B1000))),W$1,"""")"),"")</f>
        <v/>
      </c>
      <c r="X42" s="34" t="str">
        <f>IFERROR(__xludf.DUMMYFUNCTION("IF(IF(X$1="""","""",REGEXMATCH(LOWER($E42),XLOOKUP(X$1,Metadata!$A$2:$A1000,Metadata!$B$2:$B1000))),X$1,"""")"),"")</f>
        <v/>
      </c>
      <c r="Y42" s="34" t="str">
        <f>IFERROR(__xludf.DUMMYFUNCTION("IF(IF(Y$1="""","""",REGEXMATCH(LOWER($E42),XLOOKUP(Y$1,Metadata!$A$2:$A1000,Metadata!$B$2:$B1000))),Y$1,"""")"),"")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I43">XLOOKUP($A43,Cards!$A$2:$A1000,Cards!$B$2:$I1000,"")</f>
        <v>Divine</v>
      </c>
      <c r="C43" s="34">
        <v>1.0</v>
      </c>
      <c r="D43" s="34" t="s">
        <v>258</v>
      </c>
      <c r="E43" s="34"/>
      <c r="F43" s="34" t="s">
        <v>259</v>
      </c>
      <c r="G43" s="34">
        <v>4.0</v>
      </c>
      <c r="H43" s="34" t="s">
        <v>245</v>
      </c>
      <c r="I43" s="34" t="s">
        <v>26</v>
      </c>
      <c r="J43" s="34">
        <f>IFERROR(__xludf.DUMMYFUNCTION("LEN(REGEXREPLACE(XLOOKUP($A43,Cards!$A$2:$A1000,Cards!$H$2:$H1000,""""),"",\s"",""""))"),4.0)</f>
        <v>4</v>
      </c>
      <c r="K43" s="34" t="str">
        <f t="shared" si="1"/>
        <v>               </v>
      </c>
      <c r="L43" s="34" t="str">
        <f>IFERROR(__xludf.DUMMYFUNCTION("IF(IF(L$1="""","""",REGEXMATCH(LOWER($E43),XLOOKUP(L$1,Metadata!$A$2:$A1000,Metadata!$B$2:$B1000))),L$1,"""")"),"")</f>
        <v/>
      </c>
      <c r="M43" s="34" t="str">
        <f>IFERROR(__xludf.DUMMYFUNCTION("IF(IF(M$1="""","""",REGEXMATCH(LOWER($E43),XLOOKUP(M$1,Metadata!$A$2:$A1000,Metadata!$B$2:$B1000))),M$1,"""")"),"")</f>
        <v/>
      </c>
      <c r="N43" s="34" t="str">
        <f>IFERROR(__xludf.DUMMYFUNCTION("IF(IF(N$1="""","""",REGEXMATCH(LOWER($E43),XLOOKUP(N$1,Metadata!$A$2:$A1000,Metadata!$B$2:$B1000))),N$1,"""")"),"")</f>
        <v/>
      </c>
      <c r="O43" s="34" t="str">
        <f>IFERROR(__xludf.DUMMYFUNCTION("IF(IF(O$1="""","""",REGEXMATCH(LOWER($E43),XLOOKUP(O$1,Metadata!$A$2:$A1000,Metadata!$B$2:$B1000))),O$1,"""")"),"")</f>
        <v/>
      </c>
      <c r="P43" s="34" t="str">
        <f>IFERROR(__xludf.DUMMYFUNCTION("IF(IF(P$1="""","""",REGEXMATCH(LOWER($E43),XLOOKUP(P$1,Metadata!$A$2:$A1000,Metadata!$B$2:$B1000))),P$1,"""")"),"")</f>
        <v/>
      </c>
      <c r="Q43" s="34" t="str">
        <f>IFERROR(__xludf.DUMMYFUNCTION("IF(IF(Q$1="""","""",REGEXMATCH(LOWER($E43),XLOOKUP(Q$1,Metadata!$A$2:$A1000,Metadata!$B$2:$B1000))),Q$1,"""")"),"")</f>
        <v/>
      </c>
      <c r="R43" s="34" t="str">
        <f>IFERROR(__xludf.DUMMYFUNCTION("IF(IF(R$1="""","""",REGEXMATCH(LOWER($E43),XLOOKUP(R$1,Metadata!$A$2:$A1000,Metadata!$B$2:$B1000))),R$1,"""")"),"")</f>
        <v/>
      </c>
      <c r="S43" s="34" t="str">
        <f>IFERROR(__xludf.DUMMYFUNCTION("IF(IF(S$1="""","""",REGEXMATCH(LOWER($E43),XLOOKUP(S$1,Metadata!$A$2:$A1000,Metadata!$B$2:$B1000))),S$1,"""")"),"")</f>
        <v/>
      </c>
      <c r="T43" s="34" t="str">
        <f>IFERROR(__xludf.DUMMYFUNCTION("IF(IF(T$1="""","""",REGEXMATCH(LOWER($E43),XLOOKUP(T$1,Metadata!$A$2:$A1000,Metadata!$B$2:$B1000))),T$1,"""")"),"")</f>
        <v/>
      </c>
      <c r="U43" s="34" t="str">
        <f>IFERROR(__xludf.DUMMYFUNCTION("IF(IF(U$1="""","""",REGEXMATCH(LOWER($E43),XLOOKUP(U$1,Metadata!$A$2:$A1000,Metadata!$B$2:$B1000))),U$1,"""")"),"")</f>
        <v/>
      </c>
      <c r="V43" s="34" t="str">
        <f>IFERROR(__xludf.DUMMYFUNCTION("IF(IF(V$1="""","""",REGEXMATCH(LOWER($E43),XLOOKUP(V$1,Metadata!$A$2:$A1000,Metadata!$B$2:$B1000))),V$1,"""")"),"")</f>
        <v/>
      </c>
      <c r="W43" s="34" t="str">
        <f>IFERROR(__xludf.DUMMYFUNCTION("IF(IF(W$1="""","""",REGEXMATCH(LOWER($E43),XLOOKUP(W$1,Metadata!$A$2:$A1000,Metadata!$B$2:$B1000))),W$1,"""")"),"")</f>
        <v/>
      </c>
      <c r="X43" s="34" t="str">
        <f>IFERROR(__xludf.DUMMYFUNCTION("IF(IF(X$1="""","""",REGEXMATCH(LOWER($E43),XLOOKUP(X$1,Metadata!$A$2:$A1000,Metadata!$B$2:$B1000))),X$1,"""")"),"")</f>
        <v/>
      </c>
      <c r="Y43" s="34" t="str">
        <f>IFERROR(__xludf.DUMMYFUNCTION("IF(IF(Y$1="""","""",REGEXMATCH(LOWER($E43),XLOOKUP(Y$1,Metadata!$A$2:$A1000,Metadata!$B$2:$B1000))),Y$1,"""")"),"")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I44">XLOOKUP($A44,Cards!$A$2:$A1000,Cards!$B$2:$I1000,"")</f>
        <v>Divine</v>
      </c>
      <c r="C44" s="34">
        <v>2.0</v>
      </c>
      <c r="D44" s="34" t="s">
        <v>220</v>
      </c>
      <c r="E44" s="34" t="s">
        <v>263</v>
      </c>
      <c r="F44" s="34" t="s">
        <v>264</v>
      </c>
      <c r="G44" s="34">
        <v>5.0</v>
      </c>
      <c r="H44" s="34" t="s">
        <v>31</v>
      </c>
      <c r="I44" s="34" t="s">
        <v>70</v>
      </c>
      <c r="J44" s="34">
        <f>IFERROR(__xludf.DUMMYFUNCTION("LEN(REGEXREPLACE(XLOOKUP($A44,Cards!$A$2:$A1000,Cards!$H$2:$H1000,""""),"",\s"",""""))"),5.0)</f>
        <v>5</v>
      </c>
      <c r="K44" s="34" t="str">
        <f t="shared" si="1"/>
        <v>      Ramp Control     Ambush   </v>
      </c>
      <c r="L44" s="34" t="str">
        <f>IFERROR(__xludf.DUMMYFUNCTION("IF(IF(L$1="""","""",REGEXMATCH(LOWER($E44),XLOOKUP(L$1,Metadata!$A$2:$A1000,Metadata!$B$2:$B1000))),L$1,"""")"),"")</f>
        <v/>
      </c>
      <c r="M44" s="34" t="str">
        <f>IFERROR(__xludf.DUMMYFUNCTION("IF(IF(M$1="""","""",REGEXMATCH(LOWER($E44),XLOOKUP(M$1,Metadata!$A$2:$A1000,Metadata!$B$2:$B1000))),M$1,"""")"),"")</f>
        <v/>
      </c>
      <c r="N44" s="34" t="str">
        <f>IFERROR(__xludf.DUMMYFUNCTION("IF(IF(N$1="""","""",REGEXMATCH(LOWER($E44),XLOOKUP(N$1,Metadata!$A$2:$A1000,Metadata!$B$2:$B1000))),N$1,"""")"),"")</f>
        <v/>
      </c>
      <c r="O44" s="34" t="str">
        <f>IFERROR(__xludf.DUMMYFUNCTION("IF(IF(O$1="""","""",REGEXMATCH(LOWER($E44),XLOOKUP(O$1,Metadata!$A$2:$A1000,Metadata!$B$2:$B1000))),O$1,"""")"),"")</f>
        <v/>
      </c>
      <c r="P44" s="34" t="str">
        <f>IFERROR(__xludf.DUMMYFUNCTION("IF(IF(P$1="""","""",REGEXMATCH(LOWER($E44),XLOOKUP(P$1,Metadata!$A$2:$A1000,Metadata!$B$2:$B1000))),P$1,"""")"),"")</f>
        <v/>
      </c>
      <c r="Q44" s="34" t="str">
        <f>IFERROR(__xludf.DUMMYFUNCTION("IF(IF(Q$1="""","""",REGEXMATCH(LOWER($E44),XLOOKUP(Q$1,Metadata!$A$2:$A1000,Metadata!$B$2:$B1000))),Q$1,"""")"),"")</f>
        <v/>
      </c>
      <c r="R44" s="34" t="str">
        <f>IFERROR(__xludf.DUMMYFUNCTION("IF(IF(R$1="""","""",REGEXMATCH(LOWER($E44),XLOOKUP(R$1,Metadata!$A$2:$A1000,Metadata!$B$2:$B1000))),R$1,"""")"),"Ramp")</f>
        <v>Ramp</v>
      </c>
      <c r="S44" s="34" t="str">
        <f>IFERROR(__xludf.DUMMYFUNCTION("IF(IF(S$1="""","""",REGEXMATCH(LOWER($E44),XLOOKUP(S$1,Metadata!$A$2:$A1000,Metadata!$B$2:$B1000))),S$1,"""")"),"Control")</f>
        <v>Control</v>
      </c>
      <c r="T44" s="34" t="str">
        <f>IFERROR(__xludf.DUMMYFUNCTION("IF(IF(T$1="""","""",REGEXMATCH(LOWER($E44),XLOOKUP(T$1,Metadata!$A$2:$A1000,Metadata!$B$2:$B1000))),T$1,"""")"),"")</f>
        <v/>
      </c>
      <c r="U44" s="34" t="str">
        <f>IFERROR(__xludf.DUMMYFUNCTION("IF(IF(U$1="""","""",REGEXMATCH(LOWER($E44),XLOOKUP(U$1,Metadata!$A$2:$A1000,Metadata!$B$2:$B1000))),U$1,"""")"),"")</f>
        <v/>
      </c>
      <c r="V44" s="34" t="str">
        <f>IFERROR(__xludf.DUMMYFUNCTION("IF(IF(V$1="""","""",REGEXMATCH(LOWER($E44),XLOOKUP(V$1,Metadata!$A$2:$A1000,Metadata!$B$2:$B1000))),V$1,"""")"),"")</f>
        <v/>
      </c>
      <c r="W44" s="34" t="str">
        <f>IFERROR(__xludf.DUMMYFUNCTION("IF(IF(W$1="""","""",REGEXMATCH(LOWER($E44),XLOOKUP(W$1,Metadata!$A$2:$A1000,Metadata!$B$2:$B1000))),W$1,"""")"),"")</f>
        <v/>
      </c>
      <c r="X44" s="34" t="str">
        <f>IFERROR(__xludf.DUMMYFUNCTION("IF(IF(X$1="""","""",REGEXMATCH(LOWER($E44),XLOOKUP(X$1,Metadata!$A$2:$A1000,Metadata!$B$2:$B1000))),X$1,"""")"),"Ambush")</f>
        <v>Ambush</v>
      </c>
      <c r="Y44" s="34" t="str">
        <f>IFERROR(__xludf.DUMMYFUNCTION("IF(IF(Y$1="""","""",REGEXMATCH(LOWER($E44),XLOOKUP(Y$1,Metadata!$A$2:$A1000,Metadata!$B$2:$B1000))),Y$1,"""")"),"")</f>
        <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I45">XLOOKUP($A45,Cards!$A$2:$A1000,Cards!$B$2:$I1000,"")</f>
        <v>Divine</v>
      </c>
      <c r="C45" s="34">
        <v>1.0</v>
      </c>
      <c r="D45" s="34" t="s">
        <v>266</v>
      </c>
      <c r="E45" s="34"/>
      <c r="F45" s="34" t="s">
        <v>267</v>
      </c>
      <c r="G45" s="34">
        <v>5.0</v>
      </c>
      <c r="H45" s="34" t="s">
        <v>268</v>
      </c>
      <c r="I45" s="34" t="s">
        <v>26</v>
      </c>
      <c r="J45" s="34">
        <f>IFERROR(__xludf.DUMMYFUNCTION("LEN(REGEXREPLACE(XLOOKUP($A45,Cards!$A$2:$A1000,Cards!$H$2:$H1000,""""),"",\s"",""""))"),5.0)</f>
        <v>5</v>
      </c>
      <c r="K45" s="34" t="str">
        <f t="shared" si="1"/>
        <v>               </v>
      </c>
      <c r="L45" s="34" t="str">
        <f>IFERROR(__xludf.DUMMYFUNCTION("IF(IF(L$1="""","""",REGEXMATCH(LOWER($E45),XLOOKUP(L$1,Metadata!$A$2:$A1000,Metadata!$B$2:$B1000))),L$1,"""")"),"")</f>
        <v/>
      </c>
      <c r="M45" s="34" t="str">
        <f>IFERROR(__xludf.DUMMYFUNCTION("IF(IF(M$1="""","""",REGEXMATCH(LOWER($E45),XLOOKUP(M$1,Metadata!$A$2:$A1000,Metadata!$B$2:$B1000))),M$1,"""")"),"")</f>
        <v/>
      </c>
      <c r="N45" s="34" t="str">
        <f>IFERROR(__xludf.DUMMYFUNCTION("IF(IF(N$1="""","""",REGEXMATCH(LOWER($E45),XLOOKUP(N$1,Metadata!$A$2:$A1000,Metadata!$B$2:$B1000))),N$1,"""")"),"")</f>
        <v/>
      </c>
      <c r="O45" s="34" t="str">
        <f>IFERROR(__xludf.DUMMYFUNCTION("IF(IF(O$1="""","""",REGEXMATCH(LOWER($E45),XLOOKUP(O$1,Metadata!$A$2:$A1000,Metadata!$B$2:$B1000))),O$1,"""")"),"")</f>
        <v/>
      </c>
      <c r="P45" s="34" t="str">
        <f>IFERROR(__xludf.DUMMYFUNCTION("IF(IF(P$1="""","""",REGEXMATCH(LOWER($E45),XLOOKUP(P$1,Metadata!$A$2:$A1000,Metadata!$B$2:$B1000))),P$1,"""")"),"")</f>
        <v/>
      </c>
      <c r="Q45" s="34" t="str">
        <f>IFERROR(__xludf.DUMMYFUNCTION("IF(IF(Q$1="""","""",REGEXMATCH(LOWER($E45),XLOOKUP(Q$1,Metadata!$A$2:$A1000,Metadata!$B$2:$B1000))),Q$1,"""")"),"")</f>
        <v/>
      </c>
      <c r="R45" s="34" t="str">
        <f>IFERROR(__xludf.DUMMYFUNCTION("IF(IF(R$1="""","""",REGEXMATCH(LOWER($E45),XLOOKUP(R$1,Metadata!$A$2:$A1000,Metadata!$B$2:$B1000))),R$1,"""")"),"")</f>
        <v/>
      </c>
      <c r="S45" s="34" t="str">
        <f>IFERROR(__xludf.DUMMYFUNCTION("IF(IF(S$1="""","""",REGEXMATCH(LOWER($E45),XLOOKUP(S$1,Metadata!$A$2:$A1000,Metadata!$B$2:$B1000))),S$1,"""")"),"")</f>
        <v/>
      </c>
      <c r="T45" s="34" t="str">
        <f>IFERROR(__xludf.DUMMYFUNCTION("IF(IF(T$1="""","""",REGEXMATCH(LOWER($E45),XLOOKUP(T$1,Metadata!$A$2:$A1000,Metadata!$B$2:$B1000))),T$1,"""")"),"")</f>
        <v/>
      </c>
      <c r="U45" s="34" t="str">
        <f>IFERROR(__xludf.DUMMYFUNCTION("IF(IF(U$1="""","""",REGEXMATCH(LOWER($E45),XLOOKUP(U$1,Metadata!$A$2:$A1000,Metadata!$B$2:$B1000))),U$1,"""")"),"")</f>
        <v/>
      </c>
      <c r="V45" s="34" t="str">
        <f>IFERROR(__xludf.DUMMYFUNCTION("IF(IF(V$1="""","""",REGEXMATCH(LOWER($E45),XLOOKUP(V$1,Metadata!$A$2:$A1000,Metadata!$B$2:$B1000))),V$1,"""")"),"")</f>
        <v/>
      </c>
      <c r="W45" s="34" t="str">
        <f>IFERROR(__xludf.DUMMYFUNCTION("IF(IF(W$1="""","""",REGEXMATCH(LOWER($E45),XLOOKUP(W$1,Metadata!$A$2:$A1000,Metadata!$B$2:$B1000))),W$1,"""")"),"")</f>
        <v/>
      </c>
      <c r="X45" s="34" t="str">
        <f>IFERROR(__xludf.DUMMYFUNCTION("IF(IF(X$1="""","""",REGEXMATCH(LOWER($E45),XLOOKUP(X$1,Metadata!$A$2:$A1000,Metadata!$B$2:$B1000))),X$1,"""")"),"")</f>
        <v/>
      </c>
      <c r="Y45" s="34" t="str">
        <f>IFERROR(__xludf.DUMMYFUNCTION("IF(IF(Y$1="""","""",REGEXMATCH(LOWER($E45),XLOOKUP(Y$1,Metadata!$A$2:$A1000,Metadata!$B$2:$B1000))),Y$1,"""")"),"")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I46">XLOOKUP($A46,Cards!$A$2:$A1000,Cards!$B$2:$I1000,"")</f>
        <v>Divine</v>
      </c>
      <c r="C46" s="34">
        <v>2.0</v>
      </c>
      <c r="D46" s="34" t="s">
        <v>274</v>
      </c>
      <c r="E46" s="34" t="s">
        <v>275</v>
      </c>
      <c r="F46" s="34" t="s">
        <v>276</v>
      </c>
      <c r="G46" s="34">
        <v>2.0</v>
      </c>
      <c r="H46" s="34" t="s">
        <v>106</v>
      </c>
      <c r="I46" s="34" t="s">
        <v>26</v>
      </c>
      <c r="J46" s="34">
        <f>IFERROR(__xludf.DUMMYFUNCTION("LEN(REGEXREPLACE(XLOOKUP($A46,Cards!$A$2:$A1000,Cards!$H$2:$H1000,""""),"",\s"",""""))"),2.0)</f>
        <v>2</v>
      </c>
      <c r="K46" s="34" t="str">
        <f t="shared" si="1"/>
        <v>               </v>
      </c>
      <c r="L46" s="34" t="str">
        <f>IFERROR(__xludf.DUMMYFUNCTION("IF(IF(L$1="""","""",REGEXMATCH(LOWER($E46),XLOOKUP(L$1,Metadata!$A$2:$A1000,Metadata!$B$2:$B1000))),L$1,"""")"),"")</f>
        <v/>
      </c>
      <c r="M46" s="34" t="str">
        <f>IFERROR(__xludf.DUMMYFUNCTION("IF(IF(M$1="""","""",REGEXMATCH(LOWER($E46),XLOOKUP(M$1,Metadata!$A$2:$A1000,Metadata!$B$2:$B1000))),M$1,"""")"),"")</f>
        <v/>
      </c>
      <c r="N46" s="34" t="str">
        <f>IFERROR(__xludf.DUMMYFUNCTION("IF(IF(N$1="""","""",REGEXMATCH(LOWER($E46),XLOOKUP(N$1,Metadata!$A$2:$A1000,Metadata!$B$2:$B1000))),N$1,"""")"),"")</f>
        <v/>
      </c>
      <c r="O46" s="34" t="str">
        <f>IFERROR(__xludf.DUMMYFUNCTION("IF(IF(O$1="""","""",REGEXMATCH(LOWER($E46),XLOOKUP(O$1,Metadata!$A$2:$A1000,Metadata!$B$2:$B1000))),O$1,"""")"),"")</f>
        <v/>
      </c>
      <c r="P46" s="34" t="str">
        <f>IFERROR(__xludf.DUMMYFUNCTION("IF(IF(P$1="""","""",REGEXMATCH(LOWER($E46),XLOOKUP(P$1,Metadata!$A$2:$A1000,Metadata!$B$2:$B1000))),P$1,"""")"),"")</f>
        <v/>
      </c>
      <c r="Q46" s="34" t="str">
        <f>IFERROR(__xludf.DUMMYFUNCTION("IF(IF(Q$1="""","""",REGEXMATCH(LOWER($E46),XLOOKUP(Q$1,Metadata!$A$2:$A1000,Metadata!$B$2:$B1000))),Q$1,"""")"),"")</f>
        <v/>
      </c>
      <c r="R46" s="34" t="str">
        <f>IFERROR(__xludf.DUMMYFUNCTION("IF(IF(R$1="""","""",REGEXMATCH(LOWER($E46),XLOOKUP(R$1,Metadata!$A$2:$A1000,Metadata!$B$2:$B1000))),R$1,"""")"),"")</f>
        <v/>
      </c>
      <c r="S46" s="34" t="str">
        <f>IFERROR(__xludf.DUMMYFUNCTION("IF(IF(S$1="""","""",REGEXMATCH(LOWER($E46),XLOOKUP(S$1,Metadata!$A$2:$A1000,Metadata!$B$2:$B1000))),S$1,"""")"),"")</f>
        <v/>
      </c>
      <c r="T46" s="34" t="str">
        <f>IFERROR(__xludf.DUMMYFUNCTION("IF(IF(T$1="""","""",REGEXMATCH(LOWER($E46),XLOOKUP(T$1,Metadata!$A$2:$A1000,Metadata!$B$2:$B1000))),T$1,"""")"),"")</f>
        <v/>
      </c>
      <c r="U46" s="34" t="str">
        <f>IFERROR(__xludf.DUMMYFUNCTION("IF(IF(U$1="""","""",REGEXMATCH(LOWER($E46),XLOOKUP(U$1,Metadata!$A$2:$A1000,Metadata!$B$2:$B1000))),U$1,"""")"),"")</f>
        <v/>
      </c>
      <c r="V46" s="34" t="str">
        <f>IFERROR(__xludf.DUMMYFUNCTION("IF(IF(V$1="""","""",REGEXMATCH(LOWER($E46),XLOOKUP(V$1,Metadata!$A$2:$A1000,Metadata!$B$2:$B1000))),V$1,"""")"),"")</f>
        <v/>
      </c>
      <c r="W46" s="34" t="str">
        <f>IFERROR(__xludf.DUMMYFUNCTION("IF(IF(W$1="""","""",REGEXMATCH(LOWER($E46),XLOOKUP(W$1,Metadata!$A$2:$A1000,Metadata!$B$2:$B1000))),W$1,"""")"),"")</f>
        <v/>
      </c>
      <c r="X46" s="34" t="str">
        <f>IFERROR(__xludf.DUMMYFUNCTION("IF(IF(X$1="""","""",REGEXMATCH(LOWER($E46),XLOOKUP(X$1,Metadata!$A$2:$A1000,Metadata!$B$2:$B1000))),X$1,"""")"),"")</f>
        <v/>
      </c>
      <c r="Y46" s="34" t="str">
        <f>IFERROR(__xludf.DUMMYFUNCTION("IF(IF(Y$1="""","""",REGEXMATCH(LOWER($E46),XLOOKUP(Y$1,Metadata!$A$2:$A1000,Metadata!$B$2:$B1000))),Y$1,"""")"),"")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I47">XLOOKUP($A47,Cards!$A$2:$A1000,Cards!$B$2:$I1000,"")</f>
        <v>Divine</v>
      </c>
      <c r="C47" s="34">
        <v>2.0</v>
      </c>
      <c r="D47" s="34" t="s">
        <v>37</v>
      </c>
      <c r="E47" s="34" t="s">
        <v>278</v>
      </c>
      <c r="F47" s="34" t="s">
        <v>279</v>
      </c>
      <c r="G47" s="34">
        <v>1.0</v>
      </c>
      <c r="H47" s="34" t="s">
        <v>99</v>
      </c>
      <c r="I47" s="34" t="s">
        <v>26</v>
      </c>
      <c r="J47" s="34">
        <f>IFERROR(__xludf.DUMMYFUNCTION("LEN(REGEXREPLACE(XLOOKUP($A47,Cards!$A$2:$A1000,Cards!$H$2:$H1000,""""),"",\s"",""""))"),3.0)</f>
        <v>3</v>
      </c>
      <c r="K47" s="34" t="str">
        <f t="shared" si="1"/>
        <v>               </v>
      </c>
      <c r="L47" s="34" t="str">
        <f>IFERROR(__xludf.DUMMYFUNCTION("IF(IF(L$1="""","""",REGEXMATCH(LOWER($E47),XLOOKUP(L$1,Metadata!$A$2:$A1000,Metadata!$B$2:$B1000))),L$1,"""")"),"")</f>
        <v/>
      </c>
      <c r="M47" s="34" t="str">
        <f>IFERROR(__xludf.DUMMYFUNCTION("IF(IF(M$1="""","""",REGEXMATCH(LOWER($E47),XLOOKUP(M$1,Metadata!$A$2:$A1000,Metadata!$B$2:$B1000))),M$1,"""")"),"")</f>
        <v/>
      </c>
      <c r="N47" s="34" t="str">
        <f>IFERROR(__xludf.DUMMYFUNCTION("IF(IF(N$1="""","""",REGEXMATCH(LOWER($E47),XLOOKUP(N$1,Metadata!$A$2:$A1000,Metadata!$B$2:$B1000))),N$1,"""")"),"")</f>
        <v/>
      </c>
      <c r="O47" s="34" t="str">
        <f>IFERROR(__xludf.DUMMYFUNCTION("IF(IF(O$1="""","""",REGEXMATCH(LOWER($E47),XLOOKUP(O$1,Metadata!$A$2:$A1000,Metadata!$B$2:$B1000))),O$1,"""")"),"")</f>
        <v/>
      </c>
      <c r="P47" s="34" t="str">
        <f>IFERROR(__xludf.DUMMYFUNCTION("IF(IF(P$1="""","""",REGEXMATCH(LOWER($E47),XLOOKUP(P$1,Metadata!$A$2:$A1000,Metadata!$B$2:$B1000))),P$1,"""")"),"")</f>
        <v/>
      </c>
      <c r="Q47" s="34" t="str">
        <f>IFERROR(__xludf.DUMMYFUNCTION("IF(IF(Q$1="""","""",REGEXMATCH(LOWER($E47),XLOOKUP(Q$1,Metadata!$A$2:$A1000,Metadata!$B$2:$B1000))),Q$1,"""")"),"")</f>
        <v/>
      </c>
      <c r="R47" s="34" t="str">
        <f>IFERROR(__xludf.DUMMYFUNCTION("IF(IF(R$1="""","""",REGEXMATCH(LOWER($E47),XLOOKUP(R$1,Metadata!$A$2:$A1000,Metadata!$B$2:$B1000))),R$1,"""")"),"")</f>
        <v/>
      </c>
      <c r="S47" s="34" t="str">
        <f>IFERROR(__xludf.DUMMYFUNCTION("IF(IF(S$1="""","""",REGEXMATCH(LOWER($E47),XLOOKUP(S$1,Metadata!$A$2:$A1000,Metadata!$B$2:$B1000))),S$1,"""")"),"")</f>
        <v/>
      </c>
      <c r="T47" s="34" t="str">
        <f>IFERROR(__xludf.DUMMYFUNCTION("IF(IF(T$1="""","""",REGEXMATCH(LOWER($E47),XLOOKUP(T$1,Metadata!$A$2:$A1000,Metadata!$B$2:$B1000))),T$1,"""")"),"")</f>
        <v/>
      </c>
      <c r="U47" s="34" t="str">
        <f>IFERROR(__xludf.DUMMYFUNCTION("IF(IF(U$1="""","""",REGEXMATCH(LOWER($E47),XLOOKUP(U$1,Metadata!$A$2:$A1000,Metadata!$B$2:$B1000))),U$1,"""")"),"")</f>
        <v/>
      </c>
      <c r="V47" s="34" t="str">
        <f>IFERROR(__xludf.DUMMYFUNCTION("IF(IF(V$1="""","""",REGEXMATCH(LOWER($E47),XLOOKUP(V$1,Metadata!$A$2:$A1000,Metadata!$B$2:$B1000))),V$1,"""")"),"")</f>
        <v/>
      </c>
      <c r="W47" s="34" t="str">
        <f>IFERROR(__xludf.DUMMYFUNCTION("IF(IF(W$1="""","""",REGEXMATCH(LOWER($E47),XLOOKUP(W$1,Metadata!$A$2:$A1000,Metadata!$B$2:$B1000))),W$1,"""")"),"")</f>
        <v/>
      </c>
      <c r="X47" s="34" t="str">
        <f>IFERROR(__xludf.DUMMYFUNCTION("IF(IF(X$1="""","""",REGEXMATCH(LOWER($E47),XLOOKUP(X$1,Metadata!$A$2:$A1000,Metadata!$B$2:$B1000))),X$1,"""")"),"")</f>
        <v/>
      </c>
      <c r="Y47" s="34" t="str">
        <f>IFERROR(__xludf.DUMMYFUNCTION("IF(IF(Y$1="""","""",REGEXMATCH(LOWER($E47),XLOOKUP(Y$1,Metadata!$A$2:$A1000,Metadata!$B$2:$B1000))),Y$1,"""")"),"")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I48">XLOOKUP($A48,Cards!$A$2:$A1000,Cards!$B$2:$I1000,"")</f>
        <v>Divine</v>
      </c>
      <c r="C48" s="34">
        <v>1.0</v>
      </c>
      <c r="D48" s="34" t="s">
        <v>281</v>
      </c>
      <c r="E48" s="34" t="s">
        <v>282</v>
      </c>
      <c r="F48" s="34" t="s">
        <v>283</v>
      </c>
      <c r="G48" s="34">
        <v>4.0</v>
      </c>
      <c r="H48" s="34" t="s">
        <v>31</v>
      </c>
      <c r="I48" s="34" t="s">
        <v>32</v>
      </c>
      <c r="J48" s="34">
        <f>IFERROR(__xludf.DUMMYFUNCTION("LEN(REGEXREPLACE(XLOOKUP($A48,Cards!$A$2:$A1000,Cards!$H$2:$H1000,""""),"",\s"",""""))"),5.0)</f>
        <v>5</v>
      </c>
      <c r="K48" s="34" t="str">
        <f t="shared" si="1"/>
        <v>           Move    </v>
      </c>
      <c r="L48" s="34" t="str">
        <f>IFERROR(__xludf.DUMMYFUNCTION("IF(IF(L$1="""","""",REGEXMATCH(LOWER($E48),XLOOKUP(L$1,Metadata!$A$2:$A1000,Metadata!$B$2:$B1000))),L$1,"""")"),"")</f>
        <v/>
      </c>
      <c r="M48" s="34" t="str">
        <f>IFERROR(__xludf.DUMMYFUNCTION("IF(IF(M$1="""","""",REGEXMATCH(LOWER($E48),XLOOKUP(M$1,Metadata!$A$2:$A1000,Metadata!$B$2:$B1000))),M$1,"""")"),"")</f>
        <v/>
      </c>
      <c r="N48" s="34" t="str">
        <f>IFERROR(__xludf.DUMMYFUNCTION("IF(IF(N$1="""","""",REGEXMATCH(LOWER($E48),XLOOKUP(N$1,Metadata!$A$2:$A1000,Metadata!$B$2:$B1000))),N$1,"""")"),"")</f>
        <v/>
      </c>
      <c r="O48" s="34" t="str">
        <f>IFERROR(__xludf.DUMMYFUNCTION("IF(IF(O$1="""","""",REGEXMATCH(LOWER($E48),XLOOKUP(O$1,Metadata!$A$2:$A1000,Metadata!$B$2:$B1000))),O$1,"""")"),"")</f>
        <v/>
      </c>
      <c r="P48" s="34" t="str">
        <f>IFERROR(__xludf.DUMMYFUNCTION("IF(IF(P$1="""","""",REGEXMATCH(LOWER($E48),XLOOKUP(P$1,Metadata!$A$2:$A1000,Metadata!$B$2:$B1000))),P$1,"""")"),"")</f>
        <v/>
      </c>
      <c r="Q48" s="34" t="str">
        <f>IFERROR(__xludf.DUMMYFUNCTION("IF(IF(Q$1="""","""",REGEXMATCH(LOWER($E48),XLOOKUP(Q$1,Metadata!$A$2:$A1000,Metadata!$B$2:$B1000))),Q$1,"""")"),"")</f>
        <v/>
      </c>
      <c r="R48" s="34" t="str">
        <f>IFERROR(__xludf.DUMMYFUNCTION("IF(IF(R$1="""","""",REGEXMATCH(LOWER($E48),XLOOKUP(R$1,Metadata!$A$2:$A1000,Metadata!$B$2:$B1000))),R$1,"""")"),"")</f>
        <v/>
      </c>
      <c r="S48" s="34" t="str">
        <f>IFERROR(__xludf.DUMMYFUNCTION("IF(IF(S$1="""","""",REGEXMATCH(LOWER($E48),XLOOKUP(S$1,Metadata!$A$2:$A1000,Metadata!$B$2:$B1000))),S$1,"""")"),"")</f>
        <v/>
      </c>
      <c r="T48" s="34" t="str">
        <f>IFERROR(__xludf.DUMMYFUNCTION("IF(IF(T$1="""","""",REGEXMATCH(LOWER($E48),XLOOKUP(T$1,Metadata!$A$2:$A1000,Metadata!$B$2:$B1000))),T$1,"""")"),"")</f>
        <v/>
      </c>
      <c r="U48" s="34" t="str">
        <f>IFERROR(__xludf.DUMMYFUNCTION("IF(IF(U$1="""","""",REGEXMATCH(LOWER($E48),XLOOKUP(U$1,Metadata!$A$2:$A1000,Metadata!$B$2:$B1000))),U$1,"""")"),"")</f>
        <v/>
      </c>
      <c r="V48" s="34" t="str">
        <f>IFERROR(__xludf.DUMMYFUNCTION("IF(IF(V$1="""","""",REGEXMATCH(LOWER($E48),XLOOKUP(V$1,Metadata!$A$2:$A1000,Metadata!$B$2:$B1000))),V$1,"""")"),"")</f>
        <v/>
      </c>
      <c r="W48" s="34" t="str">
        <f>IFERROR(__xludf.DUMMYFUNCTION("IF(IF(W$1="""","""",REGEXMATCH(LOWER($E48),XLOOKUP(W$1,Metadata!$A$2:$A1000,Metadata!$B$2:$B1000))),W$1,"""")"),"Move")</f>
        <v>Move</v>
      </c>
      <c r="X48" s="34" t="str">
        <f>IFERROR(__xludf.DUMMYFUNCTION("IF(IF(X$1="""","""",REGEXMATCH(LOWER($E48),XLOOKUP(X$1,Metadata!$A$2:$A1000,Metadata!$B$2:$B1000))),X$1,"""")"),"")</f>
        <v/>
      </c>
      <c r="Y48" s="34" t="str">
        <f>IFERROR(__xludf.DUMMYFUNCTION("IF(IF(Y$1="""","""",REGEXMATCH(LOWER($E48),XLOOKUP(Y$1,Metadata!$A$2:$A1000,Metadata!$B$2:$B1000))),Y$1,"""")"),"")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I49">XLOOKUP($A49,Cards!$A$2:$A1000,Cards!$B$2:$I1000,"")</f>
        <v>Divine Elemental</v>
      </c>
      <c r="C49" s="34">
        <v>2.0</v>
      </c>
      <c r="D49" s="34" t="s">
        <v>238</v>
      </c>
      <c r="E49" s="34" t="s">
        <v>290</v>
      </c>
      <c r="F49" s="34" t="s">
        <v>291</v>
      </c>
      <c r="G49" s="34">
        <v>7.0</v>
      </c>
      <c r="H49" s="34" t="s">
        <v>292</v>
      </c>
      <c r="I49" s="34" t="s">
        <v>32</v>
      </c>
      <c r="J49" s="34">
        <f>IFERROR(__xludf.DUMMYFUNCTION("LEN(REGEXREPLACE(XLOOKUP($A49,Cards!$A$2:$A1000,Cards!$H$2:$H1000,""""),"",\s"",""""))"),5.0)</f>
        <v>5</v>
      </c>
      <c r="K49" s="34" t="str">
        <f t="shared" si="1"/>
        <v>       Control   Empty-Crystal  Ambush   </v>
      </c>
      <c r="L49" s="34" t="str">
        <f>IFERROR(__xludf.DUMMYFUNCTION("IF(IF(L$1="""","""",REGEXMATCH(LOWER($E49),XLOOKUP(L$1,Metadata!$A$2:$A1000,Metadata!$B$2:$B1000))),L$1,"""")"),"")</f>
        <v/>
      </c>
      <c r="M49" s="34" t="str">
        <f>IFERROR(__xludf.DUMMYFUNCTION("IF(IF(M$1="""","""",REGEXMATCH(LOWER($E49),XLOOKUP(M$1,Metadata!$A$2:$A1000,Metadata!$B$2:$B1000))),M$1,"""")"),"")</f>
        <v/>
      </c>
      <c r="N49" s="34" t="str">
        <f>IFERROR(__xludf.DUMMYFUNCTION("IF(IF(N$1="""","""",REGEXMATCH(LOWER($E49),XLOOKUP(N$1,Metadata!$A$2:$A1000,Metadata!$B$2:$B1000))),N$1,"""")"),"")</f>
        <v/>
      </c>
      <c r="O49" s="34" t="str">
        <f>IFERROR(__xludf.DUMMYFUNCTION("IF(IF(O$1="""","""",REGEXMATCH(LOWER($E49),XLOOKUP(O$1,Metadata!$A$2:$A1000,Metadata!$B$2:$B1000))),O$1,"""")"),"")</f>
        <v/>
      </c>
      <c r="P49" s="34" t="str">
        <f>IFERROR(__xludf.DUMMYFUNCTION("IF(IF(P$1="""","""",REGEXMATCH(LOWER($E49),XLOOKUP(P$1,Metadata!$A$2:$A1000,Metadata!$B$2:$B1000))),P$1,"""")"),"")</f>
        <v/>
      </c>
      <c r="Q49" s="34" t="str">
        <f>IFERROR(__xludf.DUMMYFUNCTION("IF(IF(Q$1="""","""",REGEXMATCH(LOWER($E49),XLOOKUP(Q$1,Metadata!$A$2:$A1000,Metadata!$B$2:$B1000))),Q$1,"""")"),"")</f>
        <v/>
      </c>
      <c r="R49" s="34" t="str">
        <f>IFERROR(__xludf.DUMMYFUNCTION("IF(IF(R$1="""","""",REGEXMATCH(LOWER($E49),XLOOKUP(R$1,Metadata!$A$2:$A1000,Metadata!$B$2:$B1000))),R$1,"""")"),"")</f>
        <v/>
      </c>
      <c r="S49" s="34" t="str">
        <f>IFERROR(__xludf.DUMMYFUNCTION("IF(IF(S$1="""","""",REGEXMATCH(LOWER($E49),XLOOKUP(S$1,Metadata!$A$2:$A1000,Metadata!$B$2:$B1000))),S$1,"""")"),"Control")</f>
        <v>Control</v>
      </c>
      <c r="T49" s="34" t="str">
        <f>IFERROR(__xludf.DUMMYFUNCTION("IF(IF(T$1="""","""",REGEXMATCH(LOWER($E49),XLOOKUP(T$1,Metadata!$A$2:$A1000,Metadata!$B$2:$B1000))),T$1,"""")"),"")</f>
        <v/>
      </c>
      <c r="U49" s="34" t="str">
        <f>IFERROR(__xludf.DUMMYFUNCTION("IF(IF(U$1="""","""",REGEXMATCH(LOWER($E49),XLOOKUP(U$1,Metadata!$A$2:$A1000,Metadata!$B$2:$B1000))),U$1,"""")"),"")</f>
        <v/>
      </c>
      <c r="V49" s="34" t="str">
        <f>IFERROR(__xludf.DUMMYFUNCTION("IF(IF(V$1="""","""",REGEXMATCH(LOWER($E49),XLOOKUP(V$1,Metadata!$A$2:$A1000,Metadata!$B$2:$B1000))),V$1,"""")"),"Empty-Crystal")</f>
        <v>Empty-Crystal</v>
      </c>
      <c r="W49" s="34" t="str">
        <f>IFERROR(__xludf.DUMMYFUNCTION("IF(IF(W$1="""","""",REGEXMATCH(LOWER($E49),XLOOKUP(W$1,Metadata!$A$2:$A1000,Metadata!$B$2:$B1000))),W$1,"""")"),"")</f>
        <v/>
      </c>
      <c r="X49" s="34" t="str">
        <f>IFERROR(__xludf.DUMMYFUNCTION("IF(IF(X$1="""","""",REGEXMATCH(LOWER($E49),XLOOKUP(X$1,Metadata!$A$2:$A1000,Metadata!$B$2:$B1000))),X$1,"""")"),"Ambush")</f>
        <v>Ambush</v>
      </c>
      <c r="Y49" s="34" t="str">
        <f>IFERROR(__xludf.DUMMYFUNCTION("IF(IF(Y$1="""","""",REGEXMATCH(LOWER($E49),XLOOKUP(Y$1,Metadata!$A$2:$A1000,Metadata!$B$2:$B1000))),Y$1,"""")"),"")</f>
        <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I50">XLOOKUP($A50,Cards!$A$2:$A1000,Cards!$B$2:$I1000,"")</f>
        <v>Divine Elemental</v>
      </c>
      <c r="C50" s="34">
        <v>2.0</v>
      </c>
      <c r="D50" s="34" t="s">
        <v>96</v>
      </c>
      <c r="E50" s="34" t="s">
        <v>294</v>
      </c>
      <c r="F50" s="34" t="s">
        <v>295</v>
      </c>
      <c r="G50" s="34">
        <v>4.0</v>
      </c>
      <c r="H50" s="34" t="s">
        <v>245</v>
      </c>
      <c r="I50" s="34" t="s">
        <v>70</v>
      </c>
      <c r="J50" s="34">
        <f>IFERROR(__xludf.DUMMYFUNCTION("LEN(REGEXREPLACE(XLOOKUP($A50,Cards!$A$2:$A1000,Cards!$H$2:$H1000,""""),"",\s"",""""))"),4.0)</f>
        <v>4</v>
      </c>
      <c r="K50" s="34" t="str">
        <f t="shared" si="1"/>
        <v>               </v>
      </c>
      <c r="L50" s="34" t="str">
        <f>IFERROR(__xludf.DUMMYFUNCTION("IF(IF(L$1="""","""",REGEXMATCH(LOWER($E50),XLOOKUP(L$1,Metadata!$A$2:$A1000,Metadata!$B$2:$B1000))),L$1,"""")"),"")</f>
        <v/>
      </c>
      <c r="M50" s="34" t="str">
        <f>IFERROR(__xludf.DUMMYFUNCTION("IF(IF(M$1="""","""",REGEXMATCH(LOWER($E50),XLOOKUP(M$1,Metadata!$A$2:$A1000,Metadata!$B$2:$B1000))),M$1,"""")"),"")</f>
        <v/>
      </c>
      <c r="N50" s="34" t="str">
        <f>IFERROR(__xludf.DUMMYFUNCTION("IF(IF(N$1="""","""",REGEXMATCH(LOWER($E50),XLOOKUP(N$1,Metadata!$A$2:$A1000,Metadata!$B$2:$B1000))),N$1,"""")"),"")</f>
        <v/>
      </c>
      <c r="O50" s="34" t="str">
        <f>IFERROR(__xludf.DUMMYFUNCTION("IF(IF(O$1="""","""",REGEXMATCH(LOWER($E50),XLOOKUP(O$1,Metadata!$A$2:$A1000,Metadata!$B$2:$B1000))),O$1,"""")"),"")</f>
        <v/>
      </c>
      <c r="P50" s="34" t="str">
        <f>IFERROR(__xludf.DUMMYFUNCTION("IF(IF(P$1="""","""",REGEXMATCH(LOWER($E50),XLOOKUP(P$1,Metadata!$A$2:$A1000,Metadata!$B$2:$B1000))),P$1,"""")"),"")</f>
        <v/>
      </c>
      <c r="Q50" s="34" t="str">
        <f>IFERROR(__xludf.DUMMYFUNCTION("IF(IF(Q$1="""","""",REGEXMATCH(LOWER($E50),XLOOKUP(Q$1,Metadata!$A$2:$A1000,Metadata!$B$2:$B1000))),Q$1,"""")"),"")</f>
        <v/>
      </c>
      <c r="R50" s="34" t="str">
        <f>IFERROR(__xludf.DUMMYFUNCTION("IF(IF(R$1="""","""",REGEXMATCH(LOWER($E50),XLOOKUP(R$1,Metadata!$A$2:$A1000,Metadata!$B$2:$B1000))),R$1,"""")"),"")</f>
        <v/>
      </c>
      <c r="S50" s="34" t="str">
        <f>IFERROR(__xludf.DUMMYFUNCTION("IF(IF(S$1="""","""",REGEXMATCH(LOWER($E50),XLOOKUP(S$1,Metadata!$A$2:$A1000,Metadata!$B$2:$B1000))),S$1,"""")"),"")</f>
        <v/>
      </c>
      <c r="T50" s="34" t="str">
        <f>IFERROR(__xludf.DUMMYFUNCTION("IF(IF(T$1="""","""",REGEXMATCH(LOWER($E50),XLOOKUP(T$1,Metadata!$A$2:$A1000,Metadata!$B$2:$B1000))),T$1,"""")"),"")</f>
        <v/>
      </c>
      <c r="U50" s="34" t="str">
        <f>IFERROR(__xludf.DUMMYFUNCTION("IF(IF(U$1="""","""",REGEXMATCH(LOWER($E50),XLOOKUP(U$1,Metadata!$A$2:$A1000,Metadata!$B$2:$B1000))),U$1,"""")"),"")</f>
        <v/>
      </c>
      <c r="V50" s="34" t="str">
        <f>IFERROR(__xludf.DUMMYFUNCTION("IF(IF(V$1="""","""",REGEXMATCH(LOWER($E50),XLOOKUP(V$1,Metadata!$A$2:$A1000,Metadata!$B$2:$B1000))),V$1,"""")"),"")</f>
        <v/>
      </c>
      <c r="W50" s="34" t="str">
        <f>IFERROR(__xludf.DUMMYFUNCTION("IF(IF(W$1="""","""",REGEXMATCH(LOWER($E50),XLOOKUP(W$1,Metadata!$A$2:$A1000,Metadata!$B$2:$B1000))),W$1,"""")"),"")</f>
        <v/>
      </c>
      <c r="X50" s="34" t="str">
        <f>IFERROR(__xludf.DUMMYFUNCTION("IF(IF(X$1="""","""",REGEXMATCH(LOWER($E50),XLOOKUP(X$1,Metadata!$A$2:$A1000,Metadata!$B$2:$B1000))),X$1,"""")"),"")</f>
        <v/>
      </c>
      <c r="Y50" s="34" t="str">
        <f>IFERROR(__xludf.DUMMYFUNCTION("IF(IF(Y$1="""","""",REGEXMATCH(LOWER($E50),XLOOKUP(Y$1,Metadata!$A$2:$A1000,Metadata!$B$2:$B1000))),Y$1,"""")"),"")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I51">XLOOKUP($A51,Cards!$A$2:$A1000,Cards!$B$2:$I1000,"")</f>
        <v>Divine Elemental</v>
      </c>
      <c r="C51" s="34">
        <v>0.0</v>
      </c>
      <c r="D51" s="34" t="s">
        <v>297</v>
      </c>
      <c r="E51" s="34" t="s">
        <v>298</v>
      </c>
      <c r="F51" s="34" t="s">
        <v>299</v>
      </c>
      <c r="G51" s="34">
        <v>4.0</v>
      </c>
      <c r="H51" s="34" t="s">
        <v>300</v>
      </c>
      <c r="I51" s="34" t="s">
        <v>70</v>
      </c>
      <c r="J51" s="34">
        <f>IFERROR(__xludf.DUMMYFUNCTION("LEN(REGEXREPLACE(XLOOKUP($A51,Cards!$A$2:$A1000,Cards!$H$2:$H1000,""""),"",\s"",""""))"),5.0)</f>
        <v>5</v>
      </c>
      <c r="K51" s="34" t="str">
        <f t="shared" si="1"/>
        <v>     Unearth       Ambush   </v>
      </c>
      <c r="L51" s="34" t="str">
        <f>IFERROR(__xludf.DUMMYFUNCTION("IF(IF(L$1="""","""",REGEXMATCH(LOWER($E51),XLOOKUP(L$1,Metadata!$A$2:$A1000,Metadata!$B$2:$B1000))),L$1,"""")"),"")</f>
        <v/>
      </c>
      <c r="M51" s="34" t="str">
        <f>IFERROR(__xludf.DUMMYFUNCTION("IF(IF(M$1="""","""",REGEXMATCH(LOWER($E51),XLOOKUP(M$1,Metadata!$A$2:$A1000,Metadata!$B$2:$B1000))),M$1,"""")"),"")</f>
        <v/>
      </c>
      <c r="N51" s="34" t="str">
        <f>IFERROR(__xludf.DUMMYFUNCTION("IF(IF(N$1="""","""",REGEXMATCH(LOWER($E51),XLOOKUP(N$1,Metadata!$A$2:$A1000,Metadata!$B$2:$B1000))),N$1,"""")"),"")</f>
        <v/>
      </c>
      <c r="O51" s="34" t="str">
        <f>IFERROR(__xludf.DUMMYFUNCTION("IF(IF(O$1="""","""",REGEXMATCH(LOWER($E51),XLOOKUP(O$1,Metadata!$A$2:$A1000,Metadata!$B$2:$B1000))),O$1,"""")"),"")</f>
        <v/>
      </c>
      <c r="P51" s="34" t="str">
        <f>IFERROR(__xludf.DUMMYFUNCTION("IF(IF(P$1="""","""",REGEXMATCH(LOWER($E51),XLOOKUP(P$1,Metadata!$A$2:$A1000,Metadata!$B$2:$B1000))),P$1,"""")"),"")</f>
        <v/>
      </c>
      <c r="Q51" s="34" t="str">
        <f>IFERROR(__xludf.DUMMYFUNCTION("IF(IF(Q$1="""","""",REGEXMATCH(LOWER($E51),XLOOKUP(Q$1,Metadata!$A$2:$A1000,Metadata!$B$2:$B1000))),Q$1,"""")"),"Unearth")</f>
        <v>Unearth</v>
      </c>
      <c r="R51" s="34" t="str">
        <f>IFERROR(__xludf.DUMMYFUNCTION("IF(IF(R$1="""","""",REGEXMATCH(LOWER($E51),XLOOKUP(R$1,Metadata!$A$2:$A1000,Metadata!$B$2:$B1000))),R$1,"""")"),"")</f>
        <v/>
      </c>
      <c r="S51" s="34" t="str">
        <f>IFERROR(__xludf.DUMMYFUNCTION("IF(IF(S$1="""","""",REGEXMATCH(LOWER($E51),XLOOKUP(S$1,Metadata!$A$2:$A1000,Metadata!$B$2:$B1000))),S$1,"""")"),"")</f>
        <v/>
      </c>
      <c r="T51" s="34" t="str">
        <f>IFERROR(__xludf.DUMMYFUNCTION("IF(IF(T$1="""","""",REGEXMATCH(LOWER($E51),XLOOKUP(T$1,Metadata!$A$2:$A1000,Metadata!$B$2:$B1000))),T$1,"""")"),"")</f>
        <v/>
      </c>
      <c r="U51" s="34" t="str">
        <f>IFERROR(__xludf.DUMMYFUNCTION("IF(IF(U$1="""","""",REGEXMATCH(LOWER($E51),XLOOKUP(U$1,Metadata!$A$2:$A1000,Metadata!$B$2:$B1000))),U$1,"""")"),"")</f>
        <v/>
      </c>
      <c r="V51" s="34" t="str">
        <f>IFERROR(__xludf.DUMMYFUNCTION("IF(IF(V$1="""","""",REGEXMATCH(LOWER($E51),XLOOKUP(V$1,Metadata!$A$2:$A1000,Metadata!$B$2:$B1000))),V$1,"""")"),"")</f>
        <v/>
      </c>
      <c r="W51" s="34" t="str">
        <f>IFERROR(__xludf.DUMMYFUNCTION("IF(IF(W$1="""","""",REGEXMATCH(LOWER($E51),XLOOKUP(W$1,Metadata!$A$2:$A1000,Metadata!$B$2:$B1000))),W$1,"""")"),"")</f>
        <v/>
      </c>
      <c r="X51" s="34" t="str">
        <f>IFERROR(__xludf.DUMMYFUNCTION("IF(IF(X$1="""","""",REGEXMATCH(LOWER($E51),XLOOKUP(X$1,Metadata!$A$2:$A1000,Metadata!$B$2:$B1000))),X$1,"""")"),"Ambush")</f>
        <v>Ambush</v>
      </c>
      <c r="Y51" s="34" t="str">
        <f>IFERROR(__xludf.DUMMYFUNCTION("IF(IF(Y$1="""","""",REGEXMATCH(LOWER($E51),XLOOKUP(Y$1,Metadata!$A$2:$A1000,Metadata!$B$2:$B1000))),Y$1,"""")"),"")</f>
        <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I52">XLOOKUP($A52,Cards!$A$2:$A1000,Cards!$B$2:$I1000,"")</f>
        <v>Divine</v>
      </c>
      <c r="C52" s="34">
        <v>1.0</v>
      </c>
      <c r="D52" s="34" t="s">
        <v>302</v>
      </c>
      <c r="E52" s="34"/>
      <c r="F52" s="34" t="s">
        <v>303</v>
      </c>
      <c r="G52" s="34">
        <v>9.0</v>
      </c>
      <c r="H52" s="34" t="s">
        <v>127</v>
      </c>
      <c r="I52" s="34" t="s">
        <v>70</v>
      </c>
      <c r="J52" s="34">
        <f>IFERROR(__xludf.DUMMYFUNCTION("LEN(REGEXREPLACE(XLOOKUP($A52,Cards!$A$2:$A1000,Cards!$H$2:$H1000,""""),"",\s"",""""))"),6.0)</f>
        <v>6</v>
      </c>
      <c r="K52" s="34" t="str">
        <f t="shared" si="1"/>
        <v>               </v>
      </c>
      <c r="L52" s="34" t="str">
        <f>IFERROR(__xludf.DUMMYFUNCTION("IF(IF(L$1="""","""",REGEXMATCH(LOWER($E52),XLOOKUP(L$1,Metadata!$A$2:$A1000,Metadata!$B$2:$B1000))),L$1,"""")"),"")</f>
        <v/>
      </c>
      <c r="M52" s="34" t="str">
        <f>IFERROR(__xludf.DUMMYFUNCTION("IF(IF(M$1="""","""",REGEXMATCH(LOWER($E52),XLOOKUP(M$1,Metadata!$A$2:$A1000,Metadata!$B$2:$B1000))),M$1,"""")"),"")</f>
        <v/>
      </c>
      <c r="N52" s="34" t="str">
        <f>IFERROR(__xludf.DUMMYFUNCTION("IF(IF(N$1="""","""",REGEXMATCH(LOWER($E52),XLOOKUP(N$1,Metadata!$A$2:$A1000,Metadata!$B$2:$B1000))),N$1,"""")"),"")</f>
        <v/>
      </c>
      <c r="O52" s="34" t="str">
        <f>IFERROR(__xludf.DUMMYFUNCTION("IF(IF(O$1="""","""",REGEXMATCH(LOWER($E52),XLOOKUP(O$1,Metadata!$A$2:$A1000,Metadata!$B$2:$B1000))),O$1,"""")"),"")</f>
        <v/>
      </c>
      <c r="P52" s="34" t="str">
        <f>IFERROR(__xludf.DUMMYFUNCTION("IF(IF(P$1="""","""",REGEXMATCH(LOWER($E52),XLOOKUP(P$1,Metadata!$A$2:$A1000,Metadata!$B$2:$B1000))),P$1,"""")"),"")</f>
        <v/>
      </c>
      <c r="Q52" s="34" t="str">
        <f>IFERROR(__xludf.DUMMYFUNCTION("IF(IF(Q$1="""","""",REGEXMATCH(LOWER($E52),XLOOKUP(Q$1,Metadata!$A$2:$A1000,Metadata!$B$2:$B1000))),Q$1,"""")"),"")</f>
        <v/>
      </c>
      <c r="R52" s="34" t="str">
        <f>IFERROR(__xludf.DUMMYFUNCTION("IF(IF(R$1="""","""",REGEXMATCH(LOWER($E52),XLOOKUP(R$1,Metadata!$A$2:$A1000,Metadata!$B$2:$B1000))),R$1,"""")"),"")</f>
        <v/>
      </c>
      <c r="S52" s="34" t="str">
        <f>IFERROR(__xludf.DUMMYFUNCTION("IF(IF(S$1="""","""",REGEXMATCH(LOWER($E52),XLOOKUP(S$1,Metadata!$A$2:$A1000,Metadata!$B$2:$B1000))),S$1,"""")"),"")</f>
        <v/>
      </c>
      <c r="T52" s="34" t="str">
        <f>IFERROR(__xludf.DUMMYFUNCTION("IF(IF(T$1="""","""",REGEXMATCH(LOWER($E52),XLOOKUP(T$1,Metadata!$A$2:$A1000,Metadata!$B$2:$B1000))),T$1,"""")"),"")</f>
        <v/>
      </c>
      <c r="U52" s="34" t="str">
        <f>IFERROR(__xludf.DUMMYFUNCTION("IF(IF(U$1="""","""",REGEXMATCH(LOWER($E52),XLOOKUP(U$1,Metadata!$A$2:$A1000,Metadata!$B$2:$B1000))),U$1,"""")"),"")</f>
        <v/>
      </c>
      <c r="V52" s="34" t="str">
        <f>IFERROR(__xludf.DUMMYFUNCTION("IF(IF(V$1="""","""",REGEXMATCH(LOWER($E52),XLOOKUP(V$1,Metadata!$A$2:$A1000,Metadata!$B$2:$B1000))),V$1,"""")"),"")</f>
        <v/>
      </c>
      <c r="W52" s="34" t="str">
        <f>IFERROR(__xludf.DUMMYFUNCTION("IF(IF(W$1="""","""",REGEXMATCH(LOWER($E52),XLOOKUP(W$1,Metadata!$A$2:$A1000,Metadata!$B$2:$B1000))),W$1,"""")"),"")</f>
        <v/>
      </c>
      <c r="X52" s="34" t="str">
        <f>IFERROR(__xludf.DUMMYFUNCTION("IF(IF(X$1="""","""",REGEXMATCH(LOWER($E52),XLOOKUP(X$1,Metadata!$A$2:$A1000,Metadata!$B$2:$B1000))),X$1,"""")"),"")</f>
        <v/>
      </c>
      <c r="Y52" s="34" t="str">
        <f>IFERROR(__xludf.DUMMYFUNCTION("IF(IF(Y$1="""","""",REGEXMATCH(LOWER($E52),XLOOKUP(Y$1,Metadata!$A$2:$A1000,Metadata!$B$2:$B1000))),Y$1,"""")"),"")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I53">XLOOKUP($A53,Cards!$A$2:$A1000,Cards!$B$2:$I1000,"")</f>
        <v>Divine</v>
      </c>
      <c r="C53" s="34">
        <v>1.0</v>
      </c>
      <c r="D53" s="34" t="s">
        <v>307</v>
      </c>
      <c r="E53" s="34" t="s">
        <v>308</v>
      </c>
      <c r="F53" s="34"/>
      <c r="G53" s="34">
        <v>1.0</v>
      </c>
      <c r="H53" s="34" t="s">
        <v>106</v>
      </c>
      <c r="I53" s="34" t="s">
        <v>32</v>
      </c>
      <c r="J53" s="34">
        <f>IFERROR(__xludf.DUMMYFUNCTION("LEN(REGEXREPLACE(XLOOKUP($A53,Cards!$A$2:$A1000,Cards!$H$2:$H1000,""""),"",\s"",""""))"),2.0)</f>
        <v>2</v>
      </c>
      <c r="K53" s="34" t="str">
        <f t="shared" si="1"/>
        <v>           Move    </v>
      </c>
      <c r="L53" s="34" t="str">
        <f>IFERROR(__xludf.DUMMYFUNCTION("IF(IF(L$1="""","""",REGEXMATCH(LOWER($E53),XLOOKUP(L$1,Metadata!$A$2:$A1000,Metadata!$B$2:$B1000))),L$1,"""")"),"")</f>
        <v/>
      </c>
      <c r="M53" s="34" t="str">
        <f>IFERROR(__xludf.DUMMYFUNCTION("IF(IF(M$1="""","""",REGEXMATCH(LOWER($E53),XLOOKUP(M$1,Metadata!$A$2:$A1000,Metadata!$B$2:$B1000))),M$1,"""")"),"")</f>
        <v/>
      </c>
      <c r="N53" s="34" t="str">
        <f>IFERROR(__xludf.DUMMYFUNCTION("IF(IF(N$1="""","""",REGEXMATCH(LOWER($E53),XLOOKUP(N$1,Metadata!$A$2:$A1000,Metadata!$B$2:$B1000))),N$1,"""")"),"")</f>
        <v/>
      </c>
      <c r="O53" s="34" t="str">
        <f>IFERROR(__xludf.DUMMYFUNCTION("IF(IF(O$1="""","""",REGEXMATCH(LOWER($E53),XLOOKUP(O$1,Metadata!$A$2:$A1000,Metadata!$B$2:$B1000))),O$1,"""")"),"")</f>
        <v/>
      </c>
      <c r="P53" s="34" t="str">
        <f>IFERROR(__xludf.DUMMYFUNCTION("IF(IF(P$1="""","""",REGEXMATCH(LOWER($E53),XLOOKUP(P$1,Metadata!$A$2:$A1000,Metadata!$B$2:$B1000))),P$1,"""")"),"")</f>
        <v/>
      </c>
      <c r="Q53" s="34" t="str">
        <f>IFERROR(__xludf.DUMMYFUNCTION("IF(IF(Q$1="""","""",REGEXMATCH(LOWER($E53),XLOOKUP(Q$1,Metadata!$A$2:$A1000,Metadata!$B$2:$B1000))),Q$1,"""")"),"")</f>
        <v/>
      </c>
      <c r="R53" s="34" t="str">
        <f>IFERROR(__xludf.DUMMYFUNCTION("IF(IF(R$1="""","""",REGEXMATCH(LOWER($E53),XLOOKUP(R$1,Metadata!$A$2:$A1000,Metadata!$B$2:$B1000))),R$1,"""")"),"")</f>
        <v/>
      </c>
      <c r="S53" s="34" t="str">
        <f>IFERROR(__xludf.DUMMYFUNCTION("IF(IF(S$1="""","""",REGEXMATCH(LOWER($E53),XLOOKUP(S$1,Metadata!$A$2:$A1000,Metadata!$B$2:$B1000))),S$1,"""")"),"")</f>
        <v/>
      </c>
      <c r="T53" s="34" t="str">
        <f>IFERROR(__xludf.DUMMYFUNCTION("IF(IF(T$1="""","""",REGEXMATCH(LOWER($E53),XLOOKUP(T$1,Metadata!$A$2:$A1000,Metadata!$B$2:$B1000))),T$1,"""")"),"")</f>
        <v/>
      </c>
      <c r="U53" s="34" t="str">
        <f>IFERROR(__xludf.DUMMYFUNCTION("IF(IF(U$1="""","""",REGEXMATCH(LOWER($E53),XLOOKUP(U$1,Metadata!$A$2:$A1000,Metadata!$B$2:$B1000))),U$1,"""")"),"")</f>
        <v/>
      </c>
      <c r="V53" s="34" t="str">
        <f>IFERROR(__xludf.DUMMYFUNCTION("IF(IF(V$1="""","""",REGEXMATCH(LOWER($E53),XLOOKUP(V$1,Metadata!$A$2:$A1000,Metadata!$B$2:$B1000))),V$1,"""")"),"")</f>
        <v/>
      </c>
      <c r="W53" s="34" t="str">
        <f>IFERROR(__xludf.DUMMYFUNCTION("IF(IF(W$1="""","""",REGEXMATCH(LOWER($E53),XLOOKUP(W$1,Metadata!$A$2:$A1000,Metadata!$B$2:$B1000))),W$1,"""")"),"Move")</f>
        <v>Move</v>
      </c>
      <c r="X53" s="34" t="str">
        <f>IFERROR(__xludf.DUMMYFUNCTION("IF(IF(X$1="""","""",REGEXMATCH(LOWER($E53),XLOOKUP(X$1,Metadata!$A$2:$A1000,Metadata!$B$2:$B1000))),X$1,"""")"),"")</f>
        <v/>
      </c>
      <c r="Y53" s="34" t="str">
        <f>IFERROR(__xludf.DUMMYFUNCTION("IF(IF(Y$1="""","""",REGEXMATCH(LOWER($E53),XLOOKUP(Y$1,Metadata!$A$2:$A1000,Metadata!$B$2:$B1000))),Y$1,"""")"),"")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I54">XLOOKUP($A54,Cards!$A$2:$A1000,Cards!$B$2:$I1000,"")</f>
        <v>Divine Elemental</v>
      </c>
      <c r="C54" s="34">
        <v>2.0</v>
      </c>
      <c r="D54" s="34" t="s">
        <v>155</v>
      </c>
      <c r="E54" s="34" t="s">
        <v>314</v>
      </c>
      <c r="F54" s="34" t="s">
        <v>315</v>
      </c>
      <c r="G54" s="34">
        <v>6.0</v>
      </c>
      <c r="H54" s="34" t="s">
        <v>300</v>
      </c>
      <c r="I54" s="34" t="s">
        <v>70</v>
      </c>
      <c r="J54" s="34">
        <f>IFERROR(__xludf.DUMMYFUNCTION("LEN(REGEXREPLACE(XLOOKUP($A54,Cards!$A$2:$A1000,Cards!$H$2:$H1000,""""),"",\s"",""""))"),5.0)</f>
        <v>5</v>
      </c>
      <c r="K54" s="34" t="str">
        <f t="shared" si="1"/>
        <v>               </v>
      </c>
      <c r="L54" s="34" t="str">
        <f>IFERROR(__xludf.DUMMYFUNCTION("IF(IF(L$1="""","""",REGEXMATCH(LOWER($E54),XLOOKUP(L$1,Metadata!$A$2:$A1000,Metadata!$B$2:$B1000))),L$1,"""")"),"")</f>
        <v/>
      </c>
      <c r="M54" s="34" t="str">
        <f>IFERROR(__xludf.DUMMYFUNCTION("IF(IF(M$1="""","""",REGEXMATCH(LOWER($E54),XLOOKUP(M$1,Metadata!$A$2:$A1000,Metadata!$B$2:$B1000))),M$1,"""")"),"")</f>
        <v/>
      </c>
      <c r="N54" s="34" t="str">
        <f>IFERROR(__xludf.DUMMYFUNCTION("IF(IF(N$1="""","""",REGEXMATCH(LOWER($E54),XLOOKUP(N$1,Metadata!$A$2:$A1000,Metadata!$B$2:$B1000))),N$1,"""")"),"")</f>
        <v/>
      </c>
      <c r="O54" s="34" t="str">
        <f>IFERROR(__xludf.DUMMYFUNCTION("IF(IF(O$1="""","""",REGEXMATCH(LOWER($E54),XLOOKUP(O$1,Metadata!$A$2:$A1000,Metadata!$B$2:$B1000))),O$1,"""")"),"")</f>
        <v/>
      </c>
      <c r="P54" s="34" t="str">
        <f>IFERROR(__xludf.DUMMYFUNCTION("IF(IF(P$1="""","""",REGEXMATCH(LOWER($E54),XLOOKUP(P$1,Metadata!$A$2:$A1000,Metadata!$B$2:$B1000))),P$1,"""")"),"")</f>
        <v/>
      </c>
      <c r="Q54" s="34" t="str">
        <f>IFERROR(__xludf.DUMMYFUNCTION("IF(IF(Q$1="""","""",REGEXMATCH(LOWER($E54),XLOOKUP(Q$1,Metadata!$A$2:$A1000,Metadata!$B$2:$B1000))),Q$1,"""")"),"")</f>
        <v/>
      </c>
      <c r="R54" s="34" t="str">
        <f>IFERROR(__xludf.DUMMYFUNCTION("IF(IF(R$1="""","""",REGEXMATCH(LOWER($E54),XLOOKUP(R$1,Metadata!$A$2:$A1000,Metadata!$B$2:$B1000))),R$1,"""")"),"")</f>
        <v/>
      </c>
      <c r="S54" s="34" t="str">
        <f>IFERROR(__xludf.DUMMYFUNCTION("IF(IF(S$1="""","""",REGEXMATCH(LOWER($E54),XLOOKUP(S$1,Metadata!$A$2:$A1000,Metadata!$B$2:$B1000))),S$1,"""")"),"")</f>
        <v/>
      </c>
      <c r="T54" s="34" t="str">
        <f>IFERROR(__xludf.DUMMYFUNCTION("IF(IF(T$1="""","""",REGEXMATCH(LOWER($E54),XLOOKUP(T$1,Metadata!$A$2:$A1000,Metadata!$B$2:$B1000))),T$1,"""")"),"")</f>
        <v/>
      </c>
      <c r="U54" s="34" t="str">
        <f>IFERROR(__xludf.DUMMYFUNCTION("IF(IF(U$1="""","""",REGEXMATCH(LOWER($E54),XLOOKUP(U$1,Metadata!$A$2:$A1000,Metadata!$B$2:$B1000))),U$1,"""")"),"")</f>
        <v/>
      </c>
      <c r="V54" s="34" t="str">
        <f>IFERROR(__xludf.DUMMYFUNCTION("IF(IF(V$1="""","""",REGEXMATCH(LOWER($E54),XLOOKUP(V$1,Metadata!$A$2:$A1000,Metadata!$B$2:$B1000))),V$1,"""")"),"")</f>
        <v/>
      </c>
      <c r="W54" s="34" t="str">
        <f>IFERROR(__xludf.DUMMYFUNCTION("IF(IF(W$1="""","""",REGEXMATCH(LOWER($E54),XLOOKUP(W$1,Metadata!$A$2:$A1000,Metadata!$B$2:$B1000))),W$1,"""")"),"")</f>
        <v/>
      </c>
      <c r="X54" s="34" t="str">
        <f>IFERROR(__xludf.DUMMYFUNCTION("IF(IF(X$1="""","""",REGEXMATCH(LOWER($E54),XLOOKUP(X$1,Metadata!$A$2:$A1000,Metadata!$B$2:$B1000))),X$1,"""")"),"")</f>
        <v/>
      </c>
      <c r="Y54" s="34" t="str">
        <f>IFERROR(__xludf.DUMMYFUNCTION("IF(IF(Y$1="""","""",REGEXMATCH(LOWER($E54),XLOOKUP(Y$1,Metadata!$A$2:$A1000,Metadata!$B$2:$B1000))),Y$1,"""")"),"")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I55">XLOOKUP($A55,Cards!$A$2:$A1000,Cards!$B$2:$I1000,"")</f>
        <v>Divine Mortal</v>
      </c>
      <c r="C55" s="34">
        <v>2.0</v>
      </c>
      <c r="D55" s="34" t="s">
        <v>149</v>
      </c>
      <c r="E55" s="34" t="s">
        <v>318</v>
      </c>
      <c r="F55" s="34" t="s">
        <v>319</v>
      </c>
      <c r="G55" s="34">
        <v>3.0</v>
      </c>
      <c r="H55" s="34" t="s">
        <v>320</v>
      </c>
      <c r="I55" s="34" t="s">
        <v>70</v>
      </c>
      <c r="J55" s="34">
        <f>IFERROR(__xludf.DUMMYFUNCTION("LEN(REGEXREPLACE(XLOOKUP($A55,Cards!$A$2:$A1000,Cards!$H$2:$H1000,""""),"",\s"",""""))"),5.0)</f>
        <v>5</v>
      </c>
      <c r="K55" s="34" t="str">
        <f t="shared" si="1"/>
        <v>     Unearth          </v>
      </c>
      <c r="L55" s="34" t="str">
        <f>IFERROR(__xludf.DUMMYFUNCTION("IF(IF(L$1="""","""",REGEXMATCH(LOWER($E55),XLOOKUP(L$1,Metadata!$A$2:$A1000,Metadata!$B$2:$B1000))),L$1,"""")"),"")</f>
        <v/>
      </c>
      <c r="M55" s="34" t="str">
        <f>IFERROR(__xludf.DUMMYFUNCTION("IF(IF(M$1="""","""",REGEXMATCH(LOWER($E55),XLOOKUP(M$1,Metadata!$A$2:$A1000,Metadata!$B$2:$B1000))),M$1,"""")"),"")</f>
        <v/>
      </c>
      <c r="N55" s="34" t="str">
        <f>IFERROR(__xludf.DUMMYFUNCTION("IF(IF(N$1="""","""",REGEXMATCH(LOWER($E55),XLOOKUP(N$1,Metadata!$A$2:$A1000,Metadata!$B$2:$B1000))),N$1,"""")"),"")</f>
        <v/>
      </c>
      <c r="O55" s="34" t="str">
        <f>IFERROR(__xludf.DUMMYFUNCTION("IF(IF(O$1="""","""",REGEXMATCH(LOWER($E55),XLOOKUP(O$1,Metadata!$A$2:$A1000,Metadata!$B$2:$B1000))),O$1,"""")"),"")</f>
        <v/>
      </c>
      <c r="P55" s="34" t="str">
        <f>IFERROR(__xludf.DUMMYFUNCTION("IF(IF(P$1="""","""",REGEXMATCH(LOWER($E55),XLOOKUP(P$1,Metadata!$A$2:$A1000,Metadata!$B$2:$B1000))),P$1,"""")"),"")</f>
        <v/>
      </c>
      <c r="Q55" s="34" t="str">
        <f>IFERROR(__xludf.DUMMYFUNCTION("IF(IF(Q$1="""","""",REGEXMATCH(LOWER($E55),XLOOKUP(Q$1,Metadata!$A$2:$A1000,Metadata!$B$2:$B1000))),Q$1,"""")"),"Unearth")</f>
        <v>Unearth</v>
      </c>
      <c r="R55" s="34" t="str">
        <f>IFERROR(__xludf.DUMMYFUNCTION("IF(IF(R$1="""","""",REGEXMATCH(LOWER($E55),XLOOKUP(R$1,Metadata!$A$2:$A1000,Metadata!$B$2:$B1000))),R$1,"""")"),"")</f>
        <v/>
      </c>
      <c r="S55" s="34" t="str">
        <f>IFERROR(__xludf.DUMMYFUNCTION("IF(IF(S$1="""","""",REGEXMATCH(LOWER($E55),XLOOKUP(S$1,Metadata!$A$2:$A1000,Metadata!$B$2:$B1000))),S$1,"""")"),"")</f>
        <v/>
      </c>
      <c r="T55" s="34" t="str">
        <f>IFERROR(__xludf.DUMMYFUNCTION("IF(IF(T$1="""","""",REGEXMATCH(LOWER($E55),XLOOKUP(T$1,Metadata!$A$2:$A1000,Metadata!$B$2:$B1000))),T$1,"""")"),"")</f>
        <v/>
      </c>
      <c r="U55" s="34" t="str">
        <f>IFERROR(__xludf.DUMMYFUNCTION("IF(IF(U$1="""","""",REGEXMATCH(LOWER($E55),XLOOKUP(U$1,Metadata!$A$2:$A1000,Metadata!$B$2:$B1000))),U$1,"""")"),"")</f>
        <v/>
      </c>
      <c r="V55" s="34" t="str">
        <f>IFERROR(__xludf.DUMMYFUNCTION("IF(IF(V$1="""","""",REGEXMATCH(LOWER($E55),XLOOKUP(V$1,Metadata!$A$2:$A1000,Metadata!$B$2:$B1000))),V$1,"""")"),"")</f>
        <v/>
      </c>
      <c r="W55" s="34" t="str">
        <f>IFERROR(__xludf.DUMMYFUNCTION("IF(IF(W$1="""","""",REGEXMATCH(LOWER($E55),XLOOKUP(W$1,Metadata!$A$2:$A1000,Metadata!$B$2:$B1000))),W$1,"""")"),"")</f>
        <v/>
      </c>
      <c r="X55" s="34" t="str">
        <f>IFERROR(__xludf.DUMMYFUNCTION("IF(IF(X$1="""","""",REGEXMATCH(LOWER($E55),XLOOKUP(X$1,Metadata!$A$2:$A1000,Metadata!$B$2:$B1000))),X$1,"""")"),"")</f>
        <v/>
      </c>
      <c r="Y55" s="34" t="str">
        <f>IFERROR(__xludf.DUMMYFUNCTION("IF(IF(Y$1="""","""",REGEXMATCH(LOWER($E55),XLOOKUP(Y$1,Metadata!$A$2:$A1000,Metadata!$B$2:$B1000))),Y$1,"""")"),"")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I56">XLOOKUP($A56,Cards!$A$2:$A1000,Cards!$B$2:$I1000,"")</f>
        <v>Divine Mortal</v>
      </c>
      <c r="C56" s="34">
        <v>2.0</v>
      </c>
      <c r="D56" s="34" t="s">
        <v>322</v>
      </c>
      <c r="E56" s="34" t="s">
        <v>323</v>
      </c>
      <c r="F56" s="34" t="s">
        <v>324</v>
      </c>
      <c r="G56" s="34">
        <v>4.0</v>
      </c>
      <c r="H56" s="34" t="s">
        <v>325</v>
      </c>
      <c r="I56" s="34" t="s">
        <v>32</v>
      </c>
      <c r="J56" s="34">
        <f>IFERROR(__xludf.DUMMYFUNCTION("LEN(REGEXREPLACE(XLOOKUP($A56,Cards!$A$2:$A1000,Cards!$H$2:$H1000,""""),"",\s"",""""))"),3.0)</f>
        <v>3</v>
      </c>
      <c r="K56" s="34" t="str">
        <f t="shared" si="1"/>
        <v>Divine  Mortal     Control     Ambush   </v>
      </c>
      <c r="L56" s="34" t="str">
        <f>IFERROR(__xludf.DUMMYFUNCTION("IF(IF(L$1="""","""",REGEXMATCH(LOWER($E56),XLOOKUP(L$1,Metadata!$A$2:$A1000,Metadata!$B$2:$B1000))),L$1,"""")"),"Divine")</f>
        <v>Divine</v>
      </c>
      <c r="M56" s="34" t="str">
        <f>IFERROR(__xludf.DUMMYFUNCTION("IF(IF(M$1="""","""",REGEXMATCH(LOWER($E56),XLOOKUP(M$1,Metadata!$A$2:$A1000,Metadata!$B$2:$B1000))),M$1,"""")"),"")</f>
        <v/>
      </c>
      <c r="N56" s="34" t="str">
        <f>IFERROR(__xludf.DUMMYFUNCTION("IF(IF(N$1="""","""",REGEXMATCH(LOWER($E56),XLOOKUP(N$1,Metadata!$A$2:$A1000,Metadata!$B$2:$B1000))),N$1,"""")"),"Mortal")</f>
        <v>Mortal</v>
      </c>
      <c r="O56" s="34" t="str">
        <f>IFERROR(__xludf.DUMMYFUNCTION("IF(IF(O$1="""","""",REGEXMATCH(LOWER($E56),XLOOKUP(O$1,Metadata!$A$2:$A1000,Metadata!$B$2:$B1000))),O$1,"""")"),"")</f>
        <v/>
      </c>
      <c r="P56" s="34" t="str">
        <f>IFERROR(__xludf.DUMMYFUNCTION("IF(IF(P$1="""","""",REGEXMATCH(LOWER($E56),XLOOKUP(P$1,Metadata!$A$2:$A1000,Metadata!$B$2:$B1000))),P$1,"""")"),"")</f>
        <v/>
      </c>
      <c r="Q56" s="34" t="str">
        <f>IFERROR(__xludf.DUMMYFUNCTION("IF(IF(Q$1="""","""",REGEXMATCH(LOWER($E56),XLOOKUP(Q$1,Metadata!$A$2:$A1000,Metadata!$B$2:$B1000))),Q$1,"""")"),"")</f>
        <v/>
      </c>
      <c r="R56" s="34" t="str">
        <f>IFERROR(__xludf.DUMMYFUNCTION("IF(IF(R$1="""","""",REGEXMATCH(LOWER($E56),XLOOKUP(R$1,Metadata!$A$2:$A1000,Metadata!$B$2:$B1000))),R$1,"""")"),"")</f>
        <v/>
      </c>
      <c r="S56" s="34" t="str">
        <f>IFERROR(__xludf.DUMMYFUNCTION("IF(IF(S$1="""","""",REGEXMATCH(LOWER($E56),XLOOKUP(S$1,Metadata!$A$2:$A1000,Metadata!$B$2:$B1000))),S$1,"""")"),"Control")</f>
        <v>Control</v>
      </c>
      <c r="T56" s="34" t="str">
        <f>IFERROR(__xludf.DUMMYFUNCTION("IF(IF(T$1="""","""",REGEXMATCH(LOWER($E56),XLOOKUP(T$1,Metadata!$A$2:$A1000,Metadata!$B$2:$B1000))),T$1,"""")"),"")</f>
        <v/>
      </c>
      <c r="U56" s="34" t="str">
        <f>IFERROR(__xludf.DUMMYFUNCTION("IF(IF(U$1="""","""",REGEXMATCH(LOWER($E56),XLOOKUP(U$1,Metadata!$A$2:$A1000,Metadata!$B$2:$B1000))),U$1,"""")"),"")</f>
        <v/>
      </c>
      <c r="V56" s="34" t="str">
        <f>IFERROR(__xludf.DUMMYFUNCTION("IF(IF(V$1="""","""",REGEXMATCH(LOWER($E56),XLOOKUP(V$1,Metadata!$A$2:$A1000,Metadata!$B$2:$B1000))),V$1,"""")"),"")</f>
        <v/>
      </c>
      <c r="W56" s="34" t="str">
        <f>IFERROR(__xludf.DUMMYFUNCTION("IF(IF(W$1="""","""",REGEXMATCH(LOWER($E56),XLOOKUP(W$1,Metadata!$A$2:$A1000,Metadata!$B$2:$B1000))),W$1,"""")"),"")</f>
        <v/>
      </c>
      <c r="X56" s="34" t="str">
        <f>IFERROR(__xludf.DUMMYFUNCTION("IF(IF(X$1="""","""",REGEXMATCH(LOWER($E56),XLOOKUP(X$1,Metadata!$A$2:$A1000,Metadata!$B$2:$B1000))),X$1,"""")"),"Ambush")</f>
        <v>Ambush</v>
      </c>
      <c r="Y56" s="34" t="str">
        <f>IFERROR(__xludf.DUMMYFUNCTION("IF(IF(Y$1="""","""",REGEXMATCH(LOWER($E56),XLOOKUP(Y$1,Metadata!$A$2:$A1000,Metadata!$B$2:$B1000))),Y$1,"""")"),"")</f>
        <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I57">XLOOKUP($A57,Cards!$A$2:$A1000,Cards!$B$2:$I1000,"")</f>
        <v>Divine</v>
      </c>
      <c r="C57" s="34">
        <v>1.0</v>
      </c>
      <c r="D57" s="34" t="s">
        <v>327</v>
      </c>
      <c r="E57" s="34"/>
      <c r="F57" s="34" t="s">
        <v>328</v>
      </c>
      <c r="G57" s="34">
        <v>1.0</v>
      </c>
      <c r="H57" s="34" t="s">
        <v>25</v>
      </c>
      <c r="I57" s="34" t="s">
        <v>26</v>
      </c>
      <c r="J57" s="34">
        <f>IFERROR(__xludf.DUMMYFUNCTION("LEN(REGEXREPLACE(XLOOKUP($A57,Cards!$A$2:$A1000,Cards!$H$2:$H1000,""""),"",\s"",""""))"),1.0)</f>
        <v>1</v>
      </c>
      <c r="K57" s="34" t="str">
        <f t="shared" si="1"/>
        <v>               </v>
      </c>
      <c r="L57" s="34" t="str">
        <f>IFERROR(__xludf.DUMMYFUNCTION("IF(IF(L$1="""","""",REGEXMATCH(LOWER($E57),XLOOKUP(L$1,Metadata!$A$2:$A1000,Metadata!$B$2:$B1000))),L$1,"""")"),"")</f>
        <v/>
      </c>
      <c r="M57" s="34" t="str">
        <f>IFERROR(__xludf.DUMMYFUNCTION("IF(IF(M$1="""","""",REGEXMATCH(LOWER($E57),XLOOKUP(M$1,Metadata!$A$2:$A1000,Metadata!$B$2:$B1000))),M$1,"""")"),"")</f>
        <v/>
      </c>
      <c r="N57" s="34" t="str">
        <f>IFERROR(__xludf.DUMMYFUNCTION("IF(IF(N$1="""","""",REGEXMATCH(LOWER($E57),XLOOKUP(N$1,Metadata!$A$2:$A1000,Metadata!$B$2:$B1000))),N$1,"""")"),"")</f>
        <v/>
      </c>
      <c r="O57" s="34" t="str">
        <f>IFERROR(__xludf.DUMMYFUNCTION("IF(IF(O$1="""","""",REGEXMATCH(LOWER($E57),XLOOKUP(O$1,Metadata!$A$2:$A1000,Metadata!$B$2:$B1000))),O$1,"""")"),"")</f>
        <v/>
      </c>
      <c r="P57" s="34" t="str">
        <f>IFERROR(__xludf.DUMMYFUNCTION("IF(IF(P$1="""","""",REGEXMATCH(LOWER($E57),XLOOKUP(P$1,Metadata!$A$2:$A1000,Metadata!$B$2:$B1000))),P$1,"""")"),"")</f>
        <v/>
      </c>
      <c r="Q57" s="34" t="str">
        <f>IFERROR(__xludf.DUMMYFUNCTION("IF(IF(Q$1="""","""",REGEXMATCH(LOWER($E57),XLOOKUP(Q$1,Metadata!$A$2:$A1000,Metadata!$B$2:$B1000))),Q$1,"""")"),"")</f>
        <v/>
      </c>
      <c r="R57" s="34" t="str">
        <f>IFERROR(__xludf.DUMMYFUNCTION("IF(IF(R$1="""","""",REGEXMATCH(LOWER($E57),XLOOKUP(R$1,Metadata!$A$2:$A1000,Metadata!$B$2:$B1000))),R$1,"""")"),"")</f>
        <v/>
      </c>
      <c r="S57" s="34" t="str">
        <f>IFERROR(__xludf.DUMMYFUNCTION("IF(IF(S$1="""","""",REGEXMATCH(LOWER($E57),XLOOKUP(S$1,Metadata!$A$2:$A1000,Metadata!$B$2:$B1000))),S$1,"""")"),"")</f>
        <v/>
      </c>
      <c r="T57" s="34" t="str">
        <f>IFERROR(__xludf.DUMMYFUNCTION("IF(IF(T$1="""","""",REGEXMATCH(LOWER($E57),XLOOKUP(T$1,Metadata!$A$2:$A1000,Metadata!$B$2:$B1000))),T$1,"""")"),"")</f>
        <v/>
      </c>
      <c r="U57" s="34" t="str">
        <f>IFERROR(__xludf.DUMMYFUNCTION("IF(IF(U$1="""","""",REGEXMATCH(LOWER($E57),XLOOKUP(U$1,Metadata!$A$2:$A1000,Metadata!$B$2:$B1000))),U$1,"""")"),"")</f>
        <v/>
      </c>
      <c r="V57" s="34" t="str">
        <f>IFERROR(__xludf.DUMMYFUNCTION("IF(IF(V$1="""","""",REGEXMATCH(LOWER($E57),XLOOKUP(V$1,Metadata!$A$2:$A1000,Metadata!$B$2:$B1000))),V$1,"""")"),"")</f>
        <v/>
      </c>
      <c r="W57" s="34" t="str">
        <f>IFERROR(__xludf.DUMMYFUNCTION("IF(IF(W$1="""","""",REGEXMATCH(LOWER($E57),XLOOKUP(W$1,Metadata!$A$2:$A1000,Metadata!$B$2:$B1000))),W$1,"""")"),"")</f>
        <v/>
      </c>
      <c r="X57" s="34" t="str">
        <f>IFERROR(__xludf.DUMMYFUNCTION("IF(IF(X$1="""","""",REGEXMATCH(LOWER($E57),XLOOKUP(X$1,Metadata!$A$2:$A1000,Metadata!$B$2:$B1000))),X$1,"""")"),"")</f>
        <v/>
      </c>
      <c r="Y57" s="34" t="str">
        <f>IFERROR(__xludf.DUMMYFUNCTION("IF(IF(Y$1="""","""",REGEXMATCH(LOWER($E57),XLOOKUP(Y$1,Metadata!$A$2:$A1000,Metadata!$B$2:$B1000))),Y$1,"""")"),"")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I58">XLOOKUP($A58,Cards!$A$2:$A1000,Cards!$B$2:$I1000,"")</f>
        <v>Divine</v>
      </c>
      <c r="C58" s="34">
        <v>1.0</v>
      </c>
      <c r="D58" s="34" t="s">
        <v>335</v>
      </c>
      <c r="E58" s="34" t="s">
        <v>336</v>
      </c>
      <c r="F58" s="34"/>
      <c r="G58" s="34">
        <v>2.0</v>
      </c>
      <c r="H58" s="34" t="s">
        <v>337</v>
      </c>
      <c r="I58" s="34" t="s">
        <v>32</v>
      </c>
      <c r="J58" s="34">
        <f>IFERROR(__xludf.DUMMYFUNCTION("LEN(REGEXREPLACE(XLOOKUP($A58,Cards!$A$2:$A1000,Cards!$H$2:$H1000,""""),"",\s"",""""))"),4.0)</f>
        <v>4</v>
      </c>
      <c r="K58" s="34" t="str">
        <f t="shared" si="1"/>
        <v>     Unearth  Control     Ambush   </v>
      </c>
      <c r="L58" s="34" t="str">
        <f>IFERROR(__xludf.DUMMYFUNCTION("IF(IF(L$1="""","""",REGEXMATCH(LOWER($E58),XLOOKUP(L$1,Metadata!$A$2:$A1000,Metadata!$B$2:$B1000))),L$1,"""")"),"")</f>
        <v/>
      </c>
      <c r="M58" s="34" t="str">
        <f>IFERROR(__xludf.DUMMYFUNCTION("IF(IF(M$1="""","""",REGEXMATCH(LOWER($E58),XLOOKUP(M$1,Metadata!$A$2:$A1000,Metadata!$B$2:$B1000))),M$1,"""")"),"")</f>
        <v/>
      </c>
      <c r="N58" s="34" t="str">
        <f>IFERROR(__xludf.DUMMYFUNCTION("IF(IF(N$1="""","""",REGEXMATCH(LOWER($E58),XLOOKUP(N$1,Metadata!$A$2:$A1000,Metadata!$B$2:$B1000))),N$1,"""")"),"")</f>
        <v/>
      </c>
      <c r="O58" s="34" t="str">
        <f>IFERROR(__xludf.DUMMYFUNCTION("IF(IF(O$1="""","""",REGEXMATCH(LOWER($E58),XLOOKUP(O$1,Metadata!$A$2:$A1000,Metadata!$B$2:$B1000))),O$1,"""")"),"")</f>
        <v/>
      </c>
      <c r="P58" s="34" t="str">
        <f>IFERROR(__xludf.DUMMYFUNCTION("IF(IF(P$1="""","""",REGEXMATCH(LOWER($E58),XLOOKUP(P$1,Metadata!$A$2:$A1000,Metadata!$B$2:$B1000))),P$1,"""")"),"")</f>
        <v/>
      </c>
      <c r="Q58" s="34" t="str">
        <f>IFERROR(__xludf.DUMMYFUNCTION("IF(IF(Q$1="""","""",REGEXMATCH(LOWER($E58),XLOOKUP(Q$1,Metadata!$A$2:$A1000,Metadata!$B$2:$B1000))),Q$1,"""")"),"Unearth")</f>
        <v>Unearth</v>
      </c>
      <c r="R58" s="34" t="str">
        <f>IFERROR(__xludf.DUMMYFUNCTION("IF(IF(R$1="""","""",REGEXMATCH(LOWER($E58),XLOOKUP(R$1,Metadata!$A$2:$A1000,Metadata!$B$2:$B1000))),R$1,"""")"),"")</f>
        <v/>
      </c>
      <c r="S58" s="34" t="str">
        <f>IFERROR(__xludf.DUMMYFUNCTION("IF(IF(S$1="""","""",REGEXMATCH(LOWER($E58),XLOOKUP(S$1,Metadata!$A$2:$A1000,Metadata!$B$2:$B1000))),S$1,"""")"),"Control")</f>
        <v>Control</v>
      </c>
      <c r="T58" s="34" t="str">
        <f>IFERROR(__xludf.DUMMYFUNCTION("IF(IF(T$1="""","""",REGEXMATCH(LOWER($E58),XLOOKUP(T$1,Metadata!$A$2:$A1000,Metadata!$B$2:$B1000))),T$1,"""")"),"")</f>
        <v/>
      </c>
      <c r="U58" s="34" t="str">
        <f>IFERROR(__xludf.DUMMYFUNCTION("IF(IF(U$1="""","""",REGEXMATCH(LOWER($E58),XLOOKUP(U$1,Metadata!$A$2:$A1000,Metadata!$B$2:$B1000))),U$1,"""")"),"")</f>
        <v/>
      </c>
      <c r="V58" s="34" t="str">
        <f>IFERROR(__xludf.DUMMYFUNCTION("IF(IF(V$1="""","""",REGEXMATCH(LOWER($E58),XLOOKUP(V$1,Metadata!$A$2:$A1000,Metadata!$B$2:$B1000))),V$1,"""")"),"")</f>
        <v/>
      </c>
      <c r="W58" s="34" t="str">
        <f>IFERROR(__xludf.DUMMYFUNCTION("IF(IF(W$1="""","""",REGEXMATCH(LOWER($E58),XLOOKUP(W$1,Metadata!$A$2:$A1000,Metadata!$B$2:$B1000))),W$1,"""")"),"")</f>
        <v/>
      </c>
      <c r="X58" s="34" t="str">
        <f>IFERROR(__xludf.DUMMYFUNCTION("IF(IF(X$1="""","""",REGEXMATCH(LOWER($E58),XLOOKUP(X$1,Metadata!$A$2:$A1000,Metadata!$B$2:$B1000))),X$1,"""")"),"Ambush")</f>
        <v>Ambush</v>
      </c>
      <c r="Y58" s="34" t="str">
        <f>IFERROR(__xludf.DUMMYFUNCTION("IF(IF(Y$1="""","""",REGEXMATCH(LOWER($E58),XLOOKUP(Y$1,Metadata!$A$2:$A1000,Metadata!$B$2:$B1000))),Y$1,"""")"),"")</f>
        <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I59">XLOOKUP($A59,Cards!$A$2:$A1000,Cards!$B$2:$I1000,"")</f>
        <v>Divine</v>
      </c>
      <c r="C59" s="34">
        <v>1.0</v>
      </c>
      <c r="D59" s="34" t="s">
        <v>342</v>
      </c>
      <c r="E59" s="34" t="s">
        <v>343</v>
      </c>
      <c r="F59" s="34"/>
      <c r="G59" s="34">
        <v>3.0</v>
      </c>
      <c r="H59" s="34" t="s">
        <v>53</v>
      </c>
      <c r="I59" s="34" t="s">
        <v>32</v>
      </c>
      <c r="J59" s="34">
        <f>IFERROR(__xludf.DUMMYFUNCTION("LEN(REGEXREPLACE(XLOOKUP($A59,Cards!$A$2:$A1000,Cards!$H$2:$H1000,""""),"",\s"",""""))"),3.0)</f>
        <v>3</v>
      </c>
      <c r="K59" s="34" t="str">
        <f t="shared" si="1"/>
        <v>      Ramp Control     Ambush   </v>
      </c>
      <c r="L59" s="34" t="str">
        <f>IFERROR(__xludf.DUMMYFUNCTION("IF(IF(L$1="""","""",REGEXMATCH(LOWER($E59),XLOOKUP(L$1,Metadata!$A$2:$A1000,Metadata!$B$2:$B1000))),L$1,"""")"),"")</f>
        <v/>
      </c>
      <c r="M59" s="34" t="str">
        <f>IFERROR(__xludf.DUMMYFUNCTION("IF(IF(M$1="""","""",REGEXMATCH(LOWER($E59),XLOOKUP(M$1,Metadata!$A$2:$A1000,Metadata!$B$2:$B1000))),M$1,"""")"),"")</f>
        <v/>
      </c>
      <c r="N59" s="34" t="str">
        <f>IFERROR(__xludf.DUMMYFUNCTION("IF(IF(N$1="""","""",REGEXMATCH(LOWER($E59),XLOOKUP(N$1,Metadata!$A$2:$A1000,Metadata!$B$2:$B1000))),N$1,"""")"),"")</f>
        <v/>
      </c>
      <c r="O59" s="34" t="str">
        <f>IFERROR(__xludf.DUMMYFUNCTION("IF(IF(O$1="""","""",REGEXMATCH(LOWER($E59),XLOOKUP(O$1,Metadata!$A$2:$A1000,Metadata!$B$2:$B1000))),O$1,"""")"),"")</f>
        <v/>
      </c>
      <c r="P59" s="34" t="str">
        <f>IFERROR(__xludf.DUMMYFUNCTION("IF(IF(P$1="""","""",REGEXMATCH(LOWER($E59),XLOOKUP(P$1,Metadata!$A$2:$A1000,Metadata!$B$2:$B1000))),P$1,"""")"),"")</f>
        <v/>
      </c>
      <c r="Q59" s="34" t="str">
        <f>IFERROR(__xludf.DUMMYFUNCTION("IF(IF(Q$1="""","""",REGEXMATCH(LOWER($E59),XLOOKUP(Q$1,Metadata!$A$2:$A1000,Metadata!$B$2:$B1000))),Q$1,"""")"),"")</f>
        <v/>
      </c>
      <c r="R59" s="34" t="str">
        <f>IFERROR(__xludf.DUMMYFUNCTION("IF(IF(R$1="""","""",REGEXMATCH(LOWER($E59),XLOOKUP(R$1,Metadata!$A$2:$A1000,Metadata!$B$2:$B1000))),R$1,"""")"),"Ramp")</f>
        <v>Ramp</v>
      </c>
      <c r="S59" s="34" t="str">
        <f>IFERROR(__xludf.DUMMYFUNCTION("IF(IF(S$1="""","""",REGEXMATCH(LOWER($E59),XLOOKUP(S$1,Metadata!$A$2:$A1000,Metadata!$B$2:$B1000))),S$1,"""")"),"Control")</f>
        <v>Control</v>
      </c>
      <c r="T59" s="34" t="str">
        <f>IFERROR(__xludf.DUMMYFUNCTION("IF(IF(T$1="""","""",REGEXMATCH(LOWER($E59),XLOOKUP(T$1,Metadata!$A$2:$A1000,Metadata!$B$2:$B1000))),T$1,"""")"),"")</f>
        <v/>
      </c>
      <c r="U59" s="34" t="str">
        <f>IFERROR(__xludf.DUMMYFUNCTION("IF(IF(U$1="""","""",REGEXMATCH(LOWER($E59),XLOOKUP(U$1,Metadata!$A$2:$A1000,Metadata!$B$2:$B1000))),U$1,"""")"),"")</f>
        <v/>
      </c>
      <c r="V59" s="34" t="str">
        <f>IFERROR(__xludf.DUMMYFUNCTION("IF(IF(V$1="""","""",REGEXMATCH(LOWER($E59),XLOOKUP(V$1,Metadata!$A$2:$A1000,Metadata!$B$2:$B1000))),V$1,"""")"),"")</f>
        <v/>
      </c>
      <c r="W59" s="34" t="str">
        <f>IFERROR(__xludf.DUMMYFUNCTION("IF(IF(W$1="""","""",REGEXMATCH(LOWER($E59),XLOOKUP(W$1,Metadata!$A$2:$A1000,Metadata!$B$2:$B1000))),W$1,"""")"),"")</f>
        <v/>
      </c>
      <c r="X59" s="34" t="str">
        <f>IFERROR(__xludf.DUMMYFUNCTION("IF(IF(X$1="""","""",REGEXMATCH(LOWER($E59),XLOOKUP(X$1,Metadata!$A$2:$A1000,Metadata!$B$2:$B1000))),X$1,"""")"),"Ambush")</f>
        <v>Ambush</v>
      </c>
      <c r="Y59" s="34" t="str">
        <f>IFERROR(__xludf.DUMMYFUNCTION("IF(IF(Y$1="""","""",REGEXMATCH(LOWER($E59),XLOOKUP(Y$1,Metadata!$A$2:$A1000,Metadata!$B$2:$B1000))),Y$1,"""")"),"")</f>
        <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I60">XLOOKUP($A60,Cards!$A$2:$A1000,Cards!$B$2:$I1000,"")</f>
        <v>Divine Mortal</v>
      </c>
      <c r="C60" s="34">
        <v>2.0</v>
      </c>
      <c r="D60" s="34" t="s">
        <v>155</v>
      </c>
      <c r="E60" s="34" t="s">
        <v>348</v>
      </c>
      <c r="F60" s="34" t="s">
        <v>349</v>
      </c>
      <c r="G60" s="34">
        <v>3.0</v>
      </c>
      <c r="H60" s="34" t="s">
        <v>350</v>
      </c>
      <c r="I60" s="34" t="s">
        <v>70</v>
      </c>
      <c r="J60" s="34">
        <f>IFERROR(__xludf.DUMMYFUNCTION("LEN(REGEXREPLACE(XLOOKUP($A60,Cards!$A$2:$A1000,Cards!$H$2:$H1000,""""),"",\s"",""""))"),4.0)</f>
        <v>4</v>
      </c>
      <c r="K60" s="34" t="str">
        <f t="shared" si="1"/>
        <v>               </v>
      </c>
      <c r="L60" s="34" t="str">
        <f>IFERROR(__xludf.DUMMYFUNCTION("IF(IF(L$1="""","""",REGEXMATCH(LOWER($E60),XLOOKUP(L$1,Metadata!$A$2:$A1000,Metadata!$B$2:$B1000))),L$1,"""")"),"")</f>
        <v/>
      </c>
      <c r="M60" s="34" t="str">
        <f>IFERROR(__xludf.DUMMYFUNCTION("IF(IF(M$1="""","""",REGEXMATCH(LOWER($E60),XLOOKUP(M$1,Metadata!$A$2:$A1000,Metadata!$B$2:$B1000))),M$1,"""")"),"")</f>
        <v/>
      </c>
      <c r="N60" s="34" t="str">
        <f>IFERROR(__xludf.DUMMYFUNCTION("IF(IF(N$1="""","""",REGEXMATCH(LOWER($E60),XLOOKUP(N$1,Metadata!$A$2:$A1000,Metadata!$B$2:$B1000))),N$1,"""")"),"")</f>
        <v/>
      </c>
      <c r="O60" s="34" t="str">
        <f>IFERROR(__xludf.DUMMYFUNCTION("IF(IF(O$1="""","""",REGEXMATCH(LOWER($E60),XLOOKUP(O$1,Metadata!$A$2:$A1000,Metadata!$B$2:$B1000))),O$1,"""")"),"")</f>
        <v/>
      </c>
      <c r="P60" s="34" t="str">
        <f>IFERROR(__xludf.DUMMYFUNCTION("IF(IF(P$1="""","""",REGEXMATCH(LOWER($E60),XLOOKUP(P$1,Metadata!$A$2:$A1000,Metadata!$B$2:$B1000))),P$1,"""")"),"")</f>
        <v/>
      </c>
      <c r="Q60" s="34" t="str">
        <f>IFERROR(__xludf.DUMMYFUNCTION("IF(IF(Q$1="""","""",REGEXMATCH(LOWER($E60),XLOOKUP(Q$1,Metadata!$A$2:$A1000,Metadata!$B$2:$B1000))),Q$1,"""")"),"")</f>
        <v/>
      </c>
      <c r="R60" s="34" t="str">
        <f>IFERROR(__xludf.DUMMYFUNCTION("IF(IF(R$1="""","""",REGEXMATCH(LOWER($E60),XLOOKUP(R$1,Metadata!$A$2:$A1000,Metadata!$B$2:$B1000))),R$1,"""")"),"")</f>
        <v/>
      </c>
      <c r="S60" s="34" t="str">
        <f>IFERROR(__xludf.DUMMYFUNCTION("IF(IF(S$1="""","""",REGEXMATCH(LOWER($E60),XLOOKUP(S$1,Metadata!$A$2:$A1000,Metadata!$B$2:$B1000))),S$1,"""")"),"")</f>
        <v/>
      </c>
      <c r="T60" s="34" t="str">
        <f>IFERROR(__xludf.DUMMYFUNCTION("IF(IF(T$1="""","""",REGEXMATCH(LOWER($E60),XLOOKUP(T$1,Metadata!$A$2:$A1000,Metadata!$B$2:$B1000))),T$1,"""")"),"")</f>
        <v/>
      </c>
      <c r="U60" s="34" t="str">
        <f>IFERROR(__xludf.DUMMYFUNCTION("IF(IF(U$1="""","""",REGEXMATCH(LOWER($E60),XLOOKUP(U$1,Metadata!$A$2:$A1000,Metadata!$B$2:$B1000))),U$1,"""")"),"")</f>
        <v/>
      </c>
      <c r="V60" s="34" t="str">
        <f>IFERROR(__xludf.DUMMYFUNCTION("IF(IF(V$1="""","""",REGEXMATCH(LOWER($E60),XLOOKUP(V$1,Metadata!$A$2:$A1000,Metadata!$B$2:$B1000))),V$1,"""")"),"")</f>
        <v/>
      </c>
      <c r="W60" s="34" t="str">
        <f>IFERROR(__xludf.DUMMYFUNCTION("IF(IF(W$1="""","""",REGEXMATCH(LOWER($E60),XLOOKUP(W$1,Metadata!$A$2:$A1000,Metadata!$B$2:$B1000))),W$1,"""")"),"")</f>
        <v/>
      </c>
      <c r="X60" s="34" t="str">
        <f>IFERROR(__xludf.DUMMYFUNCTION("IF(IF(X$1="""","""",REGEXMATCH(LOWER($E60),XLOOKUP(X$1,Metadata!$A$2:$A1000,Metadata!$B$2:$B1000))),X$1,"""")"),"")</f>
        <v/>
      </c>
      <c r="Y60" s="34" t="str">
        <f>IFERROR(__xludf.DUMMYFUNCTION("IF(IF(Y$1="""","""",REGEXMATCH(LOWER($E60),XLOOKUP(Y$1,Metadata!$A$2:$A1000,Metadata!$B$2:$B1000))),Y$1,"""")"),"")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I61">XLOOKUP($A61,Cards!$A$2:$A1000,Cards!$B$2:$I1000,"")</f>
        <v>Divine Mortal</v>
      </c>
      <c r="C61" s="34">
        <v>2.0</v>
      </c>
      <c r="D61" s="34" t="s">
        <v>28</v>
      </c>
      <c r="E61" s="34" t="s">
        <v>352</v>
      </c>
      <c r="F61" s="34" t="s">
        <v>353</v>
      </c>
      <c r="G61" s="34">
        <v>3.0</v>
      </c>
      <c r="H61" s="34" t="s">
        <v>350</v>
      </c>
      <c r="I61" s="34" t="s">
        <v>70</v>
      </c>
      <c r="J61" s="34">
        <f>IFERROR(__xludf.DUMMYFUNCTION("LEN(REGEXREPLACE(XLOOKUP($A61,Cards!$A$2:$A1000,Cards!$H$2:$H1000,""""),"",\s"",""""))"),4.0)</f>
        <v>4</v>
      </c>
      <c r="K61" s="34" t="str">
        <f t="shared" si="1"/>
        <v>               </v>
      </c>
      <c r="L61" s="34" t="str">
        <f>IFERROR(__xludf.DUMMYFUNCTION("IF(IF(L$1="""","""",REGEXMATCH(LOWER($E61),XLOOKUP(L$1,Metadata!$A$2:$A1000,Metadata!$B$2:$B1000))),L$1,"""")"),"")</f>
        <v/>
      </c>
      <c r="M61" s="34" t="str">
        <f>IFERROR(__xludf.DUMMYFUNCTION("IF(IF(M$1="""","""",REGEXMATCH(LOWER($E61),XLOOKUP(M$1,Metadata!$A$2:$A1000,Metadata!$B$2:$B1000))),M$1,"""")"),"")</f>
        <v/>
      </c>
      <c r="N61" s="34" t="str">
        <f>IFERROR(__xludf.DUMMYFUNCTION("IF(IF(N$1="""","""",REGEXMATCH(LOWER($E61),XLOOKUP(N$1,Metadata!$A$2:$A1000,Metadata!$B$2:$B1000))),N$1,"""")"),"")</f>
        <v/>
      </c>
      <c r="O61" s="34" t="str">
        <f>IFERROR(__xludf.DUMMYFUNCTION("IF(IF(O$1="""","""",REGEXMATCH(LOWER($E61),XLOOKUP(O$1,Metadata!$A$2:$A1000,Metadata!$B$2:$B1000))),O$1,"""")"),"")</f>
        <v/>
      </c>
      <c r="P61" s="34" t="str">
        <f>IFERROR(__xludf.DUMMYFUNCTION("IF(IF(P$1="""","""",REGEXMATCH(LOWER($E61),XLOOKUP(P$1,Metadata!$A$2:$A1000,Metadata!$B$2:$B1000))),P$1,"""")"),"")</f>
        <v/>
      </c>
      <c r="Q61" s="34" t="str">
        <f>IFERROR(__xludf.DUMMYFUNCTION("IF(IF(Q$1="""","""",REGEXMATCH(LOWER($E61),XLOOKUP(Q$1,Metadata!$A$2:$A1000,Metadata!$B$2:$B1000))),Q$1,"""")"),"")</f>
        <v/>
      </c>
      <c r="R61" s="34" t="str">
        <f>IFERROR(__xludf.DUMMYFUNCTION("IF(IF(R$1="""","""",REGEXMATCH(LOWER($E61),XLOOKUP(R$1,Metadata!$A$2:$A1000,Metadata!$B$2:$B1000))),R$1,"""")"),"")</f>
        <v/>
      </c>
      <c r="S61" s="34" t="str">
        <f>IFERROR(__xludf.DUMMYFUNCTION("IF(IF(S$1="""","""",REGEXMATCH(LOWER($E61),XLOOKUP(S$1,Metadata!$A$2:$A1000,Metadata!$B$2:$B1000))),S$1,"""")"),"")</f>
        <v/>
      </c>
      <c r="T61" s="34" t="str">
        <f>IFERROR(__xludf.DUMMYFUNCTION("IF(IF(T$1="""","""",REGEXMATCH(LOWER($E61),XLOOKUP(T$1,Metadata!$A$2:$A1000,Metadata!$B$2:$B1000))),T$1,"""")"),"")</f>
        <v/>
      </c>
      <c r="U61" s="34" t="str">
        <f>IFERROR(__xludf.DUMMYFUNCTION("IF(IF(U$1="""","""",REGEXMATCH(LOWER($E61),XLOOKUP(U$1,Metadata!$A$2:$A1000,Metadata!$B$2:$B1000))),U$1,"""")"),"")</f>
        <v/>
      </c>
      <c r="V61" s="34" t="str">
        <f>IFERROR(__xludf.DUMMYFUNCTION("IF(IF(V$1="""","""",REGEXMATCH(LOWER($E61),XLOOKUP(V$1,Metadata!$A$2:$A1000,Metadata!$B$2:$B1000))),V$1,"""")"),"")</f>
        <v/>
      </c>
      <c r="W61" s="34" t="str">
        <f>IFERROR(__xludf.DUMMYFUNCTION("IF(IF(W$1="""","""",REGEXMATCH(LOWER($E61),XLOOKUP(W$1,Metadata!$A$2:$A1000,Metadata!$B$2:$B1000))),W$1,"""")"),"")</f>
        <v/>
      </c>
      <c r="X61" s="34" t="str">
        <f>IFERROR(__xludf.DUMMYFUNCTION("IF(IF(X$1="""","""",REGEXMATCH(LOWER($E61),XLOOKUP(X$1,Metadata!$A$2:$A1000,Metadata!$B$2:$B1000))),X$1,"""")"),"")</f>
        <v/>
      </c>
      <c r="Y61" s="34" t="str">
        <f>IFERROR(__xludf.DUMMYFUNCTION("IF(IF(Y$1="""","""",REGEXMATCH(LOWER($E61),XLOOKUP(Y$1,Metadata!$A$2:$A1000,Metadata!$B$2:$B1000))),Y$1,"""")"),"")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I62">XLOOKUP($A62,Cards!$A$2:$A1000,Cards!$B$2:$I1000,"")</f>
        <v>Divine Nature</v>
      </c>
      <c r="C62" s="34">
        <v>2.0</v>
      </c>
      <c r="D62" s="34" t="s">
        <v>195</v>
      </c>
      <c r="E62" s="34" t="s">
        <v>356</v>
      </c>
      <c r="F62" s="34" t="s">
        <v>357</v>
      </c>
      <c r="G62" s="34">
        <v>3.0</v>
      </c>
      <c r="H62" s="34" t="s">
        <v>358</v>
      </c>
      <c r="I62" s="34" t="s">
        <v>70</v>
      </c>
      <c r="J62" s="34">
        <f>IFERROR(__xludf.DUMMYFUNCTION("LEN(REGEXREPLACE(XLOOKUP($A62,Cards!$A$2:$A1000,Cards!$H$2:$H1000,""""),"",\s"",""""))"),3.0)</f>
        <v>3</v>
      </c>
      <c r="K62" s="34" t="str">
        <f t="shared" si="1"/>
        <v>               </v>
      </c>
      <c r="L62" s="34" t="str">
        <f>IFERROR(__xludf.DUMMYFUNCTION("IF(IF(L$1="""","""",REGEXMATCH(LOWER($E62),XLOOKUP(L$1,Metadata!$A$2:$A1000,Metadata!$B$2:$B1000))),L$1,"""")"),"")</f>
        <v/>
      </c>
      <c r="M62" s="34" t="str">
        <f>IFERROR(__xludf.DUMMYFUNCTION("IF(IF(M$1="""","""",REGEXMATCH(LOWER($E62),XLOOKUP(M$1,Metadata!$A$2:$A1000,Metadata!$B$2:$B1000))),M$1,"""")"),"")</f>
        <v/>
      </c>
      <c r="N62" s="34" t="str">
        <f>IFERROR(__xludf.DUMMYFUNCTION("IF(IF(N$1="""","""",REGEXMATCH(LOWER($E62),XLOOKUP(N$1,Metadata!$A$2:$A1000,Metadata!$B$2:$B1000))),N$1,"""")"),"")</f>
        <v/>
      </c>
      <c r="O62" s="34" t="str">
        <f>IFERROR(__xludf.DUMMYFUNCTION("IF(IF(O$1="""","""",REGEXMATCH(LOWER($E62),XLOOKUP(O$1,Metadata!$A$2:$A1000,Metadata!$B$2:$B1000))),O$1,"""")"),"")</f>
        <v/>
      </c>
      <c r="P62" s="34" t="str">
        <f>IFERROR(__xludf.DUMMYFUNCTION("IF(IF(P$1="""","""",REGEXMATCH(LOWER($E62),XLOOKUP(P$1,Metadata!$A$2:$A1000,Metadata!$B$2:$B1000))),P$1,"""")"),"")</f>
        <v/>
      </c>
      <c r="Q62" s="34" t="str">
        <f>IFERROR(__xludf.DUMMYFUNCTION("IF(IF(Q$1="""","""",REGEXMATCH(LOWER($E62),XLOOKUP(Q$1,Metadata!$A$2:$A1000,Metadata!$B$2:$B1000))),Q$1,"""")"),"")</f>
        <v/>
      </c>
      <c r="R62" s="34" t="str">
        <f>IFERROR(__xludf.DUMMYFUNCTION("IF(IF(R$1="""","""",REGEXMATCH(LOWER($E62),XLOOKUP(R$1,Metadata!$A$2:$A1000,Metadata!$B$2:$B1000))),R$1,"""")"),"")</f>
        <v/>
      </c>
      <c r="S62" s="34" t="str">
        <f>IFERROR(__xludf.DUMMYFUNCTION("IF(IF(S$1="""","""",REGEXMATCH(LOWER($E62),XLOOKUP(S$1,Metadata!$A$2:$A1000,Metadata!$B$2:$B1000))),S$1,"""")"),"")</f>
        <v/>
      </c>
      <c r="T62" s="34" t="str">
        <f>IFERROR(__xludf.DUMMYFUNCTION("IF(IF(T$1="""","""",REGEXMATCH(LOWER($E62),XLOOKUP(T$1,Metadata!$A$2:$A1000,Metadata!$B$2:$B1000))),T$1,"""")"),"")</f>
        <v/>
      </c>
      <c r="U62" s="34" t="str">
        <f>IFERROR(__xludf.DUMMYFUNCTION("IF(IF(U$1="""","""",REGEXMATCH(LOWER($E62),XLOOKUP(U$1,Metadata!$A$2:$A1000,Metadata!$B$2:$B1000))),U$1,"""")"),"")</f>
        <v/>
      </c>
      <c r="V62" s="34" t="str">
        <f>IFERROR(__xludf.DUMMYFUNCTION("IF(IF(V$1="""","""",REGEXMATCH(LOWER($E62),XLOOKUP(V$1,Metadata!$A$2:$A1000,Metadata!$B$2:$B1000))),V$1,"""")"),"")</f>
        <v/>
      </c>
      <c r="W62" s="34" t="str">
        <f>IFERROR(__xludf.DUMMYFUNCTION("IF(IF(W$1="""","""",REGEXMATCH(LOWER($E62),XLOOKUP(W$1,Metadata!$A$2:$A1000,Metadata!$B$2:$B1000))),W$1,"""")"),"")</f>
        <v/>
      </c>
      <c r="X62" s="34" t="str">
        <f>IFERROR(__xludf.DUMMYFUNCTION("IF(IF(X$1="""","""",REGEXMATCH(LOWER($E62),XLOOKUP(X$1,Metadata!$A$2:$A1000,Metadata!$B$2:$B1000))),X$1,"""")"),"")</f>
        <v/>
      </c>
      <c r="Y62" s="34" t="str">
        <f>IFERROR(__xludf.DUMMYFUNCTION("IF(IF(Y$1="""","""",REGEXMATCH(LOWER($E62),XLOOKUP(Y$1,Metadata!$A$2:$A1000,Metadata!$B$2:$B1000))),Y$1,"""")"),"")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I63">XLOOKUP($A63,Cards!$A$2:$A1000,Cards!$B$2:$I1000,"")</f>
        <v>Divine Nature</v>
      </c>
      <c r="C63" s="34">
        <v>2.0</v>
      </c>
      <c r="D63" s="34" t="s">
        <v>360</v>
      </c>
      <c r="E63" s="34" t="s">
        <v>361</v>
      </c>
      <c r="F63" s="34" t="s">
        <v>362</v>
      </c>
      <c r="G63" s="34">
        <v>6.0</v>
      </c>
      <c r="H63" s="34" t="s">
        <v>363</v>
      </c>
      <c r="I63" s="34" t="s">
        <v>32</v>
      </c>
      <c r="J63" s="34">
        <f>IFERROR(__xludf.DUMMYFUNCTION("LEN(REGEXREPLACE(XLOOKUP($A63,Cards!$A$2:$A1000,Cards!$H$2:$H1000,""""),"",\s"",""""))"),6.0)</f>
        <v>6</v>
      </c>
      <c r="K63" s="34" t="str">
        <f t="shared" si="1"/>
        <v>               </v>
      </c>
      <c r="L63" s="34" t="str">
        <f>IFERROR(__xludf.DUMMYFUNCTION("IF(IF(L$1="""","""",REGEXMATCH(LOWER($E63),XLOOKUP(L$1,Metadata!$A$2:$A1000,Metadata!$B$2:$B1000))),L$1,"""")"),"")</f>
        <v/>
      </c>
      <c r="M63" s="34" t="str">
        <f>IFERROR(__xludf.DUMMYFUNCTION("IF(IF(M$1="""","""",REGEXMATCH(LOWER($E63),XLOOKUP(M$1,Metadata!$A$2:$A1000,Metadata!$B$2:$B1000))),M$1,"""")"),"")</f>
        <v/>
      </c>
      <c r="N63" s="34" t="str">
        <f>IFERROR(__xludf.DUMMYFUNCTION("IF(IF(N$1="""","""",REGEXMATCH(LOWER($E63),XLOOKUP(N$1,Metadata!$A$2:$A1000,Metadata!$B$2:$B1000))),N$1,"""")"),"")</f>
        <v/>
      </c>
      <c r="O63" s="34" t="str">
        <f>IFERROR(__xludf.DUMMYFUNCTION("IF(IF(O$1="""","""",REGEXMATCH(LOWER($E63),XLOOKUP(O$1,Metadata!$A$2:$A1000,Metadata!$B$2:$B1000))),O$1,"""")"),"")</f>
        <v/>
      </c>
      <c r="P63" s="34" t="str">
        <f>IFERROR(__xludf.DUMMYFUNCTION("IF(IF(P$1="""","""",REGEXMATCH(LOWER($E63),XLOOKUP(P$1,Metadata!$A$2:$A1000,Metadata!$B$2:$B1000))),P$1,"""")"),"")</f>
        <v/>
      </c>
      <c r="Q63" s="34" t="str">
        <f>IFERROR(__xludf.DUMMYFUNCTION("IF(IF(Q$1="""","""",REGEXMATCH(LOWER($E63),XLOOKUP(Q$1,Metadata!$A$2:$A1000,Metadata!$B$2:$B1000))),Q$1,"""")"),"")</f>
        <v/>
      </c>
      <c r="R63" s="34" t="str">
        <f>IFERROR(__xludf.DUMMYFUNCTION("IF(IF(R$1="""","""",REGEXMATCH(LOWER($E63),XLOOKUP(R$1,Metadata!$A$2:$A1000,Metadata!$B$2:$B1000))),R$1,"""")"),"")</f>
        <v/>
      </c>
      <c r="S63" s="34" t="str">
        <f>IFERROR(__xludf.DUMMYFUNCTION("IF(IF(S$1="""","""",REGEXMATCH(LOWER($E63),XLOOKUP(S$1,Metadata!$A$2:$A1000,Metadata!$B$2:$B1000))),S$1,"""")"),"")</f>
        <v/>
      </c>
      <c r="T63" s="34" t="str">
        <f>IFERROR(__xludf.DUMMYFUNCTION("IF(IF(T$1="""","""",REGEXMATCH(LOWER($E63),XLOOKUP(T$1,Metadata!$A$2:$A1000,Metadata!$B$2:$B1000))),T$1,"""")"),"")</f>
        <v/>
      </c>
      <c r="U63" s="34" t="str">
        <f>IFERROR(__xludf.DUMMYFUNCTION("IF(IF(U$1="""","""",REGEXMATCH(LOWER($E63),XLOOKUP(U$1,Metadata!$A$2:$A1000,Metadata!$B$2:$B1000))),U$1,"""")"),"")</f>
        <v/>
      </c>
      <c r="V63" s="34" t="str">
        <f>IFERROR(__xludf.DUMMYFUNCTION("IF(IF(V$1="""","""",REGEXMATCH(LOWER($E63),XLOOKUP(V$1,Metadata!$A$2:$A1000,Metadata!$B$2:$B1000))),V$1,"""")"),"")</f>
        <v/>
      </c>
      <c r="W63" s="34" t="str">
        <f>IFERROR(__xludf.DUMMYFUNCTION("IF(IF(W$1="""","""",REGEXMATCH(LOWER($E63),XLOOKUP(W$1,Metadata!$A$2:$A1000,Metadata!$B$2:$B1000))),W$1,"""")"),"")</f>
        <v/>
      </c>
      <c r="X63" s="34" t="str">
        <f>IFERROR(__xludf.DUMMYFUNCTION("IF(IF(X$1="""","""",REGEXMATCH(LOWER($E63),XLOOKUP(X$1,Metadata!$A$2:$A1000,Metadata!$B$2:$B1000))),X$1,"""")"),"")</f>
        <v/>
      </c>
      <c r="Y63" s="34" t="str">
        <f>IFERROR(__xludf.DUMMYFUNCTION("IF(IF(Y$1="""","""",REGEXMATCH(LOWER($E63),XLOOKUP(Y$1,Metadata!$A$2:$A1000,Metadata!$B$2:$B1000))),Y$1,"""")"),"")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I64">XLOOKUP($A64,Cards!$A$2:$A1000,Cards!$B$2:$I1000,"")</f>
        <v>Divine</v>
      </c>
      <c r="C64" s="34">
        <v>1.0</v>
      </c>
      <c r="D64" s="34" t="s">
        <v>96</v>
      </c>
      <c r="E64" s="34" t="s">
        <v>365</v>
      </c>
      <c r="F64" s="34"/>
      <c r="G64" s="34">
        <v>2.0</v>
      </c>
      <c r="H64" s="34" t="s">
        <v>366</v>
      </c>
      <c r="I64" s="34" t="s">
        <v>26</v>
      </c>
      <c r="J64" s="34">
        <f>IFERROR(__xludf.DUMMYFUNCTION("LEN(REGEXREPLACE(XLOOKUP($A64,Cards!$A$2:$A1000,Cards!$H$2:$H1000,""""),"",\s"",""""))"),2.0)</f>
        <v>2</v>
      </c>
      <c r="K64" s="34" t="str">
        <f t="shared" si="1"/>
        <v>               </v>
      </c>
      <c r="L64" s="34" t="str">
        <f>IFERROR(__xludf.DUMMYFUNCTION("IF(IF(L$1="""","""",REGEXMATCH(LOWER($E64),XLOOKUP(L$1,Metadata!$A$2:$A1000,Metadata!$B$2:$B1000))),L$1,"""")"),"")</f>
        <v/>
      </c>
      <c r="M64" s="34" t="str">
        <f>IFERROR(__xludf.DUMMYFUNCTION("IF(IF(M$1="""","""",REGEXMATCH(LOWER($E64),XLOOKUP(M$1,Metadata!$A$2:$A1000,Metadata!$B$2:$B1000))),M$1,"""")"),"")</f>
        <v/>
      </c>
      <c r="N64" s="34" t="str">
        <f>IFERROR(__xludf.DUMMYFUNCTION("IF(IF(N$1="""","""",REGEXMATCH(LOWER($E64),XLOOKUP(N$1,Metadata!$A$2:$A1000,Metadata!$B$2:$B1000))),N$1,"""")"),"")</f>
        <v/>
      </c>
      <c r="O64" s="34" t="str">
        <f>IFERROR(__xludf.DUMMYFUNCTION("IF(IF(O$1="""","""",REGEXMATCH(LOWER($E64),XLOOKUP(O$1,Metadata!$A$2:$A1000,Metadata!$B$2:$B1000))),O$1,"""")"),"")</f>
        <v/>
      </c>
      <c r="P64" s="34" t="str">
        <f>IFERROR(__xludf.DUMMYFUNCTION("IF(IF(P$1="""","""",REGEXMATCH(LOWER($E64),XLOOKUP(P$1,Metadata!$A$2:$A1000,Metadata!$B$2:$B1000))),P$1,"""")"),"")</f>
        <v/>
      </c>
      <c r="Q64" s="34" t="str">
        <f>IFERROR(__xludf.DUMMYFUNCTION("IF(IF(Q$1="""","""",REGEXMATCH(LOWER($E64),XLOOKUP(Q$1,Metadata!$A$2:$A1000,Metadata!$B$2:$B1000))),Q$1,"""")"),"")</f>
        <v/>
      </c>
      <c r="R64" s="34" t="str">
        <f>IFERROR(__xludf.DUMMYFUNCTION("IF(IF(R$1="""","""",REGEXMATCH(LOWER($E64),XLOOKUP(R$1,Metadata!$A$2:$A1000,Metadata!$B$2:$B1000))),R$1,"""")"),"")</f>
        <v/>
      </c>
      <c r="S64" s="34" t="str">
        <f>IFERROR(__xludf.DUMMYFUNCTION("IF(IF(S$1="""","""",REGEXMATCH(LOWER($E64),XLOOKUP(S$1,Metadata!$A$2:$A1000,Metadata!$B$2:$B1000))),S$1,"""")"),"")</f>
        <v/>
      </c>
      <c r="T64" s="34" t="str">
        <f>IFERROR(__xludf.DUMMYFUNCTION("IF(IF(T$1="""","""",REGEXMATCH(LOWER($E64),XLOOKUP(T$1,Metadata!$A$2:$A1000,Metadata!$B$2:$B1000))),T$1,"""")"),"")</f>
        <v/>
      </c>
      <c r="U64" s="34" t="str">
        <f>IFERROR(__xludf.DUMMYFUNCTION("IF(IF(U$1="""","""",REGEXMATCH(LOWER($E64),XLOOKUP(U$1,Metadata!$A$2:$A1000,Metadata!$B$2:$B1000))),U$1,"""")"),"")</f>
        <v/>
      </c>
      <c r="V64" s="34" t="str">
        <f>IFERROR(__xludf.DUMMYFUNCTION("IF(IF(V$1="""","""",REGEXMATCH(LOWER($E64),XLOOKUP(V$1,Metadata!$A$2:$A1000,Metadata!$B$2:$B1000))),V$1,"""")"),"")</f>
        <v/>
      </c>
      <c r="W64" s="34" t="str">
        <f>IFERROR(__xludf.DUMMYFUNCTION("IF(IF(W$1="""","""",REGEXMATCH(LOWER($E64),XLOOKUP(W$1,Metadata!$A$2:$A1000,Metadata!$B$2:$B1000))),W$1,"""")"),"")</f>
        <v/>
      </c>
      <c r="X64" s="34" t="str">
        <f>IFERROR(__xludf.DUMMYFUNCTION("IF(IF(X$1="""","""",REGEXMATCH(LOWER($E64),XLOOKUP(X$1,Metadata!$A$2:$A1000,Metadata!$B$2:$B1000))),X$1,"""")"),"")</f>
        <v/>
      </c>
      <c r="Y64" s="34" t="str">
        <f>IFERROR(__xludf.DUMMYFUNCTION("IF(IF(Y$1="""","""",REGEXMATCH(LOWER($E64),XLOOKUP(Y$1,Metadata!$A$2:$A1000,Metadata!$B$2:$B1000))),Y$1,"""")"),"")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I65">XLOOKUP($A65,Cards!$A$2:$A1000,Cards!$B$2:$I1000,"")</f>
        <v>Divine Nature</v>
      </c>
      <c r="C65" s="34">
        <v>2.0</v>
      </c>
      <c r="D65" s="34" t="s">
        <v>372</v>
      </c>
      <c r="E65" s="34" t="s">
        <v>373</v>
      </c>
      <c r="F65" s="34" t="s">
        <v>374</v>
      </c>
      <c r="G65" s="34">
        <v>4.0</v>
      </c>
      <c r="H65" s="34" t="s">
        <v>375</v>
      </c>
      <c r="I65" s="34" t="s">
        <v>70</v>
      </c>
      <c r="J65" s="34">
        <f>IFERROR(__xludf.DUMMYFUNCTION("LEN(REGEXREPLACE(XLOOKUP($A65,Cards!$A$2:$A1000,Cards!$H$2:$H1000,""""),"",\s"",""""))"),5.0)</f>
        <v>5</v>
      </c>
      <c r="K65" s="34" t="str">
        <f t="shared" si="1"/>
        <v>      Ramp Control   Empty-Crystal  Ambush   </v>
      </c>
      <c r="L65" s="34" t="str">
        <f>IFERROR(__xludf.DUMMYFUNCTION("IF(IF(L$1="""","""",REGEXMATCH(LOWER($E65),XLOOKUP(L$1,Metadata!$A$2:$A1000,Metadata!$B$2:$B1000))),L$1,"""")"),"")</f>
        <v/>
      </c>
      <c r="M65" s="34" t="str">
        <f>IFERROR(__xludf.DUMMYFUNCTION("IF(IF(M$1="""","""",REGEXMATCH(LOWER($E65),XLOOKUP(M$1,Metadata!$A$2:$A1000,Metadata!$B$2:$B1000))),M$1,"""")"),"")</f>
        <v/>
      </c>
      <c r="N65" s="34" t="str">
        <f>IFERROR(__xludf.DUMMYFUNCTION("IF(IF(N$1="""","""",REGEXMATCH(LOWER($E65),XLOOKUP(N$1,Metadata!$A$2:$A1000,Metadata!$B$2:$B1000))),N$1,"""")"),"")</f>
        <v/>
      </c>
      <c r="O65" s="34" t="str">
        <f>IFERROR(__xludf.DUMMYFUNCTION("IF(IF(O$1="""","""",REGEXMATCH(LOWER($E65),XLOOKUP(O$1,Metadata!$A$2:$A1000,Metadata!$B$2:$B1000))),O$1,"""")"),"")</f>
        <v/>
      </c>
      <c r="P65" s="34" t="str">
        <f>IFERROR(__xludf.DUMMYFUNCTION("IF(IF(P$1="""","""",REGEXMATCH(LOWER($E65),XLOOKUP(P$1,Metadata!$A$2:$A1000,Metadata!$B$2:$B1000))),P$1,"""")"),"")</f>
        <v/>
      </c>
      <c r="Q65" s="34" t="str">
        <f>IFERROR(__xludf.DUMMYFUNCTION("IF(IF(Q$1="""","""",REGEXMATCH(LOWER($E65),XLOOKUP(Q$1,Metadata!$A$2:$A1000,Metadata!$B$2:$B1000))),Q$1,"""")"),"")</f>
        <v/>
      </c>
      <c r="R65" s="34" t="str">
        <f>IFERROR(__xludf.DUMMYFUNCTION("IF(IF(R$1="""","""",REGEXMATCH(LOWER($E65),XLOOKUP(R$1,Metadata!$A$2:$A1000,Metadata!$B$2:$B1000))),R$1,"""")"),"Ramp")</f>
        <v>Ramp</v>
      </c>
      <c r="S65" s="34" t="str">
        <f>IFERROR(__xludf.DUMMYFUNCTION("IF(IF(S$1="""","""",REGEXMATCH(LOWER($E65),XLOOKUP(S$1,Metadata!$A$2:$A1000,Metadata!$B$2:$B1000))),S$1,"""")"),"Control")</f>
        <v>Control</v>
      </c>
      <c r="T65" s="34" t="str">
        <f>IFERROR(__xludf.DUMMYFUNCTION("IF(IF(T$1="""","""",REGEXMATCH(LOWER($E65),XLOOKUP(T$1,Metadata!$A$2:$A1000,Metadata!$B$2:$B1000))),T$1,"""")"),"")</f>
        <v/>
      </c>
      <c r="U65" s="34" t="str">
        <f>IFERROR(__xludf.DUMMYFUNCTION("IF(IF(U$1="""","""",REGEXMATCH(LOWER($E65),XLOOKUP(U$1,Metadata!$A$2:$A1000,Metadata!$B$2:$B1000))),U$1,"""")"),"")</f>
        <v/>
      </c>
      <c r="V65" s="34" t="str">
        <f>IFERROR(__xludf.DUMMYFUNCTION("IF(IF(V$1="""","""",REGEXMATCH(LOWER($E65),XLOOKUP(V$1,Metadata!$A$2:$A1000,Metadata!$B$2:$B1000))),V$1,"""")"),"Empty-Crystal")</f>
        <v>Empty-Crystal</v>
      </c>
      <c r="W65" s="34" t="str">
        <f>IFERROR(__xludf.DUMMYFUNCTION("IF(IF(W$1="""","""",REGEXMATCH(LOWER($E65),XLOOKUP(W$1,Metadata!$A$2:$A1000,Metadata!$B$2:$B1000))),W$1,"""")"),"")</f>
        <v/>
      </c>
      <c r="X65" s="34" t="str">
        <f>IFERROR(__xludf.DUMMYFUNCTION("IF(IF(X$1="""","""",REGEXMATCH(LOWER($E65),XLOOKUP(X$1,Metadata!$A$2:$A1000,Metadata!$B$2:$B1000))),X$1,"""")"),"Ambush")</f>
        <v>Ambush</v>
      </c>
      <c r="Y65" s="34" t="str">
        <f>IFERROR(__xludf.DUMMYFUNCTION("IF(IF(Y$1="""","""",REGEXMATCH(LOWER($E65),XLOOKUP(Y$1,Metadata!$A$2:$A1000,Metadata!$B$2:$B1000))),Y$1,"""")"),"")</f>
        <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I66">XLOOKUP($A66,Cards!$A$2:$A1000,Cards!$B$2:$I1000,"")</f>
        <v>Divine Elemental</v>
      </c>
      <c r="C66" s="34">
        <v>1.0</v>
      </c>
      <c r="D66" s="34" t="s">
        <v>238</v>
      </c>
      <c r="E66" s="34" t="s">
        <v>377</v>
      </c>
      <c r="F66" s="34" t="s">
        <v>378</v>
      </c>
      <c r="G66" s="34">
        <v>2.0</v>
      </c>
      <c r="H66" s="34" t="s">
        <v>379</v>
      </c>
      <c r="I66" s="34" t="s">
        <v>70</v>
      </c>
      <c r="J66" s="34">
        <f>IFERROR(__xludf.DUMMYFUNCTION("LEN(REGEXREPLACE(XLOOKUP($A66,Cards!$A$2:$A1000,Cards!$H$2:$H1000,""""),"",\s"",""""))"),2.0)</f>
        <v>2</v>
      </c>
      <c r="K66" s="34" t="str">
        <f t="shared" si="1"/>
        <v>       Control     Ambush   </v>
      </c>
      <c r="L66" s="34" t="str">
        <f>IFERROR(__xludf.DUMMYFUNCTION("IF(IF(L$1="""","""",REGEXMATCH(LOWER($E66),XLOOKUP(L$1,Metadata!$A$2:$A1000,Metadata!$B$2:$B1000))),L$1,"""")"),"")</f>
        <v/>
      </c>
      <c r="M66" s="34" t="str">
        <f>IFERROR(__xludf.DUMMYFUNCTION("IF(IF(M$1="""","""",REGEXMATCH(LOWER($E66),XLOOKUP(M$1,Metadata!$A$2:$A1000,Metadata!$B$2:$B1000))),M$1,"""")"),"")</f>
        <v/>
      </c>
      <c r="N66" s="34" t="str">
        <f>IFERROR(__xludf.DUMMYFUNCTION("IF(IF(N$1="""","""",REGEXMATCH(LOWER($E66),XLOOKUP(N$1,Metadata!$A$2:$A1000,Metadata!$B$2:$B1000))),N$1,"""")"),"")</f>
        <v/>
      </c>
      <c r="O66" s="34" t="str">
        <f>IFERROR(__xludf.DUMMYFUNCTION("IF(IF(O$1="""","""",REGEXMATCH(LOWER($E66),XLOOKUP(O$1,Metadata!$A$2:$A1000,Metadata!$B$2:$B1000))),O$1,"""")"),"")</f>
        <v/>
      </c>
      <c r="P66" s="34" t="str">
        <f>IFERROR(__xludf.DUMMYFUNCTION("IF(IF(P$1="""","""",REGEXMATCH(LOWER($E66),XLOOKUP(P$1,Metadata!$A$2:$A1000,Metadata!$B$2:$B1000))),P$1,"""")"),"")</f>
        <v/>
      </c>
      <c r="Q66" s="34" t="str">
        <f>IFERROR(__xludf.DUMMYFUNCTION("IF(IF(Q$1="""","""",REGEXMATCH(LOWER($E66),XLOOKUP(Q$1,Metadata!$A$2:$A1000,Metadata!$B$2:$B1000))),Q$1,"""")"),"")</f>
        <v/>
      </c>
      <c r="R66" s="34" t="str">
        <f>IFERROR(__xludf.DUMMYFUNCTION("IF(IF(R$1="""","""",REGEXMATCH(LOWER($E66),XLOOKUP(R$1,Metadata!$A$2:$A1000,Metadata!$B$2:$B1000))),R$1,"""")"),"")</f>
        <v/>
      </c>
      <c r="S66" s="34" t="str">
        <f>IFERROR(__xludf.DUMMYFUNCTION("IF(IF(S$1="""","""",REGEXMATCH(LOWER($E66),XLOOKUP(S$1,Metadata!$A$2:$A1000,Metadata!$B$2:$B1000))),S$1,"""")"),"Control")</f>
        <v>Control</v>
      </c>
      <c r="T66" s="34" t="str">
        <f>IFERROR(__xludf.DUMMYFUNCTION("IF(IF(T$1="""","""",REGEXMATCH(LOWER($E66),XLOOKUP(T$1,Metadata!$A$2:$A1000,Metadata!$B$2:$B1000))),T$1,"""")"),"")</f>
        <v/>
      </c>
      <c r="U66" s="34" t="str">
        <f>IFERROR(__xludf.DUMMYFUNCTION("IF(IF(U$1="""","""",REGEXMATCH(LOWER($E66),XLOOKUP(U$1,Metadata!$A$2:$A1000,Metadata!$B$2:$B1000))),U$1,"""")"),"")</f>
        <v/>
      </c>
      <c r="V66" s="34" t="str">
        <f>IFERROR(__xludf.DUMMYFUNCTION("IF(IF(V$1="""","""",REGEXMATCH(LOWER($E66),XLOOKUP(V$1,Metadata!$A$2:$A1000,Metadata!$B$2:$B1000))),V$1,"""")"),"")</f>
        <v/>
      </c>
      <c r="W66" s="34" t="str">
        <f>IFERROR(__xludf.DUMMYFUNCTION("IF(IF(W$1="""","""",REGEXMATCH(LOWER($E66),XLOOKUP(W$1,Metadata!$A$2:$A1000,Metadata!$B$2:$B1000))),W$1,"""")"),"")</f>
        <v/>
      </c>
      <c r="X66" s="34" t="str">
        <f>IFERROR(__xludf.DUMMYFUNCTION("IF(IF(X$1="""","""",REGEXMATCH(LOWER($E66),XLOOKUP(X$1,Metadata!$A$2:$A1000,Metadata!$B$2:$B1000))),X$1,"""")"),"Ambush")</f>
        <v>Ambush</v>
      </c>
      <c r="Y66" s="34" t="str">
        <f>IFERROR(__xludf.DUMMYFUNCTION("IF(IF(Y$1="""","""",REGEXMATCH(LOWER($E66),XLOOKUP(Y$1,Metadata!$A$2:$A1000,Metadata!$B$2:$B1000))),Y$1,"""")"),"")</f>
        <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I67">XLOOKUP($A67,Cards!$A$2:$A1000,Cards!$B$2:$I1000,"")</f>
        <v>Divine Nature</v>
      </c>
      <c r="C67" s="34">
        <v>2.0</v>
      </c>
      <c r="D67" s="34" t="s">
        <v>383</v>
      </c>
      <c r="E67" s="34" t="s">
        <v>384</v>
      </c>
      <c r="F67" s="34" t="s">
        <v>24</v>
      </c>
      <c r="G67" s="34">
        <v>5.0</v>
      </c>
      <c r="H67" s="34" t="s">
        <v>385</v>
      </c>
      <c r="I67" s="34" t="s">
        <v>32</v>
      </c>
      <c r="J67" s="34">
        <f>IFERROR(__xludf.DUMMYFUNCTION("LEN(REGEXREPLACE(XLOOKUP($A67,Cards!$A$2:$A1000,Cards!$H$2:$H1000,""""),"",\s"",""""))"),6.0)</f>
        <v>6</v>
      </c>
      <c r="K67" s="34" t="str">
        <f t="shared" si="1"/>
        <v>      Ramp         </v>
      </c>
      <c r="L67" s="34" t="str">
        <f>IFERROR(__xludf.DUMMYFUNCTION("IF(IF(L$1="""","""",REGEXMATCH(LOWER($E67),XLOOKUP(L$1,Metadata!$A$2:$A1000,Metadata!$B$2:$B1000))),L$1,"""")"),"")</f>
        <v/>
      </c>
      <c r="M67" s="34" t="str">
        <f>IFERROR(__xludf.DUMMYFUNCTION("IF(IF(M$1="""","""",REGEXMATCH(LOWER($E67),XLOOKUP(M$1,Metadata!$A$2:$A1000,Metadata!$B$2:$B1000))),M$1,"""")"),"")</f>
        <v/>
      </c>
      <c r="N67" s="34" t="str">
        <f>IFERROR(__xludf.DUMMYFUNCTION("IF(IF(N$1="""","""",REGEXMATCH(LOWER($E67),XLOOKUP(N$1,Metadata!$A$2:$A1000,Metadata!$B$2:$B1000))),N$1,"""")"),"")</f>
        <v/>
      </c>
      <c r="O67" s="34" t="str">
        <f>IFERROR(__xludf.DUMMYFUNCTION("IF(IF(O$1="""","""",REGEXMATCH(LOWER($E67),XLOOKUP(O$1,Metadata!$A$2:$A1000,Metadata!$B$2:$B1000))),O$1,"""")"),"")</f>
        <v/>
      </c>
      <c r="P67" s="34" t="str">
        <f>IFERROR(__xludf.DUMMYFUNCTION("IF(IF(P$1="""","""",REGEXMATCH(LOWER($E67),XLOOKUP(P$1,Metadata!$A$2:$A1000,Metadata!$B$2:$B1000))),P$1,"""")"),"")</f>
        <v/>
      </c>
      <c r="Q67" s="34" t="str">
        <f>IFERROR(__xludf.DUMMYFUNCTION("IF(IF(Q$1="""","""",REGEXMATCH(LOWER($E67),XLOOKUP(Q$1,Metadata!$A$2:$A1000,Metadata!$B$2:$B1000))),Q$1,"""")"),"")</f>
        <v/>
      </c>
      <c r="R67" s="34" t="str">
        <f>IFERROR(__xludf.DUMMYFUNCTION("IF(IF(R$1="""","""",REGEXMATCH(LOWER($E67),XLOOKUP(R$1,Metadata!$A$2:$A1000,Metadata!$B$2:$B1000))),R$1,"""")"),"Ramp")</f>
        <v>Ramp</v>
      </c>
      <c r="S67" s="34" t="str">
        <f>IFERROR(__xludf.DUMMYFUNCTION("IF(IF(S$1="""","""",REGEXMATCH(LOWER($E67),XLOOKUP(S$1,Metadata!$A$2:$A1000,Metadata!$B$2:$B1000))),S$1,"""")"),"")</f>
        <v/>
      </c>
      <c r="T67" s="34" t="str">
        <f>IFERROR(__xludf.DUMMYFUNCTION("IF(IF(T$1="""","""",REGEXMATCH(LOWER($E67),XLOOKUP(T$1,Metadata!$A$2:$A1000,Metadata!$B$2:$B1000))),T$1,"""")"),"")</f>
        <v/>
      </c>
      <c r="U67" s="34" t="str">
        <f>IFERROR(__xludf.DUMMYFUNCTION("IF(IF(U$1="""","""",REGEXMATCH(LOWER($E67),XLOOKUP(U$1,Metadata!$A$2:$A1000,Metadata!$B$2:$B1000))),U$1,"""")"),"")</f>
        <v/>
      </c>
      <c r="V67" s="34" t="str">
        <f>IFERROR(__xludf.DUMMYFUNCTION("IF(IF(V$1="""","""",REGEXMATCH(LOWER($E67),XLOOKUP(V$1,Metadata!$A$2:$A1000,Metadata!$B$2:$B1000))),V$1,"""")"),"")</f>
        <v/>
      </c>
      <c r="W67" s="34" t="str">
        <f>IFERROR(__xludf.DUMMYFUNCTION("IF(IF(W$1="""","""",REGEXMATCH(LOWER($E67),XLOOKUP(W$1,Metadata!$A$2:$A1000,Metadata!$B$2:$B1000))),W$1,"""")"),"")</f>
        <v/>
      </c>
      <c r="X67" s="34" t="str">
        <f>IFERROR(__xludf.DUMMYFUNCTION("IF(IF(X$1="""","""",REGEXMATCH(LOWER($E67),XLOOKUP(X$1,Metadata!$A$2:$A1000,Metadata!$B$2:$B1000))),X$1,"""")"),"")</f>
        <v/>
      </c>
      <c r="Y67" s="34" t="str">
        <f>IFERROR(__xludf.DUMMYFUNCTION("IF(IF(Y$1="""","""",REGEXMATCH(LOWER($E67),XLOOKUP(Y$1,Metadata!$A$2:$A1000,Metadata!$B$2:$B1000))),Y$1,"""")"),"")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I68">XLOOKUP($A68,Cards!$A$2:$A1000,Cards!$B$2:$I1000,"")</f>
        <v>Divine Nature</v>
      </c>
      <c r="C68" s="34">
        <v>2.0</v>
      </c>
      <c r="D68" s="34" t="s">
        <v>387</v>
      </c>
      <c r="E68" s="34" t="s">
        <v>388</v>
      </c>
      <c r="F68" s="34" t="s">
        <v>389</v>
      </c>
      <c r="G68" s="34">
        <v>3.0</v>
      </c>
      <c r="H68" s="34" t="s">
        <v>358</v>
      </c>
      <c r="I68" s="34" t="s">
        <v>70</v>
      </c>
      <c r="J68" s="34">
        <f>IFERROR(__xludf.DUMMYFUNCTION("LEN(REGEXREPLACE(XLOOKUP($A68,Cards!$A$2:$A1000,Cards!$H$2:$H1000,""""),"",\s"",""""))"),3.0)</f>
        <v>3</v>
      </c>
      <c r="K68" s="34" t="str">
        <f t="shared" si="1"/>
        <v>      Ramp         </v>
      </c>
      <c r="L68" s="34" t="str">
        <f>IFERROR(__xludf.DUMMYFUNCTION("IF(IF(L$1="""","""",REGEXMATCH(LOWER($E68),XLOOKUP(L$1,Metadata!$A$2:$A1000,Metadata!$B$2:$B1000))),L$1,"""")"),"")</f>
        <v/>
      </c>
      <c r="M68" s="34" t="str">
        <f>IFERROR(__xludf.DUMMYFUNCTION("IF(IF(M$1="""","""",REGEXMATCH(LOWER($E68),XLOOKUP(M$1,Metadata!$A$2:$A1000,Metadata!$B$2:$B1000))),M$1,"""")"),"")</f>
        <v/>
      </c>
      <c r="N68" s="34" t="str">
        <f>IFERROR(__xludf.DUMMYFUNCTION("IF(IF(N$1="""","""",REGEXMATCH(LOWER($E68),XLOOKUP(N$1,Metadata!$A$2:$A1000,Metadata!$B$2:$B1000))),N$1,"""")"),"")</f>
        <v/>
      </c>
      <c r="O68" s="34" t="str">
        <f>IFERROR(__xludf.DUMMYFUNCTION("IF(IF(O$1="""","""",REGEXMATCH(LOWER($E68),XLOOKUP(O$1,Metadata!$A$2:$A1000,Metadata!$B$2:$B1000))),O$1,"""")"),"")</f>
        <v/>
      </c>
      <c r="P68" s="34" t="str">
        <f>IFERROR(__xludf.DUMMYFUNCTION("IF(IF(P$1="""","""",REGEXMATCH(LOWER($E68),XLOOKUP(P$1,Metadata!$A$2:$A1000,Metadata!$B$2:$B1000))),P$1,"""")"),"")</f>
        <v/>
      </c>
      <c r="Q68" s="34" t="str">
        <f>IFERROR(__xludf.DUMMYFUNCTION("IF(IF(Q$1="""","""",REGEXMATCH(LOWER($E68),XLOOKUP(Q$1,Metadata!$A$2:$A1000,Metadata!$B$2:$B1000))),Q$1,"""")"),"")</f>
        <v/>
      </c>
      <c r="R68" s="34" t="str">
        <f>IFERROR(__xludf.DUMMYFUNCTION("IF(IF(R$1="""","""",REGEXMATCH(LOWER($E68),XLOOKUP(R$1,Metadata!$A$2:$A1000,Metadata!$B$2:$B1000))),R$1,"""")"),"Ramp")</f>
        <v>Ramp</v>
      </c>
      <c r="S68" s="34" t="str">
        <f>IFERROR(__xludf.DUMMYFUNCTION("IF(IF(S$1="""","""",REGEXMATCH(LOWER($E68),XLOOKUP(S$1,Metadata!$A$2:$A1000,Metadata!$B$2:$B1000))),S$1,"""")"),"")</f>
        <v/>
      </c>
      <c r="T68" s="34" t="str">
        <f>IFERROR(__xludf.DUMMYFUNCTION("IF(IF(T$1="""","""",REGEXMATCH(LOWER($E68),XLOOKUP(T$1,Metadata!$A$2:$A1000,Metadata!$B$2:$B1000))),T$1,"""")"),"")</f>
        <v/>
      </c>
      <c r="U68" s="34" t="str">
        <f>IFERROR(__xludf.DUMMYFUNCTION("IF(IF(U$1="""","""",REGEXMATCH(LOWER($E68),XLOOKUP(U$1,Metadata!$A$2:$A1000,Metadata!$B$2:$B1000))),U$1,"""")"),"")</f>
        <v/>
      </c>
      <c r="V68" s="34" t="str">
        <f>IFERROR(__xludf.DUMMYFUNCTION("IF(IF(V$1="""","""",REGEXMATCH(LOWER($E68),XLOOKUP(V$1,Metadata!$A$2:$A1000,Metadata!$B$2:$B1000))),V$1,"""")"),"")</f>
        <v/>
      </c>
      <c r="W68" s="34" t="str">
        <f>IFERROR(__xludf.DUMMYFUNCTION("IF(IF(W$1="""","""",REGEXMATCH(LOWER($E68),XLOOKUP(W$1,Metadata!$A$2:$A1000,Metadata!$B$2:$B1000))),W$1,"""")"),"")</f>
        <v/>
      </c>
      <c r="X68" s="34" t="str">
        <f>IFERROR(__xludf.DUMMYFUNCTION("IF(IF(X$1="""","""",REGEXMATCH(LOWER($E68),XLOOKUP(X$1,Metadata!$A$2:$A1000,Metadata!$B$2:$B1000))),X$1,"""")"),"")</f>
        <v/>
      </c>
      <c r="Y68" s="34" t="str">
        <f>IFERROR(__xludf.DUMMYFUNCTION("IF(IF(Y$1="""","""",REGEXMATCH(LOWER($E68),XLOOKUP(Y$1,Metadata!$A$2:$A1000,Metadata!$B$2:$B1000))),Y$1,"""")"),"")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I69">XLOOKUP($A69,Cards!$A$2:$A1000,Cards!$B$2:$I1000,"")</f>
        <v>Divine Void</v>
      </c>
      <c r="C69" s="34">
        <v>2.0</v>
      </c>
      <c r="D69" s="34" t="s">
        <v>149</v>
      </c>
      <c r="E69" s="34" t="s">
        <v>392</v>
      </c>
      <c r="F69" s="34" t="s">
        <v>393</v>
      </c>
      <c r="G69" s="34">
        <v>4.0</v>
      </c>
      <c r="H69" s="34" t="s">
        <v>394</v>
      </c>
      <c r="I69" s="34" t="s">
        <v>70</v>
      </c>
      <c r="J69" s="34">
        <f>IFERROR(__xludf.DUMMYFUNCTION("LEN(REGEXREPLACE(XLOOKUP($A69,Cards!$A$2:$A1000,Cards!$H$2:$H1000,""""),"",\s"",""""))"),5.0)</f>
        <v>5</v>
      </c>
      <c r="K69" s="34" t="str">
        <f t="shared" si="1"/>
        <v>               </v>
      </c>
      <c r="L69" s="34" t="str">
        <f>IFERROR(__xludf.DUMMYFUNCTION("IF(IF(L$1="""","""",REGEXMATCH(LOWER($E69),XLOOKUP(L$1,Metadata!$A$2:$A1000,Metadata!$B$2:$B1000))),L$1,"""")"),"")</f>
        <v/>
      </c>
      <c r="M69" s="34" t="str">
        <f>IFERROR(__xludf.DUMMYFUNCTION("IF(IF(M$1="""","""",REGEXMATCH(LOWER($E69),XLOOKUP(M$1,Metadata!$A$2:$A1000,Metadata!$B$2:$B1000))),M$1,"""")"),"")</f>
        <v/>
      </c>
      <c r="N69" s="34" t="str">
        <f>IFERROR(__xludf.DUMMYFUNCTION("IF(IF(N$1="""","""",REGEXMATCH(LOWER($E69),XLOOKUP(N$1,Metadata!$A$2:$A1000,Metadata!$B$2:$B1000))),N$1,"""")"),"")</f>
        <v/>
      </c>
      <c r="O69" s="34" t="str">
        <f>IFERROR(__xludf.DUMMYFUNCTION("IF(IF(O$1="""","""",REGEXMATCH(LOWER($E69),XLOOKUP(O$1,Metadata!$A$2:$A1000,Metadata!$B$2:$B1000))),O$1,"""")"),"")</f>
        <v/>
      </c>
      <c r="P69" s="34" t="str">
        <f>IFERROR(__xludf.DUMMYFUNCTION("IF(IF(P$1="""","""",REGEXMATCH(LOWER($E69),XLOOKUP(P$1,Metadata!$A$2:$A1000,Metadata!$B$2:$B1000))),P$1,"""")"),"")</f>
        <v/>
      </c>
      <c r="Q69" s="34" t="str">
        <f>IFERROR(__xludf.DUMMYFUNCTION("IF(IF(Q$1="""","""",REGEXMATCH(LOWER($E69),XLOOKUP(Q$1,Metadata!$A$2:$A1000,Metadata!$B$2:$B1000))),Q$1,"""")"),"")</f>
        <v/>
      </c>
      <c r="R69" s="34" t="str">
        <f>IFERROR(__xludf.DUMMYFUNCTION("IF(IF(R$1="""","""",REGEXMATCH(LOWER($E69),XLOOKUP(R$1,Metadata!$A$2:$A1000,Metadata!$B$2:$B1000))),R$1,"""")"),"")</f>
        <v/>
      </c>
      <c r="S69" s="34" t="str">
        <f>IFERROR(__xludf.DUMMYFUNCTION("IF(IF(S$1="""","""",REGEXMATCH(LOWER($E69),XLOOKUP(S$1,Metadata!$A$2:$A1000,Metadata!$B$2:$B1000))),S$1,"""")"),"")</f>
        <v/>
      </c>
      <c r="T69" s="34" t="str">
        <f>IFERROR(__xludf.DUMMYFUNCTION("IF(IF(T$1="""","""",REGEXMATCH(LOWER($E69),XLOOKUP(T$1,Metadata!$A$2:$A1000,Metadata!$B$2:$B1000))),T$1,"""")"),"")</f>
        <v/>
      </c>
      <c r="U69" s="34" t="str">
        <f>IFERROR(__xludf.DUMMYFUNCTION("IF(IF(U$1="""","""",REGEXMATCH(LOWER($E69),XLOOKUP(U$1,Metadata!$A$2:$A1000,Metadata!$B$2:$B1000))),U$1,"""")"),"")</f>
        <v/>
      </c>
      <c r="V69" s="34" t="str">
        <f>IFERROR(__xludf.DUMMYFUNCTION("IF(IF(V$1="""","""",REGEXMATCH(LOWER($E69),XLOOKUP(V$1,Metadata!$A$2:$A1000,Metadata!$B$2:$B1000))),V$1,"""")"),"")</f>
        <v/>
      </c>
      <c r="W69" s="34" t="str">
        <f>IFERROR(__xludf.DUMMYFUNCTION("IF(IF(W$1="""","""",REGEXMATCH(LOWER($E69),XLOOKUP(W$1,Metadata!$A$2:$A1000,Metadata!$B$2:$B1000))),W$1,"""")"),"")</f>
        <v/>
      </c>
      <c r="X69" s="34" t="str">
        <f>IFERROR(__xludf.DUMMYFUNCTION("IF(IF(X$1="""","""",REGEXMATCH(LOWER($E69),XLOOKUP(X$1,Metadata!$A$2:$A1000,Metadata!$B$2:$B1000))),X$1,"""")"),"")</f>
        <v/>
      </c>
      <c r="Y69" s="34" t="str">
        <f>IFERROR(__xludf.DUMMYFUNCTION("IF(IF(Y$1="""","""",REGEXMATCH(LOWER($E69),XLOOKUP(Y$1,Metadata!$A$2:$A1000,Metadata!$B$2:$B1000))),Y$1,"""")"),"")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I70">XLOOKUP($A70,Cards!$A$2:$A1000,Cards!$B$2:$I1000,"")</f>
        <v>Divine Elemental</v>
      </c>
      <c r="C70" s="34">
        <v>1.0</v>
      </c>
      <c r="D70" s="34" t="s">
        <v>396</v>
      </c>
      <c r="E70" s="34"/>
      <c r="F70" s="34" t="s">
        <v>397</v>
      </c>
      <c r="G70" s="34">
        <v>2.0</v>
      </c>
      <c r="H70" s="34" t="s">
        <v>379</v>
      </c>
      <c r="I70" s="34" t="s">
        <v>26</v>
      </c>
      <c r="J70" s="34">
        <f>IFERROR(__xludf.DUMMYFUNCTION("LEN(REGEXREPLACE(XLOOKUP($A70,Cards!$A$2:$A1000,Cards!$H$2:$H1000,""""),"",\s"",""""))"),2.0)</f>
        <v>2</v>
      </c>
      <c r="K70" s="34" t="str">
        <f t="shared" si="1"/>
        <v>               </v>
      </c>
      <c r="L70" s="34" t="str">
        <f>IFERROR(__xludf.DUMMYFUNCTION("IF(IF(L$1="""","""",REGEXMATCH(LOWER($E70),XLOOKUP(L$1,Metadata!$A$2:$A1000,Metadata!$B$2:$B1000))),L$1,"""")"),"")</f>
        <v/>
      </c>
      <c r="M70" s="34" t="str">
        <f>IFERROR(__xludf.DUMMYFUNCTION("IF(IF(M$1="""","""",REGEXMATCH(LOWER($E70),XLOOKUP(M$1,Metadata!$A$2:$A1000,Metadata!$B$2:$B1000))),M$1,"""")"),"")</f>
        <v/>
      </c>
      <c r="N70" s="34" t="str">
        <f>IFERROR(__xludf.DUMMYFUNCTION("IF(IF(N$1="""","""",REGEXMATCH(LOWER($E70),XLOOKUP(N$1,Metadata!$A$2:$A1000,Metadata!$B$2:$B1000))),N$1,"""")"),"")</f>
        <v/>
      </c>
      <c r="O70" s="34" t="str">
        <f>IFERROR(__xludf.DUMMYFUNCTION("IF(IF(O$1="""","""",REGEXMATCH(LOWER($E70),XLOOKUP(O$1,Metadata!$A$2:$A1000,Metadata!$B$2:$B1000))),O$1,"""")"),"")</f>
        <v/>
      </c>
      <c r="P70" s="34" t="str">
        <f>IFERROR(__xludf.DUMMYFUNCTION("IF(IF(P$1="""","""",REGEXMATCH(LOWER($E70),XLOOKUP(P$1,Metadata!$A$2:$A1000,Metadata!$B$2:$B1000))),P$1,"""")"),"")</f>
        <v/>
      </c>
      <c r="Q70" s="34" t="str">
        <f>IFERROR(__xludf.DUMMYFUNCTION("IF(IF(Q$1="""","""",REGEXMATCH(LOWER($E70),XLOOKUP(Q$1,Metadata!$A$2:$A1000,Metadata!$B$2:$B1000))),Q$1,"""")"),"")</f>
        <v/>
      </c>
      <c r="R70" s="34" t="str">
        <f>IFERROR(__xludf.DUMMYFUNCTION("IF(IF(R$1="""","""",REGEXMATCH(LOWER($E70),XLOOKUP(R$1,Metadata!$A$2:$A1000,Metadata!$B$2:$B1000))),R$1,"""")"),"")</f>
        <v/>
      </c>
      <c r="S70" s="34" t="str">
        <f>IFERROR(__xludf.DUMMYFUNCTION("IF(IF(S$1="""","""",REGEXMATCH(LOWER($E70),XLOOKUP(S$1,Metadata!$A$2:$A1000,Metadata!$B$2:$B1000))),S$1,"""")"),"")</f>
        <v/>
      </c>
      <c r="T70" s="34" t="str">
        <f>IFERROR(__xludf.DUMMYFUNCTION("IF(IF(T$1="""","""",REGEXMATCH(LOWER($E70),XLOOKUP(T$1,Metadata!$A$2:$A1000,Metadata!$B$2:$B1000))),T$1,"""")"),"")</f>
        <v/>
      </c>
      <c r="U70" s="34" t="str">
        <f>IFERROR(__xludf.DUMMYFUNCTION("IF(IF(U$1="""","""",REGEXMATCH(LOWER($E70),XLOOKUP(U$1,Metadata!$A$2:$A1000,Metadata!$B$2:$B1000))),U$1,"""")"),"")</f>
        <v/>
      </c>
      <c r="V70" s="34" t="str">
        <f>IFERROR(__xludf.DUMMYFUNCTION("IF(IF(V$1="""","""",REGEXMATCH(LOWER($E70),XLOOKUP(V$1,Metadata!$A$2:$A1000,Metadata!$B$2:$B1000))),V$1,"""")"),"")</f>
        <v/>
      </c>
      <c r="W70" s="34" t="str">
        <f>IFERROR(__xludf.DUMMYFUNCTION("IF(IF(W$1="""","""",REGEXMATCH(LOWER($E70),XLOOKUP(W$1,Metadata!$A$2:$A1000,Metadata!$B$2:$B1000))),W$1,"""")"),"")</f>
        <v/>
      </c>
      <c r="X70" s="34" t="str">
        <f>IFERROR(__xludf.DUMMYFUNCTION("IF(IF(X$1="""","""",REGEXMATCH(LOWER($E70),XLOOKUP(X$1,Metadata!$A$2:$A1000,Metadata!$B$2:$B1000))),X$1,"""")"),"")</f>
        <v/>
      </c>
      <c r="Y70" s="34" t="str">
        <f>IFERROR(__xludf.DUMMYFUNCTION("IF(IF(Y$1="""","""",REGEXMATCH(LOWER($E70),XLOOKUP(Y$1,Metadata!$A$2:$A1000,Metadata!$B$2:$B1000))),Y$1,"""")"),"")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I71">XLOOKUP($A71,Cards!$A$2:$A1000,Cards!$B$2:$I1000,"")</f>
        <v>Divine Elemental</v>
      </c>
      <c r="C71" s="34">
        <v>1.0</v>
      </c>
      <c r="D71" s="34" t="s">
        <v>401</v>
      </c>
      <c r="E71" s="34" t="s">
        <v>402</v>
      </c>
      <c r="F71" s="34" t="s">
        <v>403</v>
      </c>
      <c r="G71" s="34">
        <v>5.0</v>
      </c>
      <c r="H71" s="34" t="s">
        <v>404</v>
      </c>
      <c r="I71" s="34" t="s">
        <v>32</v>
      </c>
      <c r="J71" s="34">
        <f>IFERROR(__xludf.DUMMYFUNCTION("LEN(REGEXREPLACE(XLOOKUP($A71,Cards!$A$2:$A1000,Cards!$H$2:$H1000,""""),"",\s"",""""))"),5.0)</f>
        <v>5</v>
      </c>
      <c r="K71" s="34" t="str">
        <f t="shared" si="1"/>
        <v>               </v>
      </c>
      <c r="L71" s="34" t="str">
        <f>IFERROR(__xludf.DUMMYFUNCTION("IF(IF(L$1="""","""",REGEXMATCH(LOWER($E71),XLOOKUP(L$1,Metadata!$A$2:$A1000,Metadata!$B$2:$B1000))),L$1,"""")"),"")</f>
        <v/>
      </c>
      <c r="M71" s="34" t="str">
        <f>IFERROR(__xludf.DUMMYFUNCTION("IF(IF(M$1="""","""",REGEXMATCH(LOWER($E71),XLOOKUP(M$1,Metadata!$A$2:$A1000,Metadata!$B$2:$B1000))),M$1,"""")"),"")</f>
        <v/>
      </c>
      <c r="N71" s="34" t="str">
        <f>IFERROR(__xludf.DUMMYFUNCTION("IF(IF(N$1="""","""",REGEXMATCH(LOWER($E71),XLOOKUP(N$1,Metadata!$A$2:$A1000,Metadata!$B$2:$B1000))),N$1,"""")"),"")</f>
        <v/>
      </c>
      <c r="O71" s="34" t="str">
        <f>IFERROR(__xludf.DUMMYFUNCTION("IF(IF(O$1="""","""",REGEXMATCH(LOWER($E71),XLOOKUP(O$1,Metadata!$A$2:$A1000,Metadata!$B$2:$B1000))),O$1,"""")"),"")</f>
        <v/>
      </c>
      <c r="P71" s="34" t="str">
        <f>IFERROR(__xludf.DUMMYFUNCTION("IF(IF(P$1="""","""",REGEXMATCH(LOWER($E71),XLOOKUP(P$1,Metadata!$A$2:$A1000,Metadata!$B$2:$B1000))),P$1,"""")"),"")</f>
        <v/>
      </c>
      <c r="Q71" s="34" t="str">
        <f>IFERROR(__xludf.DUMMYFUNCTION("IF(IF(Q$1="""","""",REGEXMATCH(LOWER($E71),XLOOKUP(Q$1,Metadata!$A$2:$A1000,Metadata!$B$2:$B1000))),Q$1,"""")"),"")</f>
        <v/>
      </c>
      <c r="R71" s="34" t="str">
        <f>IFERROR(__xludf.DUMMYFUNCTION("IF(IF(R$1="""","""",REGEXMATCH(LOWER($E71),XLOOKUP(R$1,Metadata!$A$2:$A1000,Metadata!$B$2:$B1000))),R$1,"""")"),"")</f>
        <v/>
      </c>
      <c r="S71" s="34" t="str">
        <f>IFERROR(__xludf.DUMMYFUNCTION("IF(IF(S$1="""","""",REGEXMATCH(LOWER($E71),XLOOKUP(S$1,Metadata!$A$2:$A1000,Metadata!$B$2:$B1000))),S$1,"""")"),"")</f>
        <v/>
      </c>
      <c r="T71" s="34" t="str">
        <f>IFERROR(__xludf.DUMMYFUNCTION("IF(IF(T$1="""","""",REGEXMATCH(LOWER($E71),XLOOKUP(T$1,Metadata!$A$2:$A1000,Metadata!$B$2:$B1000))),T$1,"""")"),"")</f>
        <v/>
      </c>
      <c r="U71" s="34" t="str">
        <f>IFERROR(__xludf.DUMMYFUNCTION("IF(IF(U$1="""","""",REGEXMATCH(LOWER($E71),XLOOKUP(U$1,Metadata!$A$2:$A1000,Metadata!$B$2:$B1000))),U$1,"""")"),"")</f>
        <v/>
      </c>
      <c r="V71" s="34" t="str">
        <f>IFERROR(__xludf.DUMMYFUNCTION("IF(IF(V$1="""","""",REGEXMATCH(LOWER($E71),XLOOKUP(V$1,Metadata!$A$2:$A1000,Metadata!$B$2:$B1000))),V$1,"""")"),"")</f>
        <v/>
      </c>
      <c r="W71" s="34" t="str">
        <f>IFERROR(__xludf.DUMMYFUNCTION("IF(IF(W$1="""","""",REGEXMATCH(LOWER($E71),XLOOKUP(W$1,Metadata!$A$2:$A1000,Metadata!$B$2:$B1000))),W$1,"""")"),"")</f>
        <v/>
      </c>
      <c r="X71" s="34" t="str">
        <f>IFERROR(__xludf.DUMMYFUNCTION("IF(IF(X$1="""","""",REGEXMATCH(LOWER($E71),XLOOKUP(X$1,Metadata!$A$2:$A1000,Metadata!$B$2:$B1000))),X$1,"""")"),"")</f>
        <v/>
      </c>
      <c r="Y71" s="34" t="str">
        <f>IFERROR(__xludf.DUMMYFUNCTION("IF(IF(Y$1="""","""",REGEXMATCH(LOWER($E71),XLOOKUP(Y$1,Metadata!$A$2:$A1000,Metadata!$B$2:$B1000))),Y$1,"""")"),"")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I72">XLOOKUP($A72,Cards!$A$2:$A1000,Cards!$B$2:$I1000,"")</f>
        <v>Divine Void</v>
      </c>
      <c r="C72" s="34">
        <v>2.0</v>
      </c>
      <c r="D72" s="34" t="s">
        <v>408</v>
      </c>
      <c r="E72" s="34" t="s">
        <v>409</v>
      </c>
      <c r="F72" s="34" t="s">
        <v>410</v>
      </c>
      <c r="G72" s="34">
        <v>6.0</v>
      </c>
      <c r="H72" s="34" t="s">
        <v>411</v>
      </c>
      <c r="I72" s="34" t="s">
        <v>70</v>
      </c>
      <c r="J72" s="34">
        <f>IFERROR(__xludf.DUMMYFUNCTION("LEN(REGEXREPLACE(XLOOKUP($A72,Cards!$A$2:$A1000,Cards!$H$2:$H1000,""""),"",\s"",""""))"),6.0)</f>
        <v>6</v>
      </c>
      <c r="K72" s="34" t="str">
        <f t="shared" si="1"/>
        <v>               </v>
      </c>
      <c r="L72" s="34" t="str">
        <f>IFERROR(__xludf.DUMMYFUNCTION("IF(IF(L$1="""","""",REGEXMATCH(LOWER($E72),XLOOKUP(L$1,Metadata!$A$2:$A1000,Metadata!$B$2:$B1000))),L$1,"""")"),"")</f>
        <v/>
      </c>
      <c r="M72" s="34" t="str">
        <f>IFERROR(__xludf.DUMMYFUNCTION("IF(IF(M$1="""","""",REGEXMATCH(LOWER($E72),XLOOKUP(M$1,Metadata!$A$2:$A1000,Metadata!$B$2:$B1000))),M$1,"""")"),"")</f>
        <v/>
      </c>
      <c r="N72" s="34" t="str">
        <f>IFERROR(__xludf.DUMMYFUNCTION("IF(IF(N$1="""","""",REGEXMATCH(LOWER($E72),XLOOKUP(N$1,Metadata!$A$2:$A1000,Metadata!$B$2:$B1000))),N$1,"""")"),"")</f>
        <v/>
      </c>
      <c r="O72" s="34" t="str">
        <f>IFERROR(__xludf.DUMMYFUNCTION("IF(IF(O$1="""","""",REGEXMATCH(LOWER($E72),XLOOKUP(O$1,Metadata!$A$2:$A1000,Metadata!$B$2:$B1000))),O$1,"""")"),"")</f>
        <v/>
      </c>
      <c r="P72" s="34" t="str">
        <f>IFERROR(__xludf.DUMMYFUNCTION("IF(IF(P$1="""","""",REGEXMATCH(LOWER($E72),XLOOKUP(P$1,Metadata!$A$2:$A1000,Metadata!$B$2:$B1000))),P$1,"""")"),"")</f>
        <v/>
      </c>
      <c r="Q72" s="34" t="str">
        <f>IFERROR(__xludf.DUMMYFUNCTION("IF(IF(Q$1="""","""",REGEXMATCH(LOWER($E72),XLOOKUP(Q$1,Metadata!$A$2:$A1000,Metadata!$B$2:$B1000))),Q$1,"""")"),"")</f>
        <v/>
      </c>
      <c r="R72" s="34" t="str">
        <f>IFERROR(__xludf.DUMMYFUNCTION("IF(IF(R$1="""","""",REGEXMATCH(LOWER($E72),XLOOKUP(R$1,Metadata!$A$2:$A1000,Metadata!$B$2:$B1000))),R$1,"""")"),"")</f>
        <v/>
      </c>
      <c r="S72" s="34" t="str">
        <f>IFERROR(__xludf.DUMMYFUNCTION("IF(IF(S$1="""","""",REGEXMATCH(LOWER($E72),XLOOKUP(S$1,Metadata!$A$2:$A1000,Metadata!$B$2:$B1000))),S$1,"""")"),"")</f>
        <v/>
      </c>
      <c r="T72" s="34" t="str">
        <f>IFERROR(__xludf.DUMMYFUNCTION("IF(IF(T$1="""","""",REGEXMATCH(LOWER($E72),XLOOKUP(T$1,Metadata!$A$2:$A1000,Metadata!$B$2:$B1000))),T$1,"""")"),"")</f>
        <v/>
      </c>
      <c r="U72" s="34" t="str">
        <f>IFERROR(__xludf.DUMMYFUNCTION("IF(IF(U$1="""","""",REGEXMATCH(LOWER($E72),XLOOKUP(U$1,Metadata!$A$2:$A1000,Metadata!$B$2:$B1000))),U$1,"""")"),"")</f>
        <v/>
      </c>
      <c r="V72" s="34" t="str">
        <f>IFERROR(__xludf.DUMMYFUNCTION("IF(IF(V$1="""","""",REGEXMATCH(LOWER($E72),XLOOKUP(V$1,Metadata!$A$2:$A1000,Metadata!$B$2:$B1000))),V$1,"""")"),"")</f>
        <v/>
      </c>
      <c r="W72" s="34" t="str">
        <f>IFERROR(__xludf.DUMMYFUNCTION("IF(IF(W$1="""","""",REGEXMATCH(LOWER($E72),XLOOKUP(W$1,Metadata!$A$2:$A1000,Metadata!$B$2:$B1000))),W$1,"""")"),"")</f>
        <v/>
      </c>
      <c r="X72" s="34" t="str">
        <f>IFERROR(__xludf.DUMMYFUNCTION("IF(IF(X$1="""","""",REGEXMATCH(LOWER($E72),XLOOKUP(X$1,Metadata!$A$2:$A1000,Metadata!$B$2:$B1000))),X$1,"""")"),"")</f>
        <v/>
      </c>
      <c r="Y72" s="34" t="str">
        <f>IFERROR(__xludf.DUMMYFUNCTION("IF(IF(Y$1="""","""",REGEXMATCH(LOWER($E72),XLOOKUP(Y$1,Metadata!$A$2:$A1000,Metadata!$B$2:$B1000))),Y$1,"""")"),"")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I73">XLOOKUP($A73,Cards!$A$2:$A1000,Cards!$B$2:$I1000,"")</f>
        <v>Divine Mortal</v>
      </c>
      <c r="C73" s="34">
        <v>1.0</v>
      </c>
      <c r="D73" s="34" t="s">
        <v>335</v>
      </c>
      <c r="E73" s="34" t="s">
        <v>413</v>
      </c>
      <c r="F73" s="34" t="s">
        <v>414</v>
      </c>
      <c r="G73" s="34">
        <v>3.0</v>
      </c>
      <c r="H73" s="34" t="s">
        <v>350</v>
      </c>
      <c r="I73" s="34" t="s">
        <v>70</v>
      </c>
      <c r="J73" s="34">
        <f>IFERROR(__xludf.DUMMYFUNCTION("LEN(REGEXREPLACE(XLOOKUP($A73,Cards!$A$2:$A1000,Cards!$H$2:$H1000,""""),"",\s"",""""))"),4.0)</f>
        <v>4</v>
      </c>
      <c r="K73" s="34" t="str">
        <f t="shared" si="1"/>
        <v>     Unearth          </v>
      </c>
      <c r="L73" s="34" t="str">
        <f>IFERROR(__xludf.DUMMYFUNCTION("IF(IF(L$1="""","""",REGEXMATCH(LOWER($E73),XLOOKUP(L$1,Metadata!$A$2:$A1000,Metadata!$B$2:$B1000))),L$1,"""")"),"")</f>
        <v/>
      </c>
      <c r="M73" s="34" t="str">
        <f>IFERROR(__xludf.DUMMYFUNCTION("IF(IF(M$1="""","""",REGEXMATCH(LOWER($E73),XLOOKUP(M$1,Metadata!$A$2:$A1000,Metadata!$B$2:$B1000))),M$1,"""")"),"")</f>
        <v/>
      </c>
      <c r="N73" s="34" t="str">
        <f>IFERROR(__xludf.DUMMYFUNCTION("IF(IF(N$1="""","""",REGEXMATCH(LOWER($E73),XLOOKUP(N$1,Metadata!$A$2:$A1000,Metadata!$B$2:$B1000))),N$1,"""")"),"")</f>
        <v/>
      </c>
      <c r="O73" s="34" t="str">
        <f>IFERROR(__xludf.DUMMYFUNCTION("IF(IF(O$1="""","""",REGEXMATCH(LOWER($E73),XLOOKUP(O$1,Metadata!$A$2:$A1000,Metadata!$B$2:$B1000))),O$1,"""")"),"")</f>
        <v/>
      </c>
      <c r="P73" s="34" t="str">
        <f>IFERROR(__xludf.DUMMYFUNCTION("IF(IF(P$1="""","""",REGEXMATCH(LOWER($E73),XLOOKUP(P$1,Metadata!$A$2:$A1000,Metadata!$B$2:$B1000))),P$1,"""")"),"")</f>
        <v/>
      </c>
      <c r="Q73" s="34" t="str">
        <f>IFERROR(__xludf.DUMMYFUNCTION("IF(IF(Q$1="""","""",REGEXMATCH(LOWER($E73),XLOOKUP(Q$1,Metadata!$A$2:$A1000,Metadata!$B$2:$B1000))),Q$1,"""")"),"Unearth")</f>
        <v>Unearth</v>
      </c>
      <c r="R73" s="34" t="str">
        <f>IFERROR(__xludf.DUMMYFUNCTION("IF(IF(R$1="""","""",REGEXMATCH(LOWER($E73),XLOOKUP(R$1,Metadata!$A$2:$A1000,Metadata!$B$2:$B1000))),R$1,"""")"),"")</f>
        <v/>
      </c>
      <c r="S73" s="34" t="str">
        <f>IFERROR(__xludf.DUMMYFUNCTION("IF(IF(S$1="""","""",REGEXMATCH(LOWER($E73),XLOOKUP(S$1,Metadata!$A$2:$A1000,Metadata!$B$2:$B1000))),S$1,"""")"),"")</f>
        <v/>
      </c>
      <c r="T73" s="34" t="str">
        <f>IFERROR(__xludf.DUMMYFUNCTION("IF(IF(T$1="""","""",REGEXMATCH(LOWER($E73),XLOOKUP(T$1,Metadata!$A$2:$A1000,Metadata!$B$2:$B1000))),T$1,"""")"),"")</f>
        <v/>
      </c>
      <c r="U73" s="34" t="str">
        <f>IFERROR(__xludf.DUMMYFUNCTION("IF(IF(U$1="""","""",REGEXMATCH(LOWER($E73),XLOOKUP(U$1,Metadata!$A$2:$A1000,Metadata!$B$2:$B1000))),U$1,"""")"),"")</f>
        <v/>
      </c>
      <c r="V73" s="34" t="str">
        <f>IFERROR(__xludf.DUMMYFUNCTION("IF(IF(V$1="""","""",REGEXMATCH(LOWER($E73),XLOOKUP(V$1,Metadata!$A$2:$A1000,Metadata!$B$2:$B1000))),V$1,"""")"),"")</f>
        <v/>
      </c>
      <c r="W73" s="34" t="str">
        <f>IFERROR(__xludf.DUMMYFUNCTION("IF(IF(W$1="""","""",REGEXMATCH(LOWER($E73),XLOOKUP(W$1,Metadata!$A$2:$A1000,Metadata!$B$2:$B1000))),W$1,"""")"),"")</f>
        <v/>
      </c>
      <c r="X73" s="34" t="str">
        <f>IFERROR(__xludf.DUMMYFUNCTION("IF(IF(X$1="""","""",REGEXMATCH(LOWER($E73),XLOOKUP(X$1,Metadata!$A$2:$A1000,Metadata!$B$2:$B1000))),X$1,"""")"),"")</f>
        <v/>
      </c>
      <c r="Y73" s="34" t="str">
        <f>IFERROR(__xludf.DUMMYFUNCTION("IF(IF(Y$1="""","""",REGEXMATCH(LOWER($E73),XLOOKUP(Y$1,Metadata!$A$2:$A1000,Metadata!$B$2:$B1000))),Y$1,"""")"),"")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I74">XLOOKUP($A74,Cards!$A$2:$A1000,Cards!$B$2:$I1000,"")</f>
        <v>Elemental</v>
      </c>
      <c r="C74" s="34">
        <v>2.0</v>
      </c>
      <c r="D74" s="34" t="s">
        <v>37</v>
      </c>
      <c r="E74" s="34" t="s">
        <v>419</v>
      </c>
      <c r="F74" s="34" t="s">
        <v>420</v>
      </c>
      <c r="G74" s="34">
        <v>2.0</v>
      </c>
      <c r="H74" s="34" t="s">
        <v>421</v>
      </c>
      <c r="I74" s="34" t="s">
        <v>26</v>
      </c>
      <c r="J74" s="34">
        <f>IFERROR(__xludf.DUMMYFUNCTION("LEN(REGEXREPLACE(XLOOKUP($A74,Cards!$A$2:$A1000,Cards!$H$2:$H1000,""""),"",\s"",""""))"),3.0)</f>
        <v>3</v>
      </c>
      <c r="K74" s="34" t="str">
        <f t="shared" si="1"/>
        <v>               </v>
      </c>
      <c r="L74" s="34" t="str">
        <f>IFERROR(__xludf.DUMMYFUNCTION("IF(IF(L$1="""","""",REGEXMATCH(LOWER($E74),XLOOKUP(L$1,Metadata!$A$2:$A1000,Metadata!$B$2:$B1000))),L$1,"""")"),"")</f>
        <v/>
      </c>
      <c r="M74" s="34" t="str">
        <f>IFERROR(__xludf.DUMMYFUNCTION("IF(IF(M$1="""","""",REGEXMATCH(LOWER($E74),XLOOKUP(M$1,Metadata!$A$2:$A1000,Metadata!$B$2:$B1000))),M$1,"""")"),"")</f>
        <v/>
      </c>
      <c r="N74" s="34" t="str">
        <f>IFERROR(__xludf.DUMMYFUNCTION("IF(IF(N$1="""","""",REGEXMATCH(LOWER($E74),XLOOKUP(N$1,Metadata!$A$2:$A1000,Metadata!$B$2:$B1000))),N$1,"""")"),"")</f>
        <v/>
      </c>
      <c r="O74" s="34" t="str">
        <f>IFERROR(__xludf.DUMMYFUNCTION("IF(IF(O$1="""","""",REGEXMATCH(LOWER($E74),XLOOKUP(O$1,Metadata!$A$2:$A1000,Metadata!$B$2:$B1000))),O$1,"""")"),"")</f>
        <v/>
      </c>
      <c r="P74" s="34" t="str">
        <f>IFERROR(__xludf.DUMMYFUNCTION("IF(IF(P$1="""","""",REGEXMATCH(LOWER($E74),XLOOKUP(P$1,Metadata!$A$2:$A1000,Metadata!$B$2:$B1000))),P$1,"""")"),"")</f>
        <v/>
      </c>
      <c r="Q74" s="34" t="str">
        <f>IFERROR(__xludf.DUMMYFUNCTION("IF(IF(Q$1="""","""",REGEXMATCH(LOWER($E74),XLOOKUP(Q$1,Metadata!$A$2:$A1000,Metadata!$B$2:$B1000))),Q$1,"""")"),"")</f>
        <v/>
      </c>
      <c r="R74" s="34" t="str">
        <f>IFERROR(__xludf.DUMMYFUNCTION("IF(IF(R$1="""","""",REGEXMATCH(LOWER($E74),XLOOKUP(R$1,Metadata!$A$2:$A1000,Metadata!$B$2:$B1000))),R$1,"""")"),"")</f>
        <v/>
      </c>
      <c r="S74" s="34" t="str">
        <f>IFERROR(__xludf.DUMMYFUNCTION("IF(IF(S$1="""","""",REGEXMATCH(LOWER($E74),XLOOKUP(S$1,Metadata!$A$2:$A1000,Metadata!$B$2:$B1000))),S$1,"""")"),"")</f>
        <v/>
      </c>
      <c r="T74" s="34" t="str">
        <f>IFERROR(__xludf.DUMMYFUNCTION("IF(IF(T$1="""","""",REGEXMATCH(LOWER($E74),XLOOKUP(T$1,Metadata!$A$2:$A1000,Metadata!$B$2:$B1000))),T$1,"""")"),"")</f>
        <v/>
      </c>
      <c r="U74" s="34" t="str">
        <f>IFERROR(__xludf.DUMMYFUNCTION("IF(IF(U$1="""","""",REGEXMATCH(LOWER($E74),XLOOKUP(U$1,Metadata!$A$2:$A1000,Metadata!$B$2:$B1000))),U$1,"""")"),"")</f>
        <v/>
      </c>
      <c r="V74" s="34" t="str">
        <f>IFERROR(__xludf.DUMMYFUNCTION("IF(IF(V$1="""","""",REGEXMATCH(LOWER($E74),XLOOKUP(V$1,Metadata!$A$2:$A1000,Metadata!$B$2:$B1000))),V$1,"""")"),"")</f>
        <v/>
      </c>
      <c r="W74" s="34" t="str">
        <f>IFERROR(__xludf.DUMMYFUNCTION("IF(IF(W$1="""","""",REGEXMATCH(LOWER($E74),XLOOKUP(W$1,Metadata!$A$2:$A1000,Metadata!$B$2:$B1000))),W$1,"""")"),"")</f>
        <v/>
      </c>
      <c r="X74" s="34" t="str">
        <f>IFERROR(__xludf.DUMMYFUNCTION("IF(IF(X$1="""","""",REGEXMATCH(LOWER($E74),XLOOKUP(X$1,Metadata!$A$2:$A1000,Metadata!$B$2:$B1000))),X$1,"""")"),"")</f>
        <v/>
      </c>
      <c r="Y74" s="34" t="str">
        <f>IFERROR(__xludf.DUMMYFUNCTION("IF(IF(Y$1="""","""",REGEXMATCH(LOWER($E74),XLOOKUP(Y$1,Metadata!$A$2:$A1000,Metadata!$B$2:$B1000))),Y$1,"""")"),"")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I75">XLOOKUP($A75,Cards!$A$2:$A1000,Cards!$B$2:$I1000,"")</f>
        <v>Divine Mortal</v>
      </c>
      <c r="C75" s="34">
        <v>1.0</v>
      </c>
      <c r="D75" s="34" t="s">
        <v>423</v>
      </c>
      <c r="E75" s="34"/>
      <c r="F75" s="34" t="s">
        <v>424</v>
      </c>
      <c r="G75" s="34">
        <v>2.0</v>
      </c>
      <c r="H75" s="34" t="s">
        <v>425</v>
      </c>
      <c r="I75" s="34" t="s">
        <v>26</v>
      </c>
      <c r="J75" s="34">
        <f>IFERROR(__xludf.DUMMYFUNCTION("LEN(REGEXREPLACE(XLOOKUP($A75,Cards!$A$2:$A1000,Cards!$H$2:$H1000,""""),"",\s"",""""))"),2.0)</f>
        <v>2</v>
      </c>
      <c r="K75" s="34" t="str">
        <f t="shared" si="1"/>
        <v>               </v>
      </c>
      <c r="L75" s="34" t="str">
        <f>IFERROR(__xludf.DUMMYFUNCTION("IF(IF(L$1="""","""",REGEXMATCH(LOWER($E75),XLOOKUP(L$1,Metadata!$A$2:$A1000,Metadata!$B$2:$B1000))),L$1,"""")"),"")</f>
        <v/>
      </c>
      <c r="M75" s="34" t="str">
        <f>IFERROR(__xludf.DUMMYFUNCTION("IF(IF(M$1="""","""",REGEXMATCH(LOWER($E75),XLOOKUP(M$1,Metadata!$A$2:$A1000,Metadata!$B$2:$B1000))),M$1,"""")"),"")</f>
        <v/>
      </c>
      <c r="N75" s="34" t="str">
        <f>IFERROR(__xludf.DUMMYFUNCTION("IF(IF(N$1="""","""",REGEXMATCH(LOWER($E75),XLOOKUP(N$1,Metadata!$A$2:$A1000,Metadata!$B$2:$B1000))),N$1,"""")"),"")</f>
        <v/>
      </c>
      <c r="O75" s="34" t="str">
        <f>IFERROR(__xludf.DUMMYFUNCTION("IF(IF(O$1="""","""",REGEXMATCH(LOWER($E75),XLOOKUP(O$1,Metadata!$A$2:$A1000,Metadata!$B$2:$B1000))),O$1,"""")"),"")</f>
        <v/>
      </c>
      <c r="P75" s="34" t="str">
        <f>IFERROR(__xludf.DUMMYFUNCTION("IF(IF(P$1="""","""",REGEXMATCH(LOWER($E75),XLOOKUP(P$1,Metadata!$A$2:$A1000,Metadata!$B$2:$B1000))),P$1,"""")"),"")</f>
        <v/>
      </c>
      <c r="Q75" s="34" t="str">
        <f>IFERROR(__xludf.DUMMYFUNCTION("IF(IF(Q$1="""","""",REGEXMATCH(LOWER($E75),XLOOKUP(Q$1,Metadata!$A$2:$A1000,Metadata!$B$2:$B1000))),Q$1,"""")"),"")</f>
        <v/>
      </c>
      <c r="R75" s="34" t="str">
        <f>IFERROR(__xludf.DUMMYFUNCTION("IF(IF(R$1="""","""",REGEXMATCH(LOWER($E75),XLOOKUP(R$1,Metadata!$A$2:$A1000,Metadata!$B$2:$B1000))),R$1,"""")"),"")</f>
        <v/>
      </c>
      <c r="S75" s="34" t="str">
        <f>IFERROR(__xludf.DUMMYFUNCTION("IF(IF(S$1="""","""",REGEXMATCH(LOWER($E75),XLOOKUP(S$1,Metadata!$A$2:$A1000,Metadata!$B$2:$B1000))),S$1,"""")"),"")</f>
        <v/>
      </c>
      <c r="T75" s="34" t="str">
        <f>IFERROR(__xludf.DUMMYFUNCTION("IF(IF(T$1="""","""",REGEXMATCH(LOWER($E75),XLOOKUP(T$1,Metadata!$A$2:$A1000,Metadata!$B$2:$B1000))),T$1,"""")"),"")</f>
        <v/>
      </c>
      <c r="U75" s="34" t="str">
        <f>IFERROR(__xludf.DUMMYFUNCTION("IF(IF(U$1="""","""",REGEXMATCH(LOWER($E75),XLOOKUP(U$1,Metadata!$A$2:$A1000,Metadata!$B$2:$B1000))),U$1,"""")"),"")</f>
        <v/>
      </c>
      <c r="V75" s="34" t="str">
        <f>IFERROR(__xludf.DUMMYFUNCTION("IF(IF(V$1="""","""",REGEXMATCH(LOWER($E75),XLOOKUP(V$1,Metadata!$A$2:$A1000,Metadata!$B$2:$B1000))),V$1,"""")"),"")</f>
        <v/>
      </c>
      <c r="W75" s="34" t="str">
        <f>IFERROR(__xludf.DUMMYFUNCTION("IF(IF(W$1="""","""",REGEXMATCH(LOWER($E75),XLOOKUP(W$1,Metadata!$A$2:$A1000,Metadata!$B$2:$B1000))),W$1,"""")"),"")</f>
        <v/>
      </c>
      <c r="X75" s="34" t="str">
        <f>IFERROR(__xludf.DUMMYFUNCTION("IF(IF(X$1="""","""",REGEXMATCH(LOWER($E75),XLOOKUP(X$1,Metadata!$A$2:$A1000,Metadata!$B$2:$B1000))),X$1,"""")"),"")</f>
        <v/>
      </c>
      <c r="Y75" s="34" t="str">
        <f>IFERROR(__xludf.DUMMYFUNCTION("IF(IF(Y$1="""","""",REGEXMATCH(LOWER($E75),XLOOKUP(Y$1,Metadata!$A$2:$A1000,Metadata!$B$2:$B1000))),Y$1,"""")"),"")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I76">XLOOKUP($A76,Cards!$A$2:$A1000,Cards!$B$2:$I1000,"")</f>
        <v>Elemental</v>
      </c>
      <c r="C76" s="34">
        <v>2.0</v>
      </c>
      <c r="D76" s="34" t="s">
        <v>335</v>
      </c>
      <c r="E76" s="34" t="s">
        <v>429</v>
      </c>
      <c r="F76" s="34" t="s">
        <v>430</v>
      </c>
      <c r="G76" s="34">
        <v>4.0</v>
      </c>
      <c r="H76" s="34" t="s">
        <v>431</v>
      </c>
      <c r="I76" s="34" t="s">
        <v>70</v>
      </c>
      <c r="J76" s="34">
        <f>IFERROR(__xludf.DUMMYFUNCTION("LEN(REGEXREPLACE(XLOOKUP($A76,Cards!$A$2:$A1000,Cards!$H$2:$H1000,""""),"",\s"",""""))"),5.0)</f>
        <v>5</v>
      </c>
      <c r="K76" s="34" t="str">
        <f t="shared" si="1"/>
        <v>               </v>
      </c>
      <c r="L76" s="34" t="str">
        <f>IFERROR(__xludf.DUMMYFUNCTION("IF(IF(L$1="""","""",REGEXMATCH(LOWER($E76),XLOOKUP(L$1,Metadata!$A$2:$A1000,Metadata!$B$2:$B1000))),L$1,"""")"),"")</f>
        <v/>
      </c>
      <c r="M76" s="34" t="str">
        <f>IFERROR(__xludf.DUMMYFUNCTION("IF(IF(M$1="""","""",REGEXMATCH(LOWER($E76),XLOOKUP(M$1,Metadata!$A$2:$A1000,Metadata!$B$2:$B1000))),M$1,"""")"),"")</f>
        <v/>
      </c>
      <c r="N76" s="34" t="str">
        <f>IFERROR(__xludf.DUMMYFUNCTION("IF(IF(N$1="""","""",REGEXMATCH(LOWER($E76),XLOOKUP(N$1,Metadata!$A$2:$A1000,Metadata!$B$2:$B1000))),N$1,"""")"),"")</f>
        <v/>
      </c>
      <c r="O76" s="34" t="str">
        <f>IFERROR(__xludf.DUMMYFUNCTION("IF(IF(O$1="""","""",REGEXMATCH(LOWER($E76),XLOOKUP(O$1,Metadata!$A$2:$A1000,Metadata!$B$2:$B1000))),O$1,"""")"),"")</f>
        <v/>
      </c>
      <c r="P76" s="34" t="str">
        <f>IFERROR(__xludf.DUMMYFUNCTION("IF(IF(P$1="""","""",REGEXMATCH(LOWER($E76),XLOOKUP(P$1,Metadata!$A$2:$A1000,Metadata!$B$2:$B1000))),P$1,"""")"),"")</f>
        <v/>
      </c>
      <c r="Q76" s="34" t="str">
        <f>IFERROR(__xludf.DUMMYFUNCTION("IF(IF(Q$1="""","""",REGEXMATCH(LOWER($E76),XLOOKUP(Q$1,Metadata!$A$2:$A1000,Metadata!$B$2:$B1000))),Q$1,"""")"),"")</f>
        <v/>
      </c>
      <c r="R76" s="34" t="str">
        <f>IFERROR(__xludf.DUMMYFUNCTION("IF(IF(R$1="""","""",REGEXMATCH(LOWER($E76),XLOOKUP(R$1,Metadata!$A$2:$A1000,Metadata!$B$2:$B1000))),R$1,"""")"),"")</f>
        <v/>
      </c>
      <c r="S76" s="34" t="str">
        <f>IFERROR(__xludf.DUMMYFUNCTION("IF(IF(S$1="""","""",REGEXMATCH(LOWER($E76),XLOOKUP(S$1,Metadata!$A$2:$A1000,Metadata!$B$2:$B1000))),S$1,"""")"),"")</f>
        <v/>
      </c>
      <c r="T76" s="34" t="str">
        <f>IFERROR(__xludf.DUMMYFUNCTION("IF(IF(T$1="""","""",REGEXMATCH(LOWER($E76),XLOOKUP(T$1,Metadata!$A$2:$A1000,Metadata!$B$2:$B1000))),T$1,"""")"),"")</f>
        <v/>
      </c>
      <c r="U76" s="34" t="str">
        <f>IFERROR(__xludf.DUMMYFUNCTION("IF(IF(U$1="""","""",REGEXMATCH(LOWER($E76),XLOOKUP(U$1,Metadata!$A$2:$A1000,Metadata!$B$2:$B1000))),U$1,"""")"),"")</f>
        <v/>
      </c>
      <c r="V76" s="34" t="str">
        <f>IFERROR(__xludf.DUMMYFUNCTION("IF(IF(V$1="""","""",REGEXMATCH(LOWER($E76),XLOOKUP(V$1,Metadata!$A$2:$A1000,Metadata!$B$2:$B1000))),V$1,"""")"),"")</f>
        <v/>
      </c>
      <c r="W76" s="34" t="str">
        <f>IFERROR(__xludf.DUMMYFUNCTION("IF(IF(W$1="""","""",REGEXMATCH(LOWER($E76),XLOOKUP(W$1,Metadata!$A$2:$A1000,Metadata!$B$2:$B1000))),W$1,"""")"),"")</f>
        <v/>
      </c>
      <c r="X76" s="34" t="str">
        <f>IFERROR(__xludf.DUMMYFUNCTION("IF(IF(X$1="""","""",REGEXMATCH(LOWER($E76),XLOOKUP(X$1,Metadata!$A$2:$A1000,Metadata!$B$2:$B1000))),X$1,"""")"),"")</f>
        <v/>
      </c>
      <c r="Y76" s="34" t="str">
        <f>IFERROR(__xludf.DUMMYFUNCTION("IF(IF(Y$1="""","""",REGEXMATCH(LOWER($E76),XLOOKUP(Y$1,Metadata!$A$2:$A1000,Metadata!$B$2:$B1000))),Y$1,"""")"),"")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I77">XLOOKUP($A77,Cards!$A$2:$A1000,Cards!$B$2:$I1000,"")</f>
        <v>Elemental</v>
      </c>
      <c r="C77" s="34">
        <v>2.0</v>
      </c>
      <c r="D77" s="34" t="s">
        <v>433</v>
      </c>
      <c r="E77" s="34" t="s">
        <v>434</v>
      </c>
      <c r="F77" s="34" t="s">
        <v>435</v>
      </c>
      <c r="G77" s="34">
        <v>3.0</v>
      </c>
      <c r="H77" s="34" t="s">
        <v>421</v>
      </c>
      <c r="I77" s="34" t="s">
        <v>26</v>
      </c>
      <c r="J77" s="34">
        <f>IFERROR(__xludf.DUMMYFUNCTION("LEN(REGEXREPLACE(XLOOKUP($A77,Cards!$A$2:$A1000,Cards!$H$2:$H1000,""""),"",\s"",""""))"),3.0)</f>
        <v>3</v>
      </c>
      <c r="K77" s="34" t="str">
        <f t="shared" si="1"/>
        <v>               </v>
      </c>
      <c r="L77" s="34" t="str">
        <f>IFERROR(__xludf.DUMMYFUNCTION("IF(IF(L$1="""","""",REGEXMATCH(LOWER($E77),XLOOKUP(L$1,Metadata!$A$2:$A1000,Metadata!$B$2:$B1000))),L$1,"""")"),"")</f>
        <v/>
      </c>
      <c r="M77" s="34" t="str">
        <f>IFERROR(__xludf.DUMMYFUNCTION("IF(IF(M$1="""","""",REGEXMATCH(LOWER($E77),XLOOKUP(M$1,Metadata!$A$2:$A1000,Metadata!$B$2:$B1000))),M$1,"""")"),"")</f>
        <v/>
      </c>
      <c r="N77" s="34" t="str">
        <f>IFERROR(__xludf.DUMMYFUNCTION("IF(IF(N$1="""","""",REGEXMATCH(LOWER($E77),XLOOKUP(N$1,Metadata!$A$2:$A1000,Metadata!$B$2:$B1000))),N$1,"""")"),"")</f>
        <v/>
      </c>
      <c r="O77" s="34" t="str">
        <f>IFERROR(__xludf.DUMMYFUNCTION("IF(IF(O$1="""","""",REGEXMATCH(LOWER($E77),XLOOKUP(O$1,Metadata!$A$2:$A1000,Metadata!$B$2:$B1000))),O$1,"""")"),"")</f>
        <v/>
      </c>
      <c r="P77" s="34" t="str">
        <f>IFERROR(__xludf.DUMMYFUNCTION("IF(IF(P$1="""","""",REGEXMATCH(LOWER($E77),XLOOKUP(P$1,Metadata!$A$2:$A1000,Metadata!$B$2:$B1000))),P$1,"""")"),"")</f>
        <v/>
      </c>
      <c r="Q77" s="34" t="str">
        <f>IFERROR(__xludf.DUMMYFUNCTION("IF(IF(Q$1="""","""",REGEXMATCH(LOWER($E77),XLOOKUP(Q$1,Metadata!$A$2:$A1000,Metadata!$B$2:$B1000))),Q$1,"""")"),"")</f>
        <v/>
      </c>
      <c r="R77" s="34" t="str">
        <f>IFERROR(__xludf.DUMMYFUNCTION("IF(IF(R$1="""","""",REGEXMATCH(LOWER($E77),XLOOKUP(R$1,Metadata!$A$2:$A1000,Metadata!$B$2:$B1000))),R$1,"""")"),"")</f>
        <v/>
      </c>
      <c r="S77" s="34" t="str">
        <f>IFERROR(__xludf.DUMMYFUNCTION("IF(IF(S$1="""","""",REGEXMATCH(LOWER($E77),XLOOKUP(S$1,Metadata!$A$2:$A1000,Metadata!$B$2:$B1000))),S$1,"""")"),"")</f>
        <v/>
      </c>
      <c r="T77" s="34" t="str">
        <f>IFERROR(__xludf.DUMMYFUNCTION("IF(IF(T$1="""","""",REGEXMATCH(LOWER($E77),XLOOKUP(T$1,Metadata!$A$2:$A1000,Metadata!$B$2:$B1000))),T$1,"""")"),"")</f>
        <v/>
      </c>
      <c r="U77" s="34" t="str">
        <f>IFERROR(__xludf.DUMMYFUNCTION("IF(IF(U$1="""","""",REGEXMATCH(LOWER($E77),XLOOKUP(U$1,Metadata!$A$2:$A1000,Metadata!$B$2:$B1000))),U$1,"""")"),"")</f>
        <v/>
      </c>
      <c r="V77" s="34" t="str">
        <f>IFERROR(__xludf.DUMMYFUNCTION("IF(IF(V$1="""","""",REGEXMATCH(LOWER($E77),XLOOKUP(V$1,Metadata!$A$2:$A1000,Metadata!$B$2:$B1000))),V$1,"""")"),"")</f>
        <v/>
      </c>
      <c r="W77" s="34" t="str">
        <f>IFERROR(__xludf.DUMMYFUNCTION("IF(IF(W$1="""","""",REGEXMATCH(LOWER($E77),XLOOKUP(W$1,Metadata!$A$2:$A1000,Metadata!$B$2:$B1000))),W$1,"""")"),"")</f>
        <v/>
      </c>
      <c r="X77" s="34" t="str">
        <f>IFERROR(__xludf.DUMMYFUNCTION("IF(IF(X$1="""","""",REGEXMATCH(LOWER($E77),XLOOKUP(X$1,Metadata!$A$2:$A1000,Metadata!$B$2:$B1000))),X$1,"""")"),"")</f>
        <v/>
      </c>
      <c r="Y77" s="34" t="str">
        <f>IFERROR(__xludf.DUMMYFUNCTION("IF(IF(Y$1="""","""",REGEXMATCH(LOWER($E77),XLOOKUP(Y$1,Metadata!$A$2:$A1000,Metadata!$B$2:$B1000))),Y$1,"""")"),"")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I78">XLOOKUP($A78,Cards!$A$2:$A1000,Cards!$B$2:$I1000,"")</f>
        <v>Elemental</v>
      </c>
      <c r="C78" s="34">
        <v>2.0</v>
      </c>
      <c r="D78" s="34" t="s">
        <v>238</v>
      </c>
      <c r="E78" s="34" t="s">
        <v>437</v>
      </c>
      <c r="F78" s="34" t="s">
        <v>438</v>
      </c>
      <c r="G78" s="34">
        <v>2.0</v>
      </c>
      <c r="H78" s="34" t="s">
        <v>439</v>
      </c>
      <c r="I78" s="34" t="s">
        <v>32</v>
      </c>
      <c r="J78" s="34">
        <f>IFERROR(__xludf.DUMMYFUNCTION("LEN(REGEXREPLACE(XLOOKUP($A78,Cards!$A$2:$A1000,Cards!$H$2:$H1000,""""),"",\s"",""""))"),1.0)</f>
        <v>1</v>
      </c>
      <c r="K78" s="34" t="str">
        <f t="shared" si="1"/>
        <v>       Control  Aggro  Move Ambush   </v>
      </c>
      <c r="L78" s="34" t="str">
        <f>IFERROR(__xludf.DUMMYFUNCTION("IF(IF(L$1="""","""",REGEXMATCH(LOWER($E78),XLOOKUP(L$1,Metadata!$A$2:$A1000,Metadata!$B$2:$B1000))),L$1,"""")"),"")</f>
        <v/>
      </c>
      <c r="M78" s="34" t="str">
        <f>IFERROR(__xludf.DUMMYFUNCTION("IF(IF(M$1="""","""",REGEXMATCH(LOWER($E78),XLOOKUP(M$1,Metadata!$A$2:$A1000,Metadata!$B$2:$B1000))),M$1,"""")"),"")</f>
        <v/>
      </c>
      <c r="N78" s="34" t="str">
        <f>IFERROR(__xludf.DUMMYFUNCTION("IF(IF(N$1="""","""",REGEXMATCH(LOWER($E78),XLOOKUP(N$1,Metadata!$A$2:$A1000,Metadata!$B$2:$B1000))),N$1,"""")"),"")</f>
        <v/>
      </c>
      <c r="O78" s="34" t="str">
        <f>IFERROR(__xludf.DUMMYFUNCTION("IF(IF(O$1="""","""",REGEXMATCH(LOWER($E78),XLOOKUP(O$1,Metadata!$A$2:$A1000,Metadata!$B$2:$B1000))),O$1,"""")"),"")</f>
        <v/>
      </c>
      <c r="P78" s="34" t="str">
        <f>IFERROR(__xludf.DUMMYFUNCTION("IF(IF(P$1="""","""",REGEXMATCH(LOWER($E78),XLOOKUP(P$1,Metadata!$A$2:$A1000,Metadata!$B$2:$B1000))),P$1,"""")"),"")</f>
        <v/>
      </c>
      <c r="Q78" s="34" t="str">
        <f>IFERROR(__xludf.DUMMYFUNCTION("IF(IF(Q$1="""","""",REGEXMATCH(LOWER($E78),XLOOKUP(Q$1,Metadata!$A$2:$A1000,Metadata!$B$2:$B1000))),Q$1,"""")"),"")</f>
        <v/>
      </c>
      <c r="R78" s="34" t="str">
        <f>IFERROR(__xludf.DUMMYFUNCTION("IF(IF(R$1="""","""",REGEXMATCH(LOWER($E78),XLOOKUP(R$1,Metadata!$A$2:$A1000,Metadata!$B$2:$B1000))),R$1,"""")"),"")</f>
        <v/>
      </c>
      <c r="S78" s="34" t="str">
        <f>IFERROR(__xludf.DUMMYFUNCTION("IF(IF(S$1="""","""",REGEXMATCH(LOWER($E78),XLOOKUP(S$1,Metadata!$A$2:$A1000,Metadata!$B$2:$B1000))),S$1,"""")"),"Control")</f>
        <v>Control</v>
      </c>
      <c r="T78" s="34" t="str">
        <f>IFERROR(__xludf.DUMMYFUNCTION("IF(IF(T$1="""","""",REGEXMATCH(LOWER($E78),XLOOKUP(T$1,Metadata!$A$2:$A1000,Metadata!$B$2:$B1000))),T$1,"""")"),"")</f>
        <v/>
      </c>
      <c r="U78" s="34" t="str">
        <f>IFERROR(__xludf.DUMMYFUNCTION("IF(IF(U$1="""","""",REGEXMATCH(LOWER($E78),XLOOKUP(U$1,Metadata!$A$2:$A1000,Metadata!$B$2:$B1000))),U$1,"""")"),"Aggro")</f>
        <v>Aggro</v>
      </c>
      <c r="V78" s="34" t="str">
        <f>IFERROR(__xludf.DUMMYFUNCTION("IF(IF(V$1="""","""",REGEXMATCH(LOWER($E78),XLOOKUP(V$1,Metadata!$A$2:$A1000,Metadata!$B$2:$B1000))),V$1,"""")"),"")</f>
        <v/>
      </c>
      <c r="W78" s="34" t="str">
        <f>IFERROR(__xludf.DUMMYFUNCTION("IF(IF(W$1="""","""",REGEXMATCH(LOWER($E78),XLOOKUP(W$1,Metadata!$A$2:$A1000,Metadata!$B$2:$B1000))),W$1,"""")"),"Move")</f>
        <v>Move</v>
      </c>
      <c r="X78" s="34" t="str">
        <f>IFERROR(__xludf.DUMMYFUNCTION("IF(IF(X$1="""","""",REGEXMATCH(LOWER($E78),XLOOKUP(X$1,Metadata!$A$2:$A1000,Metadata!$B$2:$B1000))),X$1,"""")"),"Ambush")</f>
        <v>Ambush</v>
      </c>
      <c r="Y78" s="34" t="str">
        <f>IFERROR(__xludf.DUMMYFUNCTION("IF(IF(Y$1="""","""",REGEXMATCH(LOWER($E78),XLOOKUP(Y$1,Metadata!$A$2:$A1000,Metadata!$B$2:$B1000))),Y$1,"""")"),"")</f>
        <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I79">XLOOKUP($A79,Cards!$A$2:$A1000,Cards!$B$2:$I1000,"")</f>
        <v>Divine Mortal</v>
      </c>
      <c r="C79" s="34">
        <v>1.0</v>
      </c>
      <c r="D79" s="34" t="s">
        <v>250</v>
      </c>
      <c r="E79" s="34" t="s">
        <v>441</v>
      </c>
      <c r="F79" s="34" t="s">
        <v>442</v>
      </c>
      <c r="G79" s="34">
        <v>4.0</v>
      </c>
      <c r="H79" s="34" t="s">
        <v>443</v>
      </c>
      <c r="I79" s="34" t="s">
        <v>32</v>
      </c>
      <c r="J79" s="34">
        <f>IFERROR(__xludf.DUMMYFUNCTION("LEN(REGEXREPLACE(XLOOKUP($A79,Cards!$A$2:$A1000,Cards!$H$2:$H1000,""""),"",\s"",""""))"),5.0)</f>
        <v>5</v>
      </c>
      <c r="K79" s="34" t="str">
        <f t="shared" si="1"/>
        <v>      Ramp   Aggro      </v>
      </c>
      <c r="L79" s="34" t="str">
        <f>IFERROR(__xludf.DUMMYFUNCTION("IF(IF(L$1="""","""",REGEXMATCH(LOWER($E79),XLOOKUP(L$1,Metadata!$A$2:$A1000,Metadata!$B$2:$B1000))),L$1,"""")"),"")</f>
        <v/>
      </c>
      <c r="M79" s="34" t="str">
        <f>IFERROR(__xludf.DUMMYFUNCTION("IF(IF(M$1="""","""",REGEXMATCH(LOWER($E79),XLOOKUP(M$1,Metadata!$A$2:$A1000,Metadata!$B$2:$B1000))),M$1,"""")"),"")</f>
        <v/>
      </c>
      <c r="N79" s="34" t="str">
        <f>IFERROR(__xludf.DUMMYFUNCTION("IF(IF(N$1="""","""",REGEXMATCH(LOWER($E79),XLOOKUP(N$1,Metadata!$A$2:$A1000,Metadata!$B$2:$B1000))),N$1,"""")"),"")</f>
        <v/>
      </c>
      <c r="O79" s="34" t="str">
        <f>IFERROR(__xludf.DUMMYFUNCTION("IF(IF(O$1="""","""",REGEXMATCH(LOWER($E79),XLOOKUP(O$1,Metadata!$A$2:$A1000,Metadata!$B$2:$B1000))),O$1,"""")"),"")</f>
        <v/>
      </c>
      <c r="P79" s="34" t="str">
        <f>IFERROR(__xludf.DUMMYFUNCTION("IF(IF(P$1="""","""",REGEXMATCH(LOWER($E79),XLOOKUP(P$1,Metadata!$A$2:$A1000,Metadata!$B$2:$B1000))),P$1,"""")"),"")</f>
        <v/>
      </c>
      <c r="Q79" s="34" t="str">
        <f>IFERROR(__xludf.DUMMYFUNCTION("IF(IF(Q$1="""","""",REGEXMATCH(LOWER($E79),XLOOKUP(Q$1,Metadata!$A$2:$A1000,Metadata!$B$2:$B1000))),Q$1,"""")"),"")</f>
        <v/>
      </c>
      <c r="R79" s="34" t="str">
        <f>IFERROR(__xludf.DUMMYFUNCTION("IF(IF(R$1="""","""",REGEXMATCH(LOWER($E79),XLOOKUP(R$1,Metadata!$A$2:$A1000,Metadata!$B$2:$B1000))),R$1,"""")"),"Ramp")</f>
        <v>Ramp</v>
      </c>
      <c r="S79" s="34" t="str">
        <f>IFERROR(__xludf.DUMMYFUNCTION("IF(IF(S$1="""","""",REGEXMATCH(LOWER($E79),XLOOKUP(S$1,Metadata!$A$2:$A1000,Metadata!$B$2:$B1000))),S$1,"""")"),"")</f>
        <v/>
      </c>
      <c r="T79" s="34" t="str">
        <f>IFERROR(__xludf.DUMMYFUNCTION("IF(IF(T$1="""","""",REGEXMATCH(LOWER($E79),XLOOKUP(T$1,Metadata!$A$2:$A1000,Metadata!$B$2:$B1000))),T$1,"""")"),"")</f>
        <v/>
      </c>
      <c r="U79" s="34" t="str">
        <f>IFERROR(__xludf.DUMMYFUNCTION("IF(IF(U$1="""","""",REGEXMATCH(LOWER($E79),XLOOKUP(U$1,Metadata!$A$2:$A1000,Metadata!$B$2:$B1000))),U$1,"""")"),"Aggro")</f>
        <v>Aggro</v>
      </c>
      <c r="V79" s="34" t="str">
        <f>IFERROR(__xludf.DUMMYFUNCTION("IF(IF(V$1="""","""",REGEXMATCH(LOWER($E79),XLOOKUP(V$1,Metadata!$A$2:$A1000,Metadata!$B$2:$B1000))),V$1,"""")"),"")</f>
        <v/>
      </c>
      <c r="W79" s="34" t="str">
        <f>IFERROR(__xludf.DUMMYFUNCTION("IF(IF(W$1="""","""",REGEXMATCH(LOWER($E79),XLOOKUP(W$1,Metadata!$A$2:$A1000,Metadata!$B$2:$B1000))),W$1,"""")"),"")</f>
        <v/>
      </c>
      <c r="X79" s="34" t="str">
        <f>IFERROR(__xludf.DUMMYFUNCTION("IF(IF(X$1="""","""",REGEXMATCH(LOWER($E79),XLOOKUP(X$1,Metadata!$A$2:$A1000,Metadata!$B$2:$B1000))),X$1,"""")"),"")</f>
        <v/>
      </c>
      <c r="Y79" s="34" t="str">
        <f>IFERROR(__xludf.DUMMYFUNCTION("IF(IF(Y$1="""","""",REGEXMATCH(LOWER($E79),XLOOKUP(Y$1,Metadata!$A$2:$A1000,Metadata!$B$2:$B1000))),Y$1,"""")"),"")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I80">XLOOKUP($A80,Cards!$A$2:$A1000,Cards!$B$2:$I1000,"")</f>
        <v>Elemental</v>
      </c>
      <c r="C80" s="34">
        <v>2.0</v>
      </c>
      <c r="D80" s="34" t="s">
        <v>447</v>
      </c>
      <c r="E80" s="34" t="s">
        <v>448</v>
      </c>
      <c r="F80" s="34" t="s">
        <v>449</v>
      </c>
      <c r="G80" s="34">
        <v>3.0</v>
      </c>
      <c r="H80" s="34" t="s">
        <v>421</v>
      </c>
      <c r="I80" s="34" t="s">
        <v>26</v>
      </c>
      <c r="J80" s="34">
        <f>IFERROR(__xludf.DUMMYFUNCTION("LEN(REGEXREPLACE(XLOOKUP($A80,Cards!$A$2:$A1000,Cards!$H$2:$H1000,""""),"",\s"",""""))"),3.0)</f>
        <v>3</v>
      </c>
      <c r="K80" s="34" t="str">
        <f t="shared" si="1"/>
        <v>               </v>
      </c>
      <c r="L80" s="34" t="str">
        <f>IFERROR(__xludf.DUMMYFUNCTION("IF(IF(L$1="""","""",REGEXMATCH(LOWER($E80),XLOOKUP(L$1,Metadata!$A$2:$A1000,Metadata!$B$2:$B1000))),L$1,"""")"),"")</f>
        <v/>
      </c>
      <c r="M80" s="34" t="str">
        <f>IFERROR(__xludf.DUMMYFUNCTION("IF(IF(M$1="""","""",REGEXMATCH(LOWER($E80),XLOOKUP(M$1,Metadata!$A$2:$A1000,Metadata!$B$2:$B1000))),M$1,"""")"),"")</f>
        <v/>
      </c>
      <c r="N80" s="34" t="str">
        <f>IFERROR(__xludf.DUMMYFUNCTION("IF(IF(N$1="""","""",REGEXMATCH(LOWER($E80),XLOOKUP(N$1,Metadata!$A$2:$A1000,Metadata!$B$2:$B1000))),N$1,"""")"),"")</f>
        <v/>
      </c>
      <c r="O80" s="34" t="str">
        <f>IFERROR(__xludf.DUMMYFUNCTION("IF(IF(O$1="""","""",REGEXMATCH(LOWER($E80),XLOOKUP(O$1,Metadata!$A$2:$A1000,Metadata!$B$2:$B1000))),O$1,"""")"),"")</f>
        <v/>
      </c>
      <c r="P80" s="34" t="str">
        <f>IFERROR(__xludf.DUMMYFUNCTION("IF(IF(P$1="""","""",REGEXMATCH(LOWER($E80),XLOOKUP(P$1,Metadata!$A$2:$A1000,Metadata!$B$2:$B1000))),P$1,"""")"),"")</f>
        <v/>
      </c>
      <c r="Q80" s="34" t="str">
        <f>IFERROR(__xludf.DUMMYFUNCTION("IF(IF(Q$1="""","""",REGEXMATCH(LOWER($E80),XLOOKUP(Q$1,Metadata!$A$2:$A1000,Metadata!$B$2:$B1000))),Q$1,"""")"),"")</f>
        <v/>
      </c>
      <c r="R80" s="34" t="str">
        <f>IFERROR(__xludf.DUMMYFUNCTION("IF(IF(R$1="""","""",REGEXMATCH(LOWER($E80),XLOOKUP(R$1,Metadata!$A$2:$A1000,Metadata!$B$2:$B1000))),R$1,"""")"),"")</f>
        <v/>
      </c>
      <c r="S80" s="34" t="str">
        <f>IFERROR(__xludf.DUMMYFUNCTION("IF(IF(S$1="""","""",REGEXMATCH(LOWER($E80),XLOOKUP(S$1,Metadata!$A$2:$A1000,Metadata!$B$2:$B1000))),S$1,"""")"),"")</f>
        <v/>
      </c>
      <c r="T80" s="34" t="str">
        <f>IFERROR(__xludf.DUMMYFUNCTION("IF(IF(T$1="""","""",REGEXMATCH(LOWER($E80),XLOOKUP(T$1,Metadata!$A$2:$A1000,Metadata!$B$2:$B1000))),T$1,"""")"),"")</f>
        <v/>
      </c>
      <c r="U80" s="34" t="str">
        <f>IFERROR(__xludf.DUMMYFUNCTION("IF(IF(U$1="""","""",REGEXMATCH(LOWER($E80),XLOOKUP(U$1,Metadata!$A$2:$A1000,Metadata!$B$2:$B1000))),U$1,"""")"),"")</f>
        <v/>
      </c>
      <c r="V80" s="34" t="str">
        <f>IFERROR(__xludf.DUMMYFUNCTION("IF(IF(V$1="""","""",REGEXMATCH(LOWER($E80),XLOOKUP(V$1,Metadata!$A$2:$A1000,Metadata!$B$2:$B1000))),V$1,"""")"),"")</f>
        <v/>
      </c>
      <c r="W80" s="34" t="str">
        <f>IFERROR(__xludf.DUMMYFUNCTION("IF(IF(W$1="""","""",REGEXMATCH(LOWER($E80),XLOOKUP(W$1,Metadata!$A$2:$A1000,Metadata!$B$2:$B1000))),W$1,"""")"),"")</f>
        <v/>
      </c>
      <c r="X80" s="34" t="str">
        <f>IFERROR(__xludf.DUMMYFUNCTION("IF(IF(X$1="""","""",REGEXMATCH(LOWER($E80),XLOOKUP(X$1,Metadata!$A$2:$A1000,Metadata!$B$2:$B1000))),X$1,"""")"),"")</f>
        <v/>
      </c>
      <c r="Y80" s="34" t="str">
        <f>IFERROR(__xludf.DUMMYFUNCTION("IF(IF(Y$1="""","""",REGEXMATCH(LOWER($E80),XLOOKUP(Y$1,Metadata!$A$2:$A1000,Metadata!$B$2:$B1000))),Y$1,"""")"),"")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I81">XLOOKUP($A81,Cards!$A$2:$A1000,Cards!$B$2:$I1000,"")</f>
        <v>Divine Nature</v>
      </c>
      <c r="C81" s="34">
        <v>1.0</v>
      </c>
      <c r="D81" s="34" t="s">
        <v>451</v>
      </c>
      <c r="E81" s="34" t="s">
        <v>452</v>
      </c>
      <c r="F81" s="34" t="s">
        <v>453</v>
      </c>
      <c r="G81" s="34">
        <v>3.0</v>
      </c>
      <c r="H81" s="34" t="s">
        <v>454</v>
      </c>
      <c r="I81" s="34" t="s">
        <v>70</v>
      </c>
      <c r="J81" s="34">
        <f>IFERROR(__xludf.DUMMYFUNCTION("LEN(REGEXREPLACE(XLOOKUP($A81,Cards!$A$2:$A1000,Cards!$H$2:$H1000,""""),"",\s"",""""))"),4.0)</f>
        <v>4</v>
      </c>
      <c r="K81" s="34" t="str">
        <f t="shared" si="1"/>
        <v>               </v>
      </c>
      <c r="L81" s="34" t="str">
        <f>IFERROR(__xludf.DUMMYFUNCTION("IF(IF(L$1="""","""",REGEXMATCH(LOWER($E81),XLOOKUP(L$1,Metadata!$A$2:$A1000,Metadata!$B$2:$B1000))),L$1,"""")"),"")</f>
        <v/>
      </c>
      <c r="M81" s="34" t="str">
        <f>IFERROR(__xludf.DUMMYFUNCTION("IF(IF(M$1="""","""",REGEXMATCH(LOWER($E81),XLOOKUP(M$1,Metadata!$A$2:$A1000,Metadata!$B$2:$B1000))),M$1,"""")"),"")</f>
        <v/>
      </c>
      <c r="N81" s="34" t="str">
        <f>IFERROR(__xludf.DUMMYFUNCTION("IF(IF(N$1="""","""",REGEXMATCH(LOWER($E81),XLOOKUP(N$1,Metadata!$A$2:$A1000,Metadata!$B$2:$B1000))),N$1,"""")"),"")</f>
        <v/>
      </c>
      <c r="O81" s="34" t="str">
        <f>IFERROR(__xludf.DUMMYFUNCTION("IF(IF(O$1="""","""",REGEXMATCH(LOWER($E81),XLOOKUP(O$1,Metadata!$A$2:$A1000,Metadata!$B$2:$B1000))),O$1,"""")"),"")</f>
        <v/>
      </c>
      <c r="P81" s="34" t="str">
        <f>IFERROR(__xludf.DUMMYFUNCTION("IF(IF(P$1="""","""",REGEXMATCH(LOWER($E81),XLOOKUP(P$1,Metadata!$A$2:$A1000,Metadata!$B$2:$B1000))),P$1,"""")"),"")</f>
        <v/>
      </c>
      <c r="Q81" s="34" t="str">
        <f>IFERROR(__xludf.DUMMYFUNCTION("IF(IF(Q$1="""","""",REGEXMATCH(LOWER($E81),XLOOKUP(Q$1,Metadata!$A$2:$A1000,Metadata!$B$2:$B1000))),Q$1,"""")"),"")</f>
        <v/>
      </c>
      <c r="R81" s="34" t="str">
        <f>IFERROR(__xludf.DUMMYFUNCTION("IF(IF(R$1="""","""",REGEXMATCH(LOWER($E81),XLOOKUP(R$1,Metadata!$A$2:$A1000,Metadata!$B$2:$B1000))),R$1,"""")"),"")</f>
        <v/>
      </c>
      <c r="S81" s="34" t="str">
        <f>IFERROR(__xludf.DUMMYFUNCTION("IF(IF(S$1="""","""",REGEXMATCH(LOWER($E81),XLOOKUP(S$1,Metadata!$A$2:$A1000,Metadata!$B$2:$B1000))),S$1,"""")"),"")</f>
        <v/>
      </c>
      <c r="T81" s="34" t="str">
        <f>IFERROR(__xludf.DUMMYFUNCTION("IF(IF(T$1="""","""",REGEXMATCH(LOWER($E81),XLOOKUP(T$1,Metadata!$A$2:$A1000,Metadata!$B$2:$B1000))),T$1,"""")"),"")</f>
        <v/>
      </c>
      <c r="U81" s="34" t="str">
        <f>IFERROR(__xludf.DUMMYFUNCTION("IF(IF(U$1="""","""",REGEXMATCH(LOWER($E81),XLOOKUP(U$1,Metadata!$A$2:$A1000,Metadata!$B$2:$B1000))),U$1,"""")"),"")</f>
        <v/>
      </c>
      <c r="V81" s="34" t="str">
        <f>IFERROR(__xludf.DUMMYFUNCTION("IF(IF(V$1="""","""",REGEXMATCH(LOWER($E81),XLOOKUP(V$1,Metadata!$A$2:$A1000,Metadata!$B$2:$B1000))),V$1,"""")"),"")</f>
        <v/>
      </c>
      <c r="W81" s="34" t="str">
        <f>IFERROR(__xludf.DUMMYFUNCTION("IF(IF(W$1="""","""",REGEXMATCH(LOWER($E81),XLOOKUP(W$1,Metadata!$A$2:$A1000,Metadata!$B$2:$B1000))),W$1,"""")"),"")</f>
        <v/>
      </c>
      <c r="X81" s="34" t="str">
        <f>IFERROR(__xludf.DUMMYFUNCTION("IF(IF(X$1="""","""",REGEXMATCH(LOWER($E81),XLOOKUP(X$1,Metadata!$A$2:$A1000,Metadata!$B$2:$B1000))),X$1,"""")"),"")</f>
        <v/>
      </c>
      <c r="Y81" s="34" t="str">
        <f>IFERROR(__xludf.DUMMYFUNCTION("IF(IF(Y$1="""","""",REGEXMATCH(LOWER($E81),XLOOKUP(Y$1,Metadata!$A$2:$A1000,Metadata!$B$2:$B1000))),Y$1,"""")"),"")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I82">XLOOKUP($A82,Cards!$A$2:$A1000,Cards!$B$2:$I1000,"")</f>
        <v>Divine Nature</v>
      </c>
      <c r="C82" s="34">
        <v>1.0</v>
      </c>
      <c r="D82" s="34" t="s">
        <v>458</v>
      </c>
      <c r="E82" s="34"/>
      <c r="F82" s="34" t="s">
        <v>459</v>
      </c>
      <c r="G82" s="34">
        <v>2.0</v>
      </c>
      <c r="H82" s="34" t="s">
        <v>460</v>
      </c>
      <c r="I82" s="34" t="s">
        <v>26</v>
      </c>
      <c r="J82" s="34">
        <f>IFERROR(__xludf.DUMMYFUNCTION("LEN(REGEXREPLACE(XLOOKUP($A82,Cards!$A$2:$A1000,Cards!$H$2:$H1000,""""),"",\s"",""""))"),2.0)</f>
        <v>2</v>
      </c>
      <c r="K82" s="34" t="str">
        <f t="shared" si="1"/>
        <v>               </v>
      </c>
      <c r="L82" s="34" t="str">
        <f>IFERROR(__xludf.DUMMYFUNCTION("IF(IF(L$1="""","""",REGEXMATCH(LOWER($E82),XLOOKUP(L$1,Metadata!$A$2:$A1000,Metadata!$B$2:$B1000))),L$1,"""")"),"")</f>
        <v/>
      </c>
      <c r="M82" s="34" t="str">
        <f>IFERROR(__xludf.DUMMYFUNCTION("IF(IF(M$1="""","""",REGEXMATCH(LOWER($E82),XLOOKUP(M$1,Metadata!$A$2:$A1000,Metadata!$B$2:$B1000))),M$1,"""")"),"")</f>
        <v/>
      </c>
      <c r="N82" s="34" t="str">
        <f>IFERROR(__xludf.DUMMYFUNCTION("IF(IF(N$1="""","""",REGEXMATCH(LOWER($E82),XLOOKUP(N$1,Metadata!$A$2:$A1000,Metadata!$B$2:$B1000))),N$1,"""")"),"")</f>
        <v/>
      </c>
      <c r="O82" s="34" t="str">
        <f>IFERROR(__xludf.DUMMYFUNCTION("IF(IF(O$1="""","""",REGEXMATCH(LOWER($E82),XLOOKUP(O$1,Metadata!$A$2:$A1000,Metadata!$B$2:$B1000))),O$1,"""")"),"")</f>
        <v/>
      </c>
      <c r="P82" s="34" t="str">
        <f>IFERROR(__xludf.DUMMYFUNCTION("IF(IF(P$1="""","""",REGEXMATCH(LOWER($E82),XLOOKUP(P$1,Metadata!$A$2:$A1000,Metadata!$B$2:$B1000))),P$1,"""")"),"")</f>
        <v/>
      </c>
      <c r="Q82" s="34" t="str">
        <f>IFERROR(__xludf.DUMMYFUNCTION("IF(IF(Q$1="""","""",REGEXMATCH(LOWER($E82),XLOOKUP(Q$1,Metadata!$A$2:$A1000,Metadata!$B$2:$B1000))),Q$1,"""")"),"")</f>
        <v/>
      </c>
      <c r="R82" s="34" t="str">
        <f>IFERROR(__xludf.DUMMYFUNCTION("IF(IF(R$1="""","""",REGEXMATCH(LOWER($E82),XLOOKUP(R$1,Metadata!$A$2:$A1000,Metadata!$B$2:$B1000))),R$1,"""")"),"")</f>
        <v/>
      </c>
      <c r="S82" s="34" t="str">
        <f>IFERROR(__xludf.DUMMYFUNCTION("IF(IF(S$1="""","""",REGEXMATCH(LOWER($E82),XLOOKUP(S$1,Metadata!$A$2:$A1000,Metadata!$B$2:$B1000))),S$1,"""")"),"")</f>
        <v/>
      </c>
      <c r="T82" s="34" t="str">
        <f>IFERROR(__xludf.DUMMYFUNCTION("IF(IF(T$1="""","""",REGEXMATCH(LOWER($E82),XLOOKUP(T$1,Metadata!$A$2:$A1000,Metadata!$B$2:$B1000))),T$1,"""")"),"")</f>
        <v/>
      </c>
      <c r="U82" s="34" t="str">
        <f>IFERROR(__xludf.DUMMYFUNCTION("IF(IF(U$1="""","""",REGEXMATCH(LOWER($E82),XLOOKUP(U$1,Metadata!$A$2:$A1000,Metadata!$B$2:$B1000))),U$1,"""")"),"")</f>
        <v/>
      </c>
      <c r="V82" s="34" t="str">
        <f>IFERROR(__xludf.DUMMYFUNCTION("IF(IF(V$1="""","""",REGEXMATCH(LOWER($E82),XLOOKUP(V$1,Metadata!$A$2:$A1000,Metadata!$B$2:$B1000))),V$1,"""")"),"")</f>
        <v/>
      </c>
      <c r="W82" s="34" t="str">
        <f>IFERROR(__xludf.DUMMYFUNCTION("IF(IF(W$1="""","""",REGEXMATCH(LOWER($E82),XLOOKUP(W$1,Metadata!$A$2:$A1000,Metadata!$B$2:$B1000))),W$1,"""")"),"")</f>
        <v/>
      </c>
      <c r="X82" s="34" t="str">
        <f>IFERROR(__xludf.DUMMYFUNCTION("IF(IF(X$1="""","""",REGEXMATCH(LOWER($E82),XLOOKUP(X$1,Metadata!$A$2:$A1000,Metadata!$B$2:$B1000))),X$1,"""")"),"")</f>
        <v/>
      </c>
      <c r="Y82" s="34" t="str">
        <f>IFERROR(__xludf.DUMMYFUNCTION("IF(IF(Y$1="""","""",REGEXMATCH(LOWER($E82),XLOOKUP(Y$1,Metadata!$A$2:$A1000,Metadata!$B$2:$B1000))),Y$1,"""")"),"")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I83">XLOOKUP($A83,Cards!$A$2:$A1000,Cards!$B$2:$I1000,"")</f>
        <v>Divine Nature</v>
      </c>
      <c r="C83" s="34">
        <v>1.0</v>
      </c>
      <c r="D83" s="34" t="s">
        <v>466</v>
      </c>
      <c r="E83" s="34" t="s">
        <v>467</v>
      </c>
      <c r="F83" s="34" t="s">
        <v>468</v>
      </c>
      <c r="G83" s="34">
        <v>0.0</v>
      </c>
      <c r="H83" s="34" t="s">
        <v>469</v>
      </c>
      <c r="I83" s="34" t="s">
        <v>32</v>
      </c>
      <c r="J83" s="34">
        <f>IFERROR(__xludf.DUMMYFUNCTION("LEN(REGEXREPLACE(XLOOKUP($A83,Cards!$A$2:$A1000,Cards!$H$2:$H1000,""""),"",\s"",""""))"),5.0)</f>
        <v>5</v>
      </c>
      <c r="K83" s="34" t="str">
        <f t="shared" si="1"/>
        <v>      Ramp         </v>
      </c>
      <c r="L83" s="34" t="str">
        <f>IFERROR(__xludf.DUMMYFUNCTION("IF(IF(L$1="""","""",REGEXMATCH(LOWER($E83),XLOOKUP(L$1,Metadata!$A$2:$A1000,Metadata!$B$2:$B1000))),L$1,"""")"),"")</f>
        <v/>
      </c>
      <c r="M83" s="34" t="str">
        <f>IFERROR(__xludf.DUMMYFUNCTION("IF(IF(M$1="""","""",REGEXMATCH(LOWER($E83),XLOOKUP(M$1,Metadata!$A$2:$A1000,Metadata!$B$2:$B1000))),M$1,"""")"),"")</f>
        <v/>
      </c>
      <c r="N83" s="34" t="str">
        <f>IFERROR(__xludf.DUMMYFUNCTION("IF(IF(N$1="""","""",REGEXMATCH(LOWER($E83),XLOOKUP(N$1,Metadata!$A$2:$A1000,Metadata!$B$2:$B1000))),N$1,"""")"),"")</f>
        <v/>
      </c>
      <c r="O83" s="34" t="str">
        <f>IFERROR(__xludf.DUMMYFUNCTION("IF(IF(O$1="""","""",REGEXMATCH(LOWER($E83),XLOOKUP(O$1,Metadata!$A$2:$A1000,Metadata!$B$2:$B1000))),O$1,"""")"),"")</f>
        <v/>
      </c>
      <c r="P83" s="34" t="str">
        <f>IFERROR(__xludf.DUMMYFUNCTION("IF(IF(P$1="""","""",REGEXMATCH(LOWER($E83),XLOOKUP(P$1,Metadata!$A$2:$A1000,Metadata!$B$2:$B1000))),P$1,"""")"),"")</f>
        <v/>
      </c>
      <c r="Q83" s="34" t="str">
        <f>IFERROR(__xludf.DUMMYFUNCTION("IF(IF(Q$1="""","""",REGEXMATCH(LOWER($E83),XLOOKUP(Q$1,Metadata!$A$2:$A1000,Metadata!$B$2:$B1000))),Q$1,"""")"),"")</f>
        <v/>
      </c>
      <c r="R83" s="34" t="str">
        <f>IFERROR(__xludf.DUMMYFUNCTION("IF(IF(R$1="""","""",REGEXMATCH(LOWER($E83),XLOOKUP(R$1,Metadata!$A$2:$A1000,Metadata!$B$2:$B1000))),R$1,"""")"),"Ramp")</f>
        <v>Ramp</v>
      </c>
      <c r="S83" s="34" t="str">
        <f>IFERROR(__xludf.DUMMYFUNCTION("IF(IF(S$1="""","""",REGEXMATCH(LOWER($E83),XLOOKUP(S$1,Metadata!$A$2:$A1000,Metadata!$B$2:$B1000))),S$1,"""")"),"")</f>
        <v/>
      </c>
      <c r="T83" s="34" t="str">
        <f>IFERROR(__xludf.DUMMYFUNCTION("IF(IF(T$1="""","""",REGEXMATCH(LOWER($E83),XLOOKUP(T$1,Metadata!$A$2:$A1000,Metadata!$B$2:$B1000))),T$1,"""")"),"")</f>
        <v/>
      </c>
      <c r="U83" s="34" t="str">
        <f>IFERROR(__xludf.DUMMYFUNCTION("IF(IF(U$1="""","""",REGEXMATCH(LOWER($E83),XLOOKUP(U$1,Metadata!$A$2:$A1000,Metadata!$B$2:$B1000))),U$1,"""")"),"")</f>
        <v/>
      </c>
      <c r="V83" s="34" t="str">
        <f>IFERROR(__xludf.DUMMYFUNCTION("IF(IF(V$1="""","""",REGEXMATCH(LOWER($E83),XLOOKUP(V$1,Metadata!$A$2:$A1000,Metadata!$B$2:$B1000))),V$1,"""")"),"")</f>
        <v/>
      </c>
      <c r="W83" s="34" t="str">
        <f>IFERROR(__xludf.DUMMYFUNCTION("IF(IF(W$1="""","""",REGEXMATCH(LOWER($E83),XLOOKUP(W$1,Metadata!$A$2:$A1000,Metadata!$B$2:$B1000))),W$1,"""")"),"")</f>
        <v/>
      </c>
      <c r="X83" s="34" t="str">
        <f>IFERROR(__xludf.DUMMYFUNCTION("IF(IF(X$1="""","""",REGEXMATCH(LOWER($E83),XLOOKUP(X$1,Metadata!$A$2:$A1000,Metadata!$B$2:$B1000))),X$1,"""")"),"")</f>
        <v/>
      </c>
      <c r="Y83" s="34" t="str">
        <f>IFERROR(__xludf.DUMMYFUNCTION("IF(IF(Y$1="""","""",REGEXMATCH(LOWER($E83),XLOOKUP(Y$1,Metadata!$A$2:$A1000,Metadata!$B$2:$B1000))),Y$1,"""")"),"")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I84">XLOOKUP($A84,Cards!$A$2:$A1000,Cards!$B$2:$I1000,"")</f>
        <v>Divine Void</v>
      </c>
      <c r="C84" s="34">
        <v>1.0</v>
      </c>
      <c r="D84" s="34" t="s">
        <v>238</v>
      </c>
      <c r="E84" s="34" t="s">
        <v>473</v>
      </c>
      <c r="F84" s="34" t="s">
        <v>474</v>
      </c>
      <c r="G84" s="34">
        <v>3.0</v>
      </c>
      <c r="H84" s="34" t="s">
        <v>475</v>
      </c>
      <c r="I84" s="34" t="s">
        <v>70</v>
      </c>
      <c r="J84" s="34">
        <f>IFERROR(__xludf.DUMMYFUNCTION("LEN(REGEXREPLACE(XLOOKUP($A84,Cards!$A$2:$A1000,Cards!$H$2:$H1000,""""),"",\s"",""""))"),3.0)</f>
        <v>3</v>
      </c>
      <c r="K84" s="34" t="str">
        <f t="shared" si="1"/>
        <v>Divine    Void           </v>
      </c>
      <c r="L84" s="34" t="str">
        <f>IFERROR(__xludf.DUMMYFUNCTION("IF(IF(L$1="""","""",REGEXMATCH(LOWER($E84),XLOOKUP(L$1,Metadata!$A$2:$A1000,Metadata!$B$2:$B1000))),L$1,"""")"),"Divine")</f>
        <v>Divine</v>
      </c>
      <c r="M84" s="34" t="str">
        <f>IFERROR(__xludf.DUMMYFUNCTION("IF(IF(M$1="""","""",REGEXMATCH(LOWER($E84),XLOOKUP(M$1,Metadata!$A$2:$A1000,Metadata!$B$2:$B1000))),M$1,"""")"),"")</f>
        <v/>
      </c>
      <c r="N84" s="34" t="str">
        <f>IFERROR(__xludf.DUMMYFUNCTION("IF(IF(N$1="""","""",REGEXMATCH(LOWER($E84),XLOOKUP(N$1,Metadata!$A$2:$A1000,Metadata!$B$2:$B1000))),N$1,"""")"),"")</f>
        <v/>
      </c>
      <c r="O84" s="34" t="str">
        <f>IFERROR(__xludf.DUMMYFUNCTION("IF(IF(O$1="""","""",REGEXMATCH(LOWER($E84),XLOOKUP(O$1,Metadata!$A$2:$A1000,Metadata!$B$2:$B1000))),O$1,"""")"),"")</f>
        <v/>
      </c>
      <c r="P84" s="34" t="str">
        <f>IFERROR(__xludf.DUMMYFUNCTION("IF(IF(P$1="""","""",REGEXMATCH(LOWER($E84),XLOOKUP(P$1,Metadata!$A$2:$A1000,Metadata!$B$2:$B1000))),P$1,"""")"),"Void")</f>
        <v>Void</v>
      </c>
      <c r="Q84" s="34" t="str">
        <f>IFERROR(__xludf.DUMMYFUNCTION("IF(IF(Q$1="""","""",REGEXMATCH(LOWER($E84),XLOOKUP(Q$1,Metadata!$A$2:$A1000,Metadata!$B$2:$B1000))),Q$1,"""")"),"")</f>
        <v/>
      </c>
      <c r="R84" s="34" t="str">
        <f>IFERROR(__xludf.DUMMYFUNCTION("IF(IF(R$1="""","""",REGEXMATCH(LOWER($E84),XLOOKUP(R$1,Metadata!$A$2:$A1000,Metadata!$B$2:$B1000))),R$1,"""")"),"")</f>
        <v/>
      </c>
      <c r="S84" s="34" t="str">
        <f>IFERROR(__xludf.DUMMYFUNCTION("IF(IF(S$1="""","""",REGEXMATCH(LOWER($E84),XLOOKUP(S$1,Metadata!$A$2:$A1000,Metadata!$B$2:$B1000))),S$1,"""")"),"")</f>
        <v/>
      </c>
      <c r="T84" s="34" t="str">
        <f>IFERROR(__xludf.DUMMYFUNCTION("IF(IF(T$1="""","""",REGEXMATCH(LOWER($E84),XLOOKUP(T$1,Metadata!$A$2:$A1000,Metadata!$B$2:$B1000))),T$1,"""")"),"")</f>
        <v/>
      </c>
      <c r="U84" s="34" t="str">
        <f>IFERROR(__xludf.DUMMYFUNCTION("IF(IF(U$1="""","""",REGEXMATCH(LOWER($E84),XLOOKUP(U$1,Metadata!$A$2:$A1000,Metadata!$B$2:$B1000))),U$1,"""")"),"")</f>
        <v/>
      </c>
      <c r="V84" s="34" t="str">
        <f>IFERROR(__xludf.DUMMYFUNCTION("IF(IF(V$1="""","""",REGEXMATCH(LOWER($E84),XLOOKUP(V$1,Metadata!$A$2:$A1000,Metadata!$B$2:$B1000))),V$1,"""")"),"")</f>
        <v/>
      </c>
      <c r="W84" s="34" t="str">
        <f>IFERROR(__xludf.DUMMYFUNCTION("IF(IF(W$1="""","""",REGEXMATCH(LOWER($E84),XLOOKUP(W$1,Metadata!$A$2:$A1000,Metadata!$B$2:$B1000))),W$1,"""")"),"")</f>
        <v/>
      </c>
      <c r="X84" s="34" t="str">
        <f>IFERROR(__xludf.DUMMYFUNCTION("IF(IF(X$1="""","""",REGEXMATCH(LOWER($E84),XLOOKUP(X$1,Metadata!$A$2:$A1000,Metadata!$B$2:$B1000))),X$1,"""")"),"")</f>
        <v/>
      </c>
      <c r="Y84" s="34" t="str">
        <f>IFERROR(__xludf.DUMMYFUNCTION("IF(IF(Y$1="""","""",REGEXMATCH(LOWER($E84),XLOOKUP(Y$1,Metadata!$A$2:$A1000,Metadata!$B$2:$B1000))),Y$1,"""")"),"")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I85">XLOOKUP($A85,Cards!$A$2:$A1000,Cards!$B$2:$I1000,"")</f>
        <v>Divine Void</v>
      </c>
      <c r="C85" s="34">
        <v>1.0</v>
      </c>
      <c r="D85" s="34" t="s">
        <v>396</v>
      </c>
      <c r="E85" s="34"/>
      <c r="F85" s="34" t="s">
        <v>485</v>
      </c>
      <c r="G85" s="34">
        <v>2.0</v>
      </c>
      <c r="H85" s="34" t="s">
        <v>486</v>
      </c>
      <c r="I85" s="34" t="s">
        <v>26</v>
      </c>
      <c r="J85" s="34">
        <f>IFERROR(__xludf.DUMMYFUNCTION("LEN(REGEXREPLACE(XLOOKUP($A85,Cards!$A$2:$A1000,Cards!$H$2:$H1000,""""),"",\s"",""""))"),2.0)</f>
        <v>2</v>
      </c>
      <c r="K85" s="34" t="str">
        <f t="shared" si="1"/>
        <v>               </v>
      </c>
      <c r="L85" s="34" t="str">
        <f>IFERROR(__xludf.DUMMYFUNCTION("IF(IF(L$1="""","""",REGEXMATCH(LOWER($E85),XLOOKUP(L$1,Metadata!$A$2:$A1000,Metadata!$B$2:$B1000))),L$1,"""")"),"")</f>
        <v/>
      </c>
      <c r="M85" s="34" t="str">
        <f>IFERROR(__xludf.DUMMYFUNCTION("IF(IF(M$1="""","""",REGEXMATCH(LOWER($E85),XLOOKUP(M$1,Metadata!$A$2:$A1000,Metadata!$B$2:$B1000))),M$1,"""")"),"")</f>
        <v/>
      </c>
      <c r="N85" s="34" t="str">
        <f>IFERROR(__xludf.DUMMYFUNCTION("IF(IF(N$1="""","""",REGEXMATCH(LOWER($E85),XLOOKUP(N$1,Metadata!$A$2:$A1000,Metadata!$B$2:$B1000))),N$1,"""")"),"")</f>
        <v/>
      </c>
      <c r="O85" s="34" t="str">
        <f>IFERROR(__xludf.DUMMYFUNCTION("IF(IF(O$1="""","""",REGEXMATCH(LOWER($E85),XLOOKUP(O$1,Metadata!$A$2:$A1000,Metadata!$B$2:$B1000))),O$1,"""")"),"")</f>
        <v/>
      </c>
      <c r="P85" s="34" t="str">
        <f>IFERROR(__xludf.DUMMYFUNCTION("IF(IF(P$1="""","""",REGEXMATCH(LOWER($E85),XLOOKUP(P$1,Metadata!$A$2:$A1000,Metadata!$B$2:$B1000))),P$1,"""")"),"")</f>
        <v/>
      </c>
      <c r="Q85" s="34" t="str">
        <f>IFERROR(__xludf.DUMMYFUNCTION("IF(IF(Q$1="""","""",REGEXMATCH(LOWER($E85),XLOOKUP(Q$1,Metadata!$A$2:$A1000,Metadata!$B$2:$B1000))),Q$1,"""")"),"")</f>
        <v/>
      </c>
      <c r="R85" s="34" t="str">
        <f>IFERROR(__xludf.DUMMYFUNCTION("IF(IF(R$1="""","""",REGEXMATCH(LOWER($E85),XLOOKUP(R$1,Metadata!$A$2:$A1000,Metadata!$B$2:$B1000))),R$1,"""")"),"")</f>
        <v/>
      </c>
      <c r="S85" s="34" t="str">
        <f>IFERROR(__xludf.DUMMYFUNCTION("IF(IF(S$1="""","""",REGEXMATCH(LOWER($E85),XLOOKUP(S$1,Metadata!$A$2:$A1000,Metadata!$B$2:$B1000))),S$1,"""")"),"")</f>
        <v/>
      </c>
      <c r="T85" s="34" t="str">
        <f>IFERROR(__xludf.DUMMYFUNCTION("IF(IF(T$1="""","""",REGEXMATCH(LOWER($E85),XLOOKUP(T$1,Metadata!$A$2:$A1000,Metadata!$B$2:$B1000))),T$1,"""")"),"")</f>
        <v/>
      </c>
      <c r="U85" s="34" t="str">
        <f>IFERROR(__xludf.DUMMYFUNCTION("IF(IF(U$1="""","""",REGEXMATCH(LOWER($E85),XLOOKUP(U$1,Metadata!$A$2:$A1000,Metadata!$B$2:$B1000))),U$1,"""")"),"")</f>
        <v/>
      </c>
      <c r="V85" s="34" t="str">
        <f>IFERROR(__xludf.DUMMYFUNCTION("IF(IF(V$1="""","""",REGEXMATCH(LOWER($E85),XLOOKUP(V$1,Metadata!$A$2:$A1000,Metadata!$B$2:$B1000))),V$1,"""")"),"")</f>
        <v/>
      </c>
      <c r="W85" s="34" t="str">
        <f>IFERROR(__xludf.DUMMYFUNCTION("IF(IF(W$1="""","""",REGEXMATCH(LOWER($E85),XLOOKUP(W$1,Metadata!$A$2:$A1000,Metadata!$B$2:$B1000))),W$1,"""")"),"")</f>
        <v/>
      </c>
      <c r="X85" s="34" t="str">
        <f>IFERROR(__xludf.DUMMYFUNCTION("IF(IF(X$1="""","""",REGEXMATCH(LOWER($E85),XLOOKUP(X$1,Metadata!$A$2:$A1000,Metadata!$B$2:$B1000))),X$1,"""")"),"")</f>
        <v/>
      </c>
      <c r="Y85" s="34" t="str">
        <f>IFERROR(__xludf.DUMMYFUNCTION("IF(IF(Y$1="""","""",REGEXMATCH(LOWER($E85),XLOOKUP(Y$1,Metadata!$A$2:$A1000,Metadata!$B$2:$B1000))),Y$1,"""")"),"")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I86">XLOOKUP($A86,Cards!$A$2:$A1000,Cards!$B$2:$I1000,"")</f>
        <v>Divine Void</v>
      </c>
      <c r="C86" s="34">
        <v>1.0</v>
      </c>
      <c r="D86" s="34" t="s">
        <v>28</v>
      </c>
      <c r="E86" s="34" t="s">
        <v>499</v>
      </c>
      <c r="F86" s="34" t="s">
        <v>500</v>
      </c>
      <c r="G86" s="34">
        <v>4.0</v>
      </c>
      <c r="H86" s="34" t="s">
        <v>501</v>
      </c>
      <c r="I86" s="34" t="s">
        <v>32</v>
      </c>
      <c r="J86" s="34">
        <f>IFERROR(__xludf.DUMMYFUNCTION("LEN(REGEXREPLACE(XLOOKUP($A86,Cards!$A$2:$A1000,Cards!$H$2:$H1000,""""),"",\s"",""""))"),7.0)</f>
        <v>7</v>
      </c>
      <c r="K86" s="34" t="str">
        <f t="shared" si="1"/>
        <v>Divine    Void           </v>
      </c>
      <c r="L86" s="34" t="str">
        <f>IFERROR(__xludf.DUMMYFUNCTION("IF(IF(L$1="""","""",REGEXMATCH(LOWER($E86),XLOOKUP(L$1,Metadata!$A$2:$A1000,Metadata!$B$2:$B1000))),L$1,"""")"),"Divine")</f>
        <v>Divine</v>
      </c>
      <c r="M86" s="34" t="str">
        <f>IFERROR(__xludf.DUMMYFUNCTION("IF(IF(M$1="""","""",REGEXMATCH(LOWER($E86),XLOOKUP(M$1,Metadata!$A$2:$A1000,Metadata!$B$2:$B1000))),M$1,"""")"),"")</f>
        <v/>
      </c>
      <c r="N86" s="34" t="str">
        <f>IFERROR(__xludf.DUMMYFUNCTION("IF(IF(N$1="""","""",REGEXMATCH(LOWER($E86),XLOOKUP(N$1,Metadata!$A$2:$A1000,Metadata!$B$2:$B1000))),N$1,"""")"),"")</f>
        <v/>
      </c>
      <c r="O86" s="34" t="str">
        <f>IFERROR(__xludf.DUMMYFUNCTION("IF(IF(O$1="""","""",REGEXMATCH(LOWER($E86),XLOOKUP(O$1,Metadata!$A$2:$A1000,Metadata!$B$2:$B1000))),O$1,"""")"),"")</f>
        <v/>
      </c>
      <c r="P86" s="34" t="str">
        <f>IFERROR(__xludf.DUMMYFUNCTION("IF(IF(P$1="""","""",REGEXMATCH(LOWER($E86),XLOOKUP(P$1,Metadata!$A$2:$A1000,Metadata!$B$2:$B1000))),P$1,"""")"),"Void")</f>
        <v>Void</v>
      </c>
      <c r="Q86" s="34" t="str">
        <f>IFERROR(__xludf.DUMMYFUNCTION("IF(IF(Q$1="""","""",REGEXMATCH(LOWER($E86),XLOOKUP(Q$1,Metadata!$A$2:$A1000,Metadata!$B$2:$B1000))),Q$1,"""")"),"")</f>
        <v/>
      </c>
      <c r="R86" s="34" t="str">
        <f>IFERROR(__xludf.DUMMYFUNCTION("IF(IF(R$1="""","""",REGEXMATCH(LOWER($E86),XLOOKUP(R$1,Metadata!$A$2:$A1000,Metadata!$B$2:$B1000))),R$1,"""")"),"")</f>
        <v/>
      </c>
      <c r="S86" s="34" t="str">
        <f>IFERROR(__xludf.DUMMYFUNCTION("IF(IF(S$1="""","""",REGEXMATCH(LOWER($E86),XLOOKUP(S$1,Metadata!$A$2:$A1000,Metadata!$B$2:$B1000))),S$1,"""")"),"")</f>
        <v/>
      </c>
      <c r="T86" s="34" t="str">
        <f>IFERROR(__xludf.DUMMYFUNCTION("IF(IF(T$1="""","""",REGEXMATCH(LOWER($E86),XLOOKUP(T$1,Metadata!$A$2:$A1000,Metadata!$B$2:$B1000))),T$1,"""")"),"")</f>
        <v/>
      </c>
      <c r="U86" s="34" t="str">
        <f>IFERROR(__xludf.DUMMYFUNCTION("IF(IF(U$1="""","""",REGEXMATCH(LOWER($E86),XLOOKUP(U$1,Metadata!$A$2:$A1000,Metadata!$B$2:$B1000))),U$1,"""")"),"")</f>
        <v/>
      </c>
      <c r="V86" s="34" t="str">
        <f>IFERROR(__xludf.DUMMYFUNCTION("IF(IF(V$1="""","""",REGEXMATCH(LOWER($E86),XLOOKUP(V$1,Metadata!$A$2:$A1000,Metadata!$B$2:$B1000))),V$1,"""")"),"")</f>
        <v/>
      </c>
      <c r="W86" s="34" t="str">
        <f>IFERROR(__xludf.DUMMYFUNCTION("IF(IF(W$1="""","""",REGEXMATCH(LOWER($E86),XLOOKUP(W$1,Metadata!$A$2:$A1000,Metadata!$B$2:$B1000))),W$1,"""")"),"")</f>
        <v/>
      </c>
      <c r="X86" s="34" t="str">
        <f>IFERROR(__xludf.DUMMYFUNCTION("IF(IF(X$1="""","""",REGEXMATCH(LOWER($E86),XLOOKUP(X$1,Metadata!$A$2:$A1000,Metadata!$B$2:$B1000))),X$1,"""")"),"")</f>
        <v/>
      </c>
      <c r="Y86" s="34" t="str">
        <f>IFERROR(__xludf.DUMMYFUNCTION("IF(IF(Y$1="""","""",REGEXMATCH(LOWER($E86),XLOOKUP(Y$1,Metadata!$A$2:$A1000,Metadata!$B$2:$B1000))),Y$1,"""")"),"")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I87">XLOOKUP($A87,Cards!$A$2:$A1000,Cards!$B$2:$I1000,"")</f>
        <v>Elemental</v>
      </c>
      <c r="C87" s="34">
        <v>2.0</v>
      </c>
      <c r="D87" s="34" t="s">
        <v>514</v>
      </c>
      <c r="E87" s="34" t="s">
        <v>515</v>
      </c>
      <c r="F87" s="34" t="s">
        <v>516</v>
      </c>
      <c r="G87" s="34">
        <v>3.0</v>
      </c>
      <c r="H87" s="34" t="s">
        <v>517</v>
      </c>
      <c r="I87" s="34" t="s">
        <v>32</v>
      </c>
      <c r="J87" s="34">
        <f>IFERROR(__xludf.DUMMYFUNCTION("LEN(REGEXREPLACE(XLOOKUP($A87,Cards!$A$2:$A1000,Cards!$H$2:$H1000,""""),"",\s"",""""))"),3.0)</f>
        <v>3</v>
      </c>
      <c r="K87" s="34" t="str">
        <f t="shared" si="1"/>
        <v>      Ramp   Aggro      </v>
      </c>
      <c r="L87" s="34" t="str">
        <f>IFERROR(__xludf.DUMMYFUNCTION("IF(IF(L$1="""","""",REGEXMATCH(LOWER($E87),XLOOKUP(L$1,Metadata!$A$2:$A1000,Metadata!$B$2:$B1000))),L$1,"""")"),"")</f>
        <v/>
      </c>
      <c r="M87" s="34" t="str">
        <f>IFERROR(__xludf.DUMMYFUNCTION("IF(IF(M$1="""","""",REGEXMATCH(LOWER($E87),XLOOKUP(M$1,Metadata!$A$2:$A1000,Metadata!$B$2:$B1000))),M$1,"""")"),"")</f>
        <v/>
      </c>
      <c r="N87" s="34" t="str">
        <f>IFERROR(__xludf.DUMMYFUNCTION("IF(IF(N$1="""","""",REGEXMATCH(LOWER($E87),XLOOKUP(N$1,Metadata!$A$2:$A1000,Metadata!$B$2:$B1000))),N$1,"""")"),"")</f>
        <v/>
      </c>
      <c r="O87" s="34" t="str">
        <f>IFERROR(__xludf.DUMMYFUNCTION("IF(IF(O$1="""","""",REGEXMATCH(LOWER($E87),XLOOKUP(O$1,Metadata!$A$2:$A1000,Metadata!$B$2:$B1000))),O$1,"""")"),"")</f>
        <v/>
      </c>
      <c r="P87" s="34" t="str">
        <f>IFERROR(__xludf.DUMMYFUNCTION("IF(IF(P$1="""","""",REGEXMATCH(LOWER($E87),XLOOKUP(P$1,Metadata!$A$2:$A1000,Metadata!$B$2:$B1000))),P$1,"""")"),"")</f>
        <v/>
      </c>
      <c r="Q87" s="34" t="str">
        <f>IFERROR(__xludf.DUMMYFUNCTION("IF(IF(Q$1="""","""",REGEXMATCH(LOWER($E87),XLOOKUP(Q$1,Metadata!$A$2:$A1000,Metadata!$B$2:$B1000))),Q$1,"""")"),"")</f>
        <v/>
      </c>
      <c r="R87" s="34" t="str">
        <f>IFERROR(__xludf.DUMMYFUNCTION("IF(IF(R$1="""","""",REGEXMATCH(LOWER($E87),XLOOKUP(R$1,Metadata!$A$2:$A1000,Metadata!$B$2:$B1000))),R$1,"""")"),"Ramp")</f>
        <v>Ramp</v>
      </c>
      <c r="S87" s="34" t="str">
        <f>IFERROR(__xludf.DUMMYFUNCTION("IF(IF(S$1="""","""",REGEXMATCH(LOWER($E87),XLOOKUP(S$1,Metadata!$A$2:$A1000,Metadata!$B$2:$B1000))),S$1,"""")"),"")</f>
        <v/>
      </c>
      <c r="T87" s="34" t="str">
        <f>IFERROR(__xludf.DUMMYFUNCTION("IF(IF(T$1="""","""",REGEXMATCH(LOWER($E87),XLOOKUP(T$1,Metadata!$A$2:$A1000,Metadata!$B$2:$B1000))),T$1,"""")"),"")</f>
        <v/>
      </c>
      <c r="U87" s="34" t="str">
        <f>IFERROR(__xludf.DUMMYFUNCTION("IF(IF(U$1="""","""",REGEXMATCH(LOWER($E87),XLOOKUP(U$1,Metadata!$A$2:$A1000,Metadata!$B$2:$B1000))),U$1,"""")"),"Aggro")</f>
        <v>Aggro</v>
      </c>
      <c r="V87" s="34" t="str">
        <f>IFERROR(__xludf.DUMMYFUNCTION("IF(IF(V$1="""","""",REGEXMATCH(LOWER($E87),XLOOKUP(V$1,Metadata!$A$2:$A1000,Metadata!$B$2:$B1000))),V$1,"""")"),"")</f>
        <v/>
      </c>
      <c r="W87" s="34" t="str">
        <f>IFERROR(__xludf.DUMMYFUNCTION("IF(IF(W$1="""","""",REGEXMATCH(LOWER($E87),XLOOKUP(W$1,Metadata!$A$2:$A1000,Metadata!$B$2:$B1000))),W$1,"""")"),"")</f>
        <v/>
      </c>
      <c r="X87" s="34" t="str">
        <f>IFERROR(__xludf.DUMMYFUNCTION("IF(IF(X$1="""","""",REGEXMATCH(LOWER($E87),XLOOKUP(X$1,Metadata!$A$2:$A1000,Metadata!$B$2:$B1000))),X$1,"""")"),"")</f>
        <v/>
      </c>
      <c r="Y87" s="34" t="str">
        <f>IFERROR(__xludf.DUMMYFUNCTION("IF(IF(Y$1="""","""",REGEXMATCH(LOWER($E87),XLOOKUP(Y$1,Metadata!$A$2:$A1000,Metadata!$B$2:$B1000))),Y$1,"""")"),"")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I88">XLOOKUP($A88,Cards!$A$2:$A1000,Cards!$B$2:$I1000,"")</f>
        <v>Elemental</v>
      </c>
      <c r="C88" s="34">
        <v>2.0</v>
      </c>
      <c r="D88" s="34" t="s">
        <v>519</v>
      </c>
      <c r="E88" s="34" t="s">
        <v>520</v>
      </c>
      <c r="F88" s="34" t="s">
        <v>521</v>
      </c>
      <c r="G88" s="34">
        <v>3.0</v>
      </c>
      <c r="H88" s="34" t="s">
        <v>522</v>
      </c>
      <c r="I88" s="34" t="s">
        <v>32</v>
      </c>
      <c r="J88" s="34">
        <f>IFERROR(__xludf.DUMMYFUNCTION("LEN(REGEXREPLACE(XLOOKUP($A88,Cards!$A$2:$A1000,Cards!$H$2:$H1000,""""),"",\s"",""""))"),4.0)</f>
        <v>4</v>
      </c>
      <c r="K88" s="34" t="str">
        <f t="shared" si="1"/>
        <v>       Control     Ambush   </v>
      </c>
      <c r="L88" s="34" t="str">
        <f>IFERROR(__xludf.DUMMYFUNCTION("IF(IF(L$1="""","""",REGEXMATCH(LOWER($E88),XLOOKUP(L$1,Metadata!$A$2:$A1000,Metadata!$B$2:$B1000))),L$1,"""")"),"")</f>
        <v/>
      </c>
      <c r="M88" s="34" t="str">
        <f>IFERROR(__xludf.DUMMYFUNCTION("IF(IF(M$1="""","""",REGEXMATCH(LOWER($E88),XLOOKUP(M$1,Metadata!$A$2:$A1000,Metadata!$B$2:$B1000))),M$1,"""")"),"")</f>
        <v/>
      </c>
      <c r="N88" s="34" t="str">
        <f>IFERROR(__xludf.DUMMYFUNCTION("IF(IF(N$1="""","""",REGEXMATCH(LOWER($E88),XLOOKUP(N$1,Metadata!$A$2:$A1000,Metadata!$B$2:$B1000))),N$1,"""")"),"")</f>
        <v/>
      </c>
      <c r="O88" s="34" t="str">
        <f>IFERROR(__xludf.DUMMYFUNCTION("IF(IF(O$1="""","""",REGEXMATCH(LOWER($E88),XLOOKUP(O$1,Metadata!$A$2:$A1000,Metadata!$B$2:$B1000))),O$1,"""")"),"")</f>
        <v/>
      </c>
      <c r="P88" s="34" t="str">
        <f>IFERROR(__xludf.DUMMYFUNCTION("IF(IF(P$1="""","""",REGEXMATCH(LOWER($E88),XLOOKUP(P$1,Metadata!$A$2:$A1000,Metadata!$B$2:$B1000))),P$1,"""")"),"")</f>
        <v/>
      </c>
      <c r="Q88" s="34" t="str">
        <f>IFERROR(__xludf.DUMMYFUNCTION("IF(IF(Q$1="""","""",REGEXMATCH(LOWER($E88),XLOOKUP(Q$1,Metadata!$A$2:$A1000,Metadata!$B$2:$B1000))),Q$1,"""")"),"")</f>
        <v/>
      </c>
      <c r="R88" s="34" t="str">
        <f>IFERROR(__xludf.DUMMYFUNCTION("IF(IF(R$1="""","""",REGEXMATCH(LOWER($E88),XLOOKUP(R$1,Metadata!$A$2:$A1000,Metadata!$B$2:$B1000))),R$1,"""")"),"")</f>
        <v/>
      </c>
      <c r="S88" s="34" t="str">
        <f>IFERROR(__xludf.DUMMYFUNCTION("IF(IF(S$1="""","""",REGEXMATCH(LOWER($E88),XLOOKUP(S$1,Metadata!$A$2:$A1000,Metadata!$B$2:$B1000))),S$1,"""")"),"Control")</f>
        <v>Control</v>
      </c>
      <c r="T88" s="34" t="str">
        <f>IFERROR(__xludf.DUMMYFUNCTION("IF(IF(T$1="""","""",REGEXMATCH(LOWER($E88),XLOOKUP(T$1,Metadata!$A$2:$A1000,Metadata!$B$2:$B1000))),T$1,"""")"),"")</f>
        <v/>
      </c>
      <c r="U88" s="34" t="str">
        <f>IFERROR(__xludf.DUMMYFUNCTION("IF(IF(U$1="""","""",REGEXMATCH(LOWER($E88),XLOOKUP(U$1,Metadata!$A$2:$A1000,Metadata!$B$2:$B1000))),U$1,"""")"),"")</f>
        <v/>
      </c>
      <c r="V88" s="34" t="str">
        <f>IFERROR(__xludf.DUMMYFUNCTION("IF(IF(V$1="""","""",REGEXMATCH(LOWER($E88),XLOOKUP(V$1,Metadata!$A$2:$A1000,Metadata!$B$2:$B1000))),V$1,"""")"),"")</f>
        <v/>
      </c>
      <c r="W88" s="34" t="str">
        <f>IFERROR(__xludf.DUMMYFUNCTION("IF(IF(W$1="""","""",REGEXMATCH(LOWER($E88),XLOOKUP(W$1,Metadata!$A$2:$A1000,Metadata!$B$2:$B1000))),W$1,"""")"),"")</f>
        <v/>
      </c>
      <c r="X88" s="34" t="str">
        <f>IFERROR(__xludf.DUMMYFUNCTION("IF(IF(X$1="""","""",REGEXMATCH(LOWER($E88),XLOOKUP(X$1,Metadata!$A$2:$A1000,Metadata!$B$2:$B1000))),X$1,"""")"),"Ambush")</f>
        <v>Ambush</v>
      </c>
      <c r="Y88" s="34" t="str">
        <f>IFERROR(__xludf.DUMMYFUNCTION("IF(IF(Y$1="""","""",REGEXMATCH(LOWER($E88),XLOOKUP(Y$1,Metadata!$A$2:$A1000,Metadata!$B$2:$B1000))),Y$1,"""")"),"")</f>
        <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I89">XLOOKUP($A89,Cards!$A$2:$A1000,Cards!$B$2:$I1000,"")</f>
        <v>Elemental</v>
      </c>
      <c r="C89" s="34">
        <v>1.0</v>
      </c>
      <c r="D89" s="34" t="s">
        <v>433</v>
      </c>
      <c r="E89" s="34" t="s">
        <v>524</v>
      </c>
      <c r="F89" s="34" t="s">
        <v>525</v>
      </c>
      <c r="G89" s="34">
        <v>5.0</v>
      </c>
      <c r="H89" s="34" t="s">
        <v>526</v>
      </c>
      <c r="I89" s="34" t="s">
        <v>26</v>
      </c>
      <c r="J89" s="34">
        <f>IFERROR(__xludf.DUMMYFUNCTION("LEN(REGEXREPLACE(XLOOKUP($A89,Cards!$A$2:$A1000,Cards!$H$2:$H1000,""""),"",\s"",""""))"),5.0)</f>
        <v>5</v>
      </c>
      <c r="K89" s="34" t="str">
        <f t="shared" si="1"/>
        <v>               </v>
      </c>
      <c r="L89" s="34" t="str">
        <f>IFERROR(__xludf.DUMMYFUNCTION("IF(IF(L$1="""","""",REGEXMATCH(LOWER($E89),XLOOKUP(L$1,Metadata!$A$2:$A1000,Metadata!$B$2:$B1000))),L$1,"""")"),"")</f>
        <v/>
      </c>
      <c r="M89" s="34" t="str">
        <f>IFERROR(__xludf.DUMMYFUNCTION("IF(IF(M$1="""","""",REGEXMATCH(LOWER($E89),XLOOKUP(M$1,Metadata!$A$2:$A1000,Metadata!$B$2:$B1000))),M$1,"""")"),"")</f>
        <v/>
      </c>
      <c r="N89" s="34" t="str">
        <f>IFERROR(__xludf.DUMMYFUNCTION("IF(IF(N$1="""","""",REGEXMATCH(LOWER($E89),XLOOKUP(N$1,Metadata!$A$2:$A1000,Metadata!$B$2:$B1000))),N$1,"""")"),"")</f>
        <v/>
      </c>
      <c r="O89" s="34" t="str">
        <f>IFERROR(__xludf.DUMMYFUNCTION("IF(IF(O$1="""","""",REGEXMATCH(LOWER($E89),XLOOKUP(O$1,Metadata!$A$2:$A1000,Metadata!$B$2:$B1000))),O$1,"""")"),"")</f>
        <v/>
      </c>
      <c r="P89" s="34" t="str">
        <f>IFERROR(__xludf.DUMMYFUNCTION("IF(IF(P$1="""","""",REGEXMATCH(LOWER($E89),XLOOKUP(P$1,Metadata!$A$2:$A1000,Metadata!$B$2:$B1000))),P$1,"""")"),"")</f>
        <v/>
      </c>
      <c r="Q89" s="34" t="str">
        <f>IFERROR(__xludf.DUMMYFUNCTION("IF(IF(Q$1="""","""",REGEXMATCH(LOWER($E89),XLOOKUP(Q$1,Metadata!$A$2:$A1000,Metadata!$B$2:$B1000))),Q$1,"""")"),"")</f>
        <v/>
      </c>
      <c r="R89" s="34" t="str">
        <f>IFERROR(__xludf.DUMMYFUNCTION("IF(IF(R$1="""","""",REGEXMATCH(LOWER($E89),XLOOKUP(R$1,Metadata!$A$2:$A1000,Metadata!$B$2:$B1000))),R$1,"""")"),"")</f>
        <v/>
      </c>
      <c r="S89" s="34" t="str">
        <f>IFERROR(__xludf.DUMMYFUNCTION("IF(IF(S$1="""","""",REGEXMATCH(LOWER($E89),XLOOKUP(S$1,Metadata!$A$2:$A1000,Metadata!$B$2:$B1000))),S$1,"""")"),"")</f>
        <v/>
      </c>
      <c r="T89" s="34" t="str">
        <f>IFERROR(__xludf.DUMMYFUNCTION("IF(IF(T$1="""","""",REGEXMATCH(LOWER($E89),XLOOKUP(T$1,Metadata!$A$2:$A1000,Metadata!$B$2:$B1000))),T$1,"""")"),"")</f>
        <v/>
      </c>
      <c r="U89" s="34" t="str">
        <f>IFERROR(__xludf.DUMMYFUNCTION("IF(IF(U$1="""","""",REGEXMATCH(LOWER($E89),XLOOKUP(U$1,Metadata!$A$2:$A1000,Metadata!$B$2:$B1000))),U$1,"""")"),"")</f>
        <v/>
      </c>
      <c r="V89" s="34" t="str">
        <f>IFERROR(__xludf.DUMMYFUNCTION("IF(IF(V$1="""","""",REGEXMATCH(LOWER($E89),XLOOKUP(V$1,Metadata!$A$2:$A1000,Metadata!$B$2:$B1000))),V$1,"""")"),"")</f>
        <v/>
      </c>
      <c r="W89" s="34" t="str">
        <f>IFERROR(__xludf.DUMMYFUNCTION("IF(IF(W$1="""","""",REGEXMATCH(LOWER($E89),XLOOKUP(W$1,Metadata!$A$2:$A1000,Metadata!$B$2:$B1000))),W$1,"""")"),"")</f>
        <v/>
      </c>
      <c r="X89" s="34" t="str">
        <f>IFERROR(__xludf.DUMMYFUNCTION("IF(IF(X$1="""","""",REGEXMATCH(LOWER($E89),XLOOKUP(X$1,Metadata!$A$2:$A1000,Metadata!$B$2:$B1000))),X$1,"""")"),"")</f>
        <v/>
      </c>
      <c r="Y89" s="34" t="str">
        <f>IFERROR(__xludf.DUMMYFUNCTION("IF(IF(Y$1="""","""",REGEXMATCH(LOWER($E89),XLOOKUP(Y$1,Metadata!$A$2:$A1000,Metadata!$B$2:$B1000))),Y$1,"""")"),"")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I90">XLOOKUP($A90,Cards!$A$2:$A1000,Cards!$B$2:$I1000,"")</f>
        <v>Elemental</v>
      </c>
      <c r="C90" s="34">
        <v>1.0</v>
      </c>
      <c r="D90" s="34" t="s">
        <v>539</v>
      </c>
      <c r="E90" s="34" t="s">
        <v>540</v>
      </c>
      <c r="F90" s="34" t="s">
        <v>541</v>
      </c>
      <c r="G90" s="34">
        <v>1.0</v>
      </c>
      <c r="H90" s="34" t="s">
        <v>439</v>
      </c>
      <c r="I90" s="34" t="s">
        <v>26</v>
      </c>
      <c r="J90" s="34">
        <f>IFERROR(__xludf.DUMMYFUNCTION("LEN(REGEXREPLACE(XLOOKUP($A90,Cards!$A$2:$A1000,Cards!$H$2:$H1000,""""),"",\s"",""""))"),1.0)</f>
        <v>1</v>
      </c>
      <c r="K90" s="34" t="str">
        <f t="shared" si="1"/>
        <v> Elemental              </v>
      </c>
      <c r="L90" s="34" t="str">
        <f>IFERROR(__xludf.DUMMYFUNCTION("IF(IF(L$1="""","""",REGEXMATCH(LOWER($E90),XLOOKUP(L$1,Metadata!$A$2:$A1000,Metadata!$B$2:$B1000))),L$1,"""")"),"")</f>
        <v/>
      </c>
      <c r="M90" s="34" t="str">
        <f>IFERROR(__xludf.DUMMYFUNCTION("IF(IF(M$1="""","""",REGEXMATCH(LOWER($E90),XLOOKUP(M$1,Metadata!$A$2:$A1000,Metadata!$B$2:$B1000))),M$1,"""")"),"Elemental")</f>
        <v>Elemental</v>
      </c>
      <c r="N90" s="34" t="str">
        <f>IFERROR(__xludf.DUMMYFUNCTION("IF(IF(N$1="""","""",REGEXMATCH(LOWER($E90),XLOOKUP(N$1,Metadata!$A$2:$A1000,Metadata!$B$2:$B1000))),N$1,"""")"),"")</f>
        <v/>
      </c>
      <c r="O90" s="34" t="str">
        <f>IFERROR(__xludf.DUMMYFUNCTION("IF(IF(O$1="""","""",REGEXMATCH(LOWER($E90),XLOOKUP(O$1,Metadata!$A$2:$A1000,Metadata!$B$2:$B1000))),O$1,"""")"),"")</f>
        <v/>
      </c>
      <c r="P90" s="34" t="str">
        <f>IFERROR(__xludf.DUMMYFUNCTION("IF(IF(P$1="""","""",REGEXMATCH(LOWER($E90),XLOOKUP(P$1,Metadata!$A$2:$A1000,Metadata!$B$2:$B1000))),P$1,"""")"),"")</f>
        <v/>
      </c>
      <c r="Q90" s="34" t="str">
        <f>IFERROR(__xludf.DUMMYFUNCTION("IF(IF(Q$1="""","""",REGEXMATCH(LOWER($E90),XLOOKUP(Q$1,Metadata!$A$2:$A1000,Metadata!$B$2:$B1000))),Q$1,"""")"),"")</f>
        <v/>
      </c>
      <c r="R90" s="34" t="str">
        <f>IFERROR(__xludf.DUMMYFUNCTION("IF(IF(R$1="""","""",REGEXMATCH(LOWER($E90),XLOOKUP(R$1,Metadata!$A$2:$A1000,Metadata!$B$2:$B1000))),R$1,"""")"),"")</f>
        <v/>
      </c>
      <c r="S90" s="34" t="str">
        <f>IFERROR(__xludf.DUMMYFUNCTION("IF(IF(S$1="""","""",REGEXMATCH(LOWER($E90),XLOOKUP(S$1,Metadata!$A$2:$A1000,Metadata!$B$2:$B1000))),S$1,"""")"),"")</f>
        <v/>
      </c>
      <c r="T90" s="34" t="str">
        <f>IFERROR(__xludf.DUMMYFUNCTION("IF(IF(T$1="""","""",REGEXMATCH(LOWER($E90),XLOOKUP(T$1,Metadata!$A$2:$A1000,Metadata!$B$2:$B1000))),T$1,"""")"),"")</f>
        <v/>
      </c>
      <c r="U90" s="34" t="str">
        <f>IFERROR(__xludf.DUMMYFUNCTION("IF(IF(U$1="""","""",REGEXMATCH(LOWER($E90),XLOOKUP(U$1,Metadata!$A$2:$A1000,Metadata!$B$2:$B1000))),U$1,"""")"),"")</f>
        <v/>
      </c>
      <c r="V90" s="34" t="str">
        <f>IFERROR(__xludf.DUMMYFUNCTION("IF(IF(V$1="""","""",REGEXMATCH(LOWER($E90),XLOOKUP(V$1,Metadata!$A$2:$A1000,Metadata!$B$2:$B1000))),V$1,"""")"),"")</f>
        <v/>
      </c>
      <c r="W90" s="34" t="str">
        <f>IFERROR(__xludf.DUMMYFUNCTION("IF(IF(W$1="""","""",REGEXMATCH(LOWER($E90),XLOOKUP(W$1,Metadata!$A$2:$A1000,Metadata!$B$2:$B1000))),W$1,"""")"),"")</f>
        <v/>
      </c>
      <c r="X90" s="34" t="str">
        <f>IFERROR(__xludf.DUMMYFUNCTION("IF(IF(X$1="""","""",REGEXMATCH(LOWER($E90),XLOOKUP(X$1,Metadata!$A$2:$A1000,Metadata!$B$2:$B1000))),X$1,"""")"),"")</f>
        <v/>
      </c>
      <c r="Y90" s="34" t="str">
        <f>IFERROR(__xludf.DUMMYFUNCTION("IF(IF(Y$1="""","""",REGEXMATCH(LOWER($E90),XLOOKUP(Y$1,Metadata!$A$2:$A1000,Metadata!$B$2:$B1000))),Y$1,"""")"),"")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I91">XLOOKUP($A91,Cards!$A$2:$A1000,Cards!$B$2:$I1000,"")</f>
        <v>Elemental</v>
      </c>
      <c r="C91" s="34">
        <v>1.0</v>
      </c>
      <c r="D91" s="34" t="s">
        <v>37</v>
      </c>
      <c r="E91" s="34" t="s">
        <v>554</v>
      </c>
      <c r="F91" s="34" t="s">
        <v>555</v>
      </c>
      <c r="G91" s="34">
        <v>1.0</v>
      </c>
      <c r="H91" s="34" t="s">
        <v>439</v>
      </c>
      <c r="I91" s="34" t="s">
        <v>26</v>
      </c>
      <c r="J91" s="34">
        <f>IFERROR(__xludf.DUMMYFUNCTION("LEN(REGEXREPLACE(XLOOKUP($A91,Cards!$A$2:$A1000,Cards!$H$2:$H1000,""""),"",\s"",""""))"),1.0)</f>
        <v>1</v>
      </c>
      <c r="K91" s="34" t="str">
        <f t="shared" si="1"/>
        <v>               </v>
      </c>
      <c r="L91" s="34" t="str">
        <f>IFERROR(__xludf.DUMMYFUNCTION("IF(IF(L$1="""","""",REGEXMATCH(LOWER($E91),XLOOKUP(L$1,Metadata!$A$2:$A1000,Metadata!$B$2:$B1000))),L$1,"""")"),"")</f>
        <v/>
      </c>
      <c r="M91" s="34" t="str">
        <f>IFERROR(__xludf.DUMMYFUNCTION("IF(IF(M$1="""","""",REGEXMATCH(LOWER($E91),XLOOKUP(M$1,Metadata!$A$2:$A1000,Metadata!$B$2:$B1000))),M$1,"""")"),"")</f>
        <v/>
      </c>
      <c r="N91" s="34" t="str">
        <f>IFERROR(__xludf.DUMMYFUNCTION("IF(IF(N$1="""","""",REGEXMATCH(LOWER($E91),XLOOKUP(N$1,Metadata!$A$2:$A1000,Metadata!$B$2:$B1000))),N$1,"""")"),"")</f>
        <v/>
      </c>
      <c r="O91" s="34" t="str">
        <f>IFERROR(__xludf.DUMMYFUNCTION("IF(IF(O$1="""","""",REGEXMATCH(LOWER($E91),XLOOKUP(O$1,Metadata!$A$2:$A1000,Metadata!$B$2:$B1000))),O$1,"""")"),"")</f>
        <v/>
      </c>
      <c r="P91" s="34" t="str">
        <f>IFERROR(__xludf.DUMMYFUNCTION("IF(IF(P$1="""","""",REGEXMATCH(LOWER($E91),XLOOKUP(P$1,Metadata!$A$2:$A1000,Metadata!$B$2:$B1000))),P$1,"""")"),"")</f>
        <v/>
      </c>
      <c r="Q91" s="34" t="str">
        <f>IFERROR(__xludf.DUMMYFUNCTION("IF(IF(Q$1="""","""",REGEXMATCH(LOWER($E91),XLOOKUP(Q$1,Metadata!$A$2:$A1000,Metadata!$B$2:$B1000))),Q$1,"""")"),"")</f>
        <v/>
      </c>
      <c r="R91" s="34" t="str">
        <f>IFERROR(__xludf.DUMMYFUNCTION("IF(IF(R$1="""","""",REGEXMATCH(LOWER($E91),XLOOKUP(R$1,Metadata!$A$2:$A1000,Metadata!$B$2:$B1000))),R$1,"""")"),"")</f>
        <v/>
      </c>
      <c r="S91" s="34" t="str">
        <f>IFERROR(__xludf.DUMMYFUNCTION("IF(IF(S$1="""","""",REGEXMATCH(LOWER($E91),XLOOKUP(S$1,Metadata!$A$2:$A1000,Metadata!$B$2:$B1000))),S$1,"""")"),"")</f>
        <v/>
      </c>
      <c r="T91" s="34" t="str">
        <f>IFERROR(__xludf.DUMMYFUNCTION("IF(IF(T$1="""","""",REGEXMATCH(LOWER($E91),XLOOKUP(T$1,Metadata!$A$2:$A1000,Metadata!$B$2:$B1000))),T$1,"""")"),"")</f>
        <v/>
      </c>
      <c r="U91" s="34" t="str">
        <f>IFERROR(__xludf.DUMMYFUNCTION("IF(IF(U$1="""","""",REGEXMATCH(LOWER($E91),XLOOKUP(U$1,Metadata!$A$2:$A1000,Metadata!$B$2:$B1000))),U$1,"""")"),"")</f>
        <v/>
      </c>
      <c r="V91" s="34" t="str">
        <f>IFERROR(__xludf.DUMMYFUNCTION("IF(IF(V$1="""","""",REGEXMATCH(LOWER($E91),XLOOKUP(V$1,Metadata!$A$2:$A1000,Metadata!$B$2:$B1000))),V$1,"""")"),"")</f>
        <v/>
      </c>
      <c r="W91" s="34" t="str">
        <f>IFERROR(__xludf.DUMMYFUNCTION("IF(IF(W$1="""","""",REGEXMATCH(LOWER($E91),XLOOKUP(W$1,Metadata!$A$2:$A1000,Metadata!$B$2:$B1000))),W$1,"""")"),"")</f>
        <v/>
      </c>
      <c r="X91" s="34" t="str">
        <f>IFERROR(__xludf.DUMMYFUNCTION("IF(IF(X$1="""","""",REGEXMATCH(LOWER($E91),XLOOKUP(X$1,Metadata!$A$2:$A1000,Metadata!$B$2:$B1000))),X$1,"""")"),"")</f>
        <v/>
      </c>
      <c r="Y91" s="34" t="str">
        <f>IFERROR(__xludf.DUMMYFUNCTION("IF(IF(Y$1="""","""",REGEXMATCH(LOWER($E91),XLOOKUP(Y$1,Metadata!$A$2:$A1000,Metadata!$B$2:$B1000))),Y$1,"""")"),"")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I92">XLOOKUP($A92,Cards!$A$2:$A1000,Cards!$B$2:$I1000,"")</f>
        <v>Elemental</v>
      </c>
      <c r="C92" s="34">
        <v>1.0</v>
      </c>
      <c r="D92" s="34" t="s">
        <v>568</v>
      </c>
      <c r="E92" s="34" t="s">
        <v>569</v>
      </c>
      <c r="F92" s="34" t="s">
        <v>570</v>
      </c>
      <c r="G92" s="34">
        <v>5.0</v>
      </c>
      <c r="H92" s="34" t="s">
        <v>571</v>
      </c>
      <c r="I92" s="34" t="s">
        <v>26</v>
      </c>
      <c r="J92" s="34">
        <f>IFERROR(__xludf.DUMMYFUNCTION("LEN(REGEXREPLACE(XLOOKUP($A92,Cards!$A$2:$A1000,Cards!$H$2:$H1000,""""),"",\s"",""""))"),6.0)</f>
        <v>6</v>
      </c>
      <c r="K92" s="34" t="str">
        <f t="shared" si="1"/>
        <v>      Ramp         </v>
      </c>
      <c r="L92" s="34" t="str">
        <f>IFERROR(__xludf.DUMMYFUNCTION("IF(IF(L$1="""","""",REGEXMATCH(LOWER($E92),XLOOKUP(L$1,Metadata!$A$2:$A1000,Metadata!$B$2:$B1000))),L$1,"""")"),"")</f>
        <v/>
      </c>
      <c r="M92" s="34" t="str">
        <f>IFERROR(__xludf.DUMMYFUNCTION("IF(IF(M$1="""","""",REGEXMATCH(LOWER($E92),XLOOKUP(M$1,Metadata!$A$2:$A1000,Metadata!$B$2:$B1000))),M$1,"""")"),"")</f>
        <v/>
      </c>
      <c r="N92" s="34" t="str">
        <f>IFERROR(__xludf.DUMMYFUNCTION("IF(IF(N$1="""","""",REGEXMATCH(LOWER($E92),XLOOKUP(N$1,Metadata!$A$2:$A1000,Metadata!$B$2:$B1000))),N$1,"""")"),"")</f>
        <v/>
      </c>
      <c r="O92" s="34" t="str">
        <f>IFERROR(__xludf.DUMMYFUNCTION("IF(IF(O$1="""","""",REGEXMATCH(LOWER($E92),XLOOKUP(O$1,Metadata!$A$2:$A1000,Metadata!$B$2:$B1000))),O$1,"""")"),"")</f>
        <v/>
      </c>
      <c r="P92" s="34" t="str">
        <f>IFERROR(__xludf.DUMMYFUNCTION("IF(IF(P$1="""","""",REGEXMATCH(LOWER($E92),XLOOKUP(P$1,Metadata!$A$2:$A1000,Metadata!$B$2:$B1000))),P$1,"""")"),"")</f>
        <v/>
      </c>
      <c r="Q92" s="34" t="str">
        <f>IFERROR(__xludf.DUMMYFUNCTION("IF(IF(Q$1="""","""",REGEXMATCH(LOWER($E92),XLOOKUP(Q$1,Metadata!$A$2:$A1000,Metadata!$B$2:$B1000))),Q$1,"""")"),"")</f>
        <v/>
      </c>
      <c r="R92" s="34" t="str">
        <f>IFERROR(__xludf.DUMMYFUNCTION("IF(IF(R$1="""","""",REGEXMATCH(LOWER($E92),XLOOKUP(R$1,Metadata!$A$2:$A1000,Metadata!$B$2:$B1000))),R$1,"""")"),"Ramp")</f>
        <v>Ramp</v>
      </c>
      <c r="S92" s="34" t="str">
        <f>IFERROR(__xludf.DUMMYFUNCTION("IF(IF(S$1="""","""",REGEXMATCH(LOWER($E92),XLOOKUP(S$1,Metadata!$A$2:$A1000,Metadata!$B$2:$B1000))),S$1,"""")"),"")</f>
        <v/>
      </c>
      <c r="T92" s="34" t="str">
        <f>IFERROR(__xludf.DUMMYFUNCTION("IF(IF(T$1="""","""",REGEXMATCH(LOWER($E92),XLOOKUP(T$1,Metadata!$A$2:$A1000,Metadata!$B$2:$B1000))),T$1,"""")"),"")</f>
        <v/>
      </c>
      <c r="U92" s="34" t="str">
        <f>IFERROR(__xludf.DUMMYFUNCTION("IF(IF(U$1="""","""",REGEXMATCH(LOWER($E92),XLOOKUP(U$1,Metadata!$A$2:$A1000,Metadata!$B$2:$B1000))),U$1,"""")"),"")</f>
        <v/>
      </c>
      <c r="V92" s="34" t="str">
        <f>IFERROR(__xludf.DUMMYFUNCTION("IF(IF(V$1="""","""",REGEXMATCH(LOWER($E92),XLOOKUP(V$1,Metadata!$A$2:$A1000,Metadata!$B$2:$B1000))),V$1,"""")"),"")</f>
        <v/>
      </c>
      <c r="W92" s="34" t="str">
        <f>IFERROR(__xludf.DUMMYFUNCTION("IF(IF(W$1="""","""",REGEXMATCH(LOWER($E92),XLOOKUP(W$1,Metadata!$A$2:$A1000,Metadata!$B$2:$B1000))),W$1,"""")"),"")</f>
        <v/>
      </c>
      <c r="X92" s="34" t="str">
        <f>IFERROR(__xludf.DUMMYFUNCTION("IF(IF(X$1="""","""",REGEXMATCH(LOWER($E92),XLOOKUP(X$1,Metadata!$A$2:$A1000,Metadata!$B$2:$B1000))),X$1,"""")"),"")</f>
        <v/>
      </c>
      <c r="Y92" s="34" t="str">
        <f>IFERROR(__xludf.DUMMYFUNCTION("IF(IF(Y$1="""","""",REGEXMATCH(LOWER($E92),XLOOKUP(Y$1,Metadata!$A$2:$A1000,Metadata!$B$2:$B1000))),Y$1,"""")"),"")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I93">XLOOKUP($A93,Cards!$A$2:$A1000,Cards!$B$2:$I1000,"")</f>
        <v>Elemental</v>
      </c>
      <c r="C93" s="34">
        <v>0.0</v>
      </c>
      <c r="D93" s="34" t="s">
        <v>220</v>
      </c>
      <c r="E93" s="34" t="s">
        <v>584</v>
      </c>
      <c r="F93" s="34" t="s">
        <v>585</v>
      </c>
      <c r="G93" s="34">
        <v>2.0</v>
      </c>
      <c r="H93" s="34" t="s">
        <v>586</v>
      </c>
      <c r="I93" s="34" t="s">
        <v>70</v>
      </c>
      <c r="J93" s="34">
        <f>IFERROR(__xludf.DUMMYFUNCTION("LEN(REGEXREPLACE(XLOOKUP($A93,Cards!$A$2:$A1000,Cards!$H$2:$H1000,""""),"",\s"",""""))"),2.0)</f>
        <v>2</v>
      </c>
      <c r="K93" s="34" t="str">
        <f t="shared" si="1"/>
        <v>           Move    </v>
      </c>
      <c r="L93" s="34" t="str">
        <f>IFERROR(__xludf.DUMMYFUNCTION("IF(IF(L$1="""","""",REGEXMATCH(LOWER($E93),XLOOKUP(L$1,Metadata!$A$2:$A1000,Metadata!$B$2:$B1000))),L$1,"""")"),"")</f>
        <v/>
      </c>
      <c r="M93" s="34" t="str">
        <f>IFERROR(__xludf.DUMMYFUNCTION("IF(IF(M$1="""","""",REGEXMATCH(LOWER($E93),XLOOKUP(M$1,Metadata!$A$2:$A1000,Metadata!$B$2:$B1000))),M$1,"""")"),"")</f>
        <v/>
      </c>
      <c r="N93" s="34" t="str">
        <f>IFERROR(__xludf.DUMMYFUNCTION("IF(IF(N$1="""","""",REGEXMATCH(LOWER($E93),XLOOKUP(N$1,Metadata!$A$2:$A1000,Metadata!$B$2:$B1000))),N$1,"""")"),"")</f>
        <v/>
      </c>
      <c r="O93" s="34" t="str">
        <f>IFERROR(__xludf.DUMMYFUNCTION("IF(IF(O$1="""","""",REGEXMATCH(LOWER($E93),XLOOKUP(O$1,Metadata!$A$2:$A1000,Metadata!$B$2:$B1000))),O$1,"""")"),"")</f>
        <v/>
      </c>
      <c r="P93" s="34" t="str">
        <f>IFERROR(__xludf.DUMMYFUNCTION("IF(IF(P$1="""","""",REGEXMATCH(LOWER($E93),XLOOKUP(P$1,Metadata!$A$2:$A1000,Metadata!$B$2:$B1000))),P$1,"""")"),"")</f>
        <v/>
      </c>
      <c r="Q93" s="34" t="str">
        <f>IFERROR(__xludf.DUMMYFUNCTION("IF(IF(Q$1="""","""",REGEXMATCH(LOWER($E93),XLOOKUP(Q$1,Metadata!$A$2:$A1000,Metadata!$B$2:$B1000))),Q$1,"""")"),"")</f>
        <v/>
      </c>
      <c r="R93" s="34" t="str">
        <f>IFERROR(__xludf.DUMMYFUNCTION("IF(IF(R$1="""","""",REGEXMATCH(LOWER($E93),XLOOKUP(R$1,Metadata!$A$2:$A1000,Metadata!$B$2:$B1000))),R$1,"""")"),"")</f>
        <v/>
      </c>
      <c r="S93" s="34" t="str">
        <f>IFERROR(__xludf.DUMMYFUNCTION("IF(IF(S$1="""","""",REGEXMATCH(LOWER($E93),XLOOKUP(S$1,Metadata!$A$2:$A1000,Metadata!$B$2:$B1000))),S$1,"""")"),"")</f>
        <v/>
      </c>
      <c r="T93" s="34" t="str">
        <f>IFERROR(__xludf.DUMMYFUNCTION("IF(IF(T$1="""","""",REGEXMATCH(LOWER($E93),XLOOKUP(T$1,Metadata!$A$2:$A1000,Metadata!$B$2:$B1000))),T$1,"""")"),"")</f>
        <v/>
      </c>
      <c r="U93" s="34" t="str">
        <f>IFERROR(__xludf.DUMMYFUNCTION("IF(IF(U$1="""","""",REGEXMATCH(LOWER($E93),XLOOKUP(U$1,Metadata!$A$2:$A1000,Metadata!$B$2:$B1000))),U$1,"""")"),"")</f>
        <v/>
      </c>
      <c r="V93" s="34" t="str">
        <f>IFERROR(__xludf.DUMMYFUNCTION("IF(IF(V$1="""","""",REGEXMATCH(LOWER($E93),XLOOKUP(V$1,Metadata!$A$2:$A1000,Metadata!$B$2:$B1000))),V$1,"""")"),"")</f>
        <v/>
      </c>
      <c r="W93" s="34" t="str">
        <f>IFERROR(__xludf.DUMMYFUNCTION("IF(IF(W$1="""","""",REGEXMATCH(LOWER($E93),XLOOKUP(W$1,Metadata!$A$2:$A1000,Metadata!$B$2:$B1000))),W$1,"""")"),"Move")</f>
        <v>Move</v>
      </c>
      <c r="X93" s="34" t="str">
        <f>IFERROR(__xludf.DUMMYFUNCTION("IF(IF(X$1="""","""",REGEXMATCH(LOWER($E93),XLOOKUP(X$1,Metadata!$A$2:$A1000,Metadata!$B$2:$B1000))),X$1,"""")"),"")</f>
        <v/>
      </c>
      <c r="Y93" s="34" t="str">
        <f>IFERROR(__xludf.DUMMYFUNCTION("IF(IF(Y$1="""","""",REGEXMATCH(LOWER($E93),XLOOKUP(Y$1,Metadata!$A$2:$A1000,Metadata!$B$2:$B1000))),Y$1,"""")"),"")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I94">XLOOKUP($A94,Cards!$A$2:$A1000,Cards!$B$2:$I1000,"")</f>
        <v>Elemental</v>
      </c>
      <c r="C94" s="34">
        <v>2.0</v>
      </c>
      <c r="D94" s="34" t="s">
        <v>588</v>
      </c>
      <c r="E94" s="34" t="s">
        <v>589</v>
      </c>
      <c r="F94" s="34" t="s">
        <v>590</v>
      </c>
      <c r="G94" s="34">
        <v>1.0</v>
      </c>
      <c r="H94" s="34" t="s">
        <v>421</v>
      </c>
      <c r="I94" s="34" t="s">
        <v>26</v>
      </c>
      <c r="J94" s="34">
        <f>IFERROR(__xludf.DUMMYFUNCTION("LEN(REGEXREPLACE(XLOOKUP($A94,Cards!$A$2:$A1000,Cards!$H$2:$H1000,""""),"",\s"",""""))"),3.0)</f>
        <v>3</v>
      </c>
      <c r="K94" s="34" t="str">
        <f t="shared" si="1"/>
        <v>               </v>
      </c>
      <c r="L94" s="34" t="str">
        <f>IFERROR(__xludf.DUMMYFUNCTION("IF(IF(L$1="""","""",REGEXMATCH(LOWER($E94),XLOOKUP(L$1,Metadata!$A$2:$A1000,Metadata!$B$2:$B1000))),L$1,"""")"),"")</f>
        <v/>
      </c>
      <c r="M94" s="34" t="str">
        <f>IFERROR(__xludf.DUMMYFUNCTION("IF(IF(M$1="""","""",REGEXMATCH(LOWER($E94),XLOOKUP(M$1,Metadata!$A$2:$A1000,Metadata!$B$2:$B1000))),M$1,"""")"),"")</f>
        <v/>
      </c>
      <c r="N94" s="34" t="str">
        <f>IFERROR(__xludf.DUMMYFUNCTION("IF(IF(N$1="""","""",REGEXMATCH(LOWER($E94),XLOOKUP(N$1,Metadata!$A$2:$A1000,Metadata!$B$2:$B1000))),N$1,"""")"),"")</f>
        <v/>
      </c>
      <c r="O94" s="34" t="str">
        <f>IFERROR(__xludf.DUMMYFUNCTION("IF(IF(O$1="""","""",REGEXMATCH(LOWER($E94),XLOOKUP(O$1,Metadata!$A$2:$A1000,Metadata!$B$2:$B1000))),O$1,"""")"),"")</f>
        <v/>
      </c>
      <c r="P94" s="34" t="str">
        <f>IFERROR(__xludf.DUMMYFUNCTION("IF(IF(P$1="""","""",REGEXMATCH(LOWER($E94),XLOOKUP(P$1,Metadata!$A$2:$A1000,Metadata!$B$2:$B1000))),P$1,"""")"),"")</f>
        <v/>
      </c>
      <c r="Q94" s="34" t="str">
        <f>IFERROR(__xludf.DUMMYFUNCTION("IF(IF(Q$1="""","""",REGEXMATCH(LOWER($E94),XLOOKUP(Q$1,Metadata!$A$2:$A1000,Metadata!$B$2:$B1000))),Q$1,"""")"),"")</f>
        <v/>
      </c>
      <c r="R94" s="34" t="str">
        <f>IFERROR(__xludf.DUMMYFUNCTION("IF(IF(R$1="""","""",REGEXMATCH(LOWER($E94),XLOOKUP(R$1,Metadata!$A$2:$A1000,Metadata!$B$2:$B1000))),R$1,"""")"),"")</f>
        <v/>
      </c>
      <c r="S94" s="34" t="str">
        <f>IFERROR(__xludf.DUMMYFUNCTION("IF(IF(S$1="""","""",REGEXMATCH(LOWER($E94),XLOOKUP(S$1,Metadata!$A$2:$A1000,Metadata!$B$2:$B1000))),S$1,"""")"),"")</f>
        <v/>
      </c>
      <c r="T94" s="34" t="str">
        <f>IFERROR(__xludf.DUMMYFUNCTION("IF(IF(T$1="""","""",REGEXMATCH(LOWER($E94),XLOOKUP(T$1,Metadata!$A$2:$A1000,Metadata!$B$2:$B1000))),T$1,"""")"),"")</f>
        <v/>
      </c>
      <c r="U94" s="34" t="str">
        <f>IFERROR(__xludf.DUMMYFUNCTION("IF(IF(U$1="""","""",REGEXMATCH(LOWER($E94),XLOOKUP(U$1,Metadata!$A$2:$A1000,Metadata!$B$2:$B1000))),U$1,"""")"),"")</f>
        <v/>
      </c>
      <c r="V94" s="34" t="str">
        <f>IFERROR(__xludf.DUMMYFUNCTION("IF(IF(V$1="""","""",REGEXMATCH(LOWER($E94),XLOOKUP(V$1,Metadata!$A$2:$A1000,Metadata!$B$2:$B1000))),V$1,"""")"),"")</f>
        <v/>
      </c>
      <c r="W94" s="34" t="str">
        <f>IFERROR(__xludf.DUMMYFUNCTION("IF(IF(W$1="""","""",REGEXMATCH(LOWER($E94),XLOOKUP(W$1,Metadata!$A$2:$A1000,Metadata!$B$2:$B1000))),W$1,"""")"),"")</f>
        <v/>
      </c>
      <c r="X94" s="34" t="str">
        <f>IFERROR(__xludf.DUMMYFUNCTION("IF(IF(X$1="""","""",REGEXMATCH(LOWER($E94),XLOOKUP(X$1,Metadata!$A$2:$A1000,Metadata!$B$2:$B1000))),X$1,"""")"),"")</f>
        <v/>
      </c>
      <c r="Y94" s="34" t="str">
        <f>IFERROR(__xludf.DUMMYFUNCTION("IF(IF(Y$1="""","""",REGEXMATCH(LOWER($E94),XLOOKUP(Y$1,Metadata!$A$2:$A1000,Metadata!$B$2:$B1000))),Y$1,"""")"),"")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I95">XLOOKUP($A95,Cards!$A$2:$A1000,Cards!$B$2:$I1000,"")</f>
        <v>Elemental</v>
      </c>
      <c r="C95" s="34">
        <v>2.0</v>
      </c>
      <c r="D95" s="34" t="s">
        <v>408</v>
      </c>
      <c r="E95" s="34" t="s">
        <v>592</v>
      </c>
      <c r="F95" s="34" t="s">
        <v>593</v>
      </c>
      <c r="G95" s="34">
        <v>2.0</v>
      </c>
      <c r="H95" s="34" t="s">
        <v>586</v>
      </c>
      <c r="I95" s="34" t="s">
        <v>26</v>
      </c>
      <c r="J95" s="34">
        <f>IFERROR(__xludf.DUMMYFUNCTION("LEN(REGEXREPLACE(XLOOKUP($A95,Cards!$A$2:$A1000,Cards!$H$2:$H1000,""""),"",\s"",""""))"),2.0)</f>
        <v>2</v>
      </c>
      <c r="K95" s="34" t="str">
        <f t="shared" si="1"/>
        <v>       Control     Ambush   </v>
      </c>
      <c r="L95" s="34" t="str">
        <f>IFERROR(__xludf.DUMMYFUNCTION("IF(IF(L$1="""","""",REGEXMATCH(LOWER($E95),XLOOKUP(L$1,Metadata!$A$2:$A1000,Metadata!$B$2:$B1000))),L$1,"""")"),"")</f>
        <v/>
      </c>
      <c r="M95" s="34" t="str">
        <f>IFERROR(__xludf.DUMMYFUNCTION("IF(IF(M$1="""","""",REGEXMATCH(LOWER($E95),XLOOKUP(M$1,Metadata!$A$2:$A1000,Metadata!$B$2:$B1000))),M$1,"""")"),"")</f>
        <v/>
      </c>
      <c r="N95" s="34" t="str">
        <f>IFERROR(__xludf.DUMMYFUNCTION("IF(IF(N$1="""","""",REGEXMATCH(LOWER($E95),XLOOKUP(N$1,Metadata!$A$2:$A1000,Metadata!$B$2:$B1000))),N$1,"""")"),"")</f>
        <v/>
      </c>
      <c r="O95" s="34" t="str">
        <f>IFERROR(__xludf.DUMMYFUNCTION("IF(IF(O$1="""","""",REGEXMATCH(LOWER($E95),XLOOKUP(O$1,Metadata!$A$2:$A1000,Metadata!$B$2:$B1000))),O$1,"""")"),"")</f>
        <v/>
      </c>
      <c r="P95" s="34" t="str">
        <f>IFERROR(__xludf.DUMMYFUNCTION("IF(IF(P$1="""","""",REGEXMATCH(LOWER($E95),XLOOKUP(P$1,Metadata!$A$2:$A1000,Metadata!$B$2:$B1000))),P$1,"""")"),"")</f>
        <v/>
      </c>
      <c r="Q95" s="34" t="str">
        <f>IFERROR(__xludf.DUMMYFUNCTION("IF(IF(Q$1="""","""",REGEXMATCH(LOWER($E95),XLOOKUP(Q$1,Metadata!$A$2:$A1000,Metadata!$B$2:$B1000))),Q$1,"""")"),"")</f>
        <v/>
      </c>
      <c r="R95" s="34" t="str">
        <f>IFERROR(__xludf.DUMMYFUNCTION("IF(IF(R$1="""","""",REGEXMATCH(LOWER($E95),XLOOKUP(R$1,Metadata!$A$2:$A1000,Metadata!$B$2:$B1000))),R$1,"""")"),"")</f>
        <v/>
      </c>
      <c r="S95" s="34" t="str">
        <f>IFERROR(__xludf.DUMMYFUNCTION("IF(IF(S$1="""","""",REGEXMATCH(LOWER($E95),XLOOKUP(S$1,Metadata!$A$2:$A1000,Metadata!$B$2:$B1000))),S$1,"""")"),"Control")</f>
        <v>Control</v>
      </c>
      <c r="T95" s="34" t="str">
        <f>IFERROR(__xludf.DUMMYFUNCTION("IF(IF(T$1="""","""",REGEXMATCH(LOWER($E95),XLOOKUP(T$1,Metadata!$A$2:$A1000,Metadata!$B$2:$B1000))),T$1,"""")"),"")</f>
        <v/>
      </c>
      <c r="U95" s="34" t="str">
        <f>IFERROR(__xludf.DUMMYFUNCTION("IF(IF(U$1="""","""",REGEXMATCH(LOWER($E95),XLOOKUP(U$1,Metadata!$A$2:$A1000,Metadata!$B$2:$B1000))),U$1,"""")"),"")</f>
        <v/>
      </c>
      <c r="V95" s="34" t="str">
        <f>IFERROR(__xludf.DUMMYFUNCTION("IF(IF(V$1="""","""",REGEXMATCH(LOWER($E95),XLOOKUP(V$1,Metadata!$A$2:$A1000,Metadata!$B$2:$B1000))),V$1,"""")"),"")</f>
        <v/>
      </c>
      <c r="W95" s="34" t="str">
        <f>IFERROR(__xludf.DUMMYFUNCTION("IF(IF(W$1="""","""",REGEXMATCH(LOWER($E95),XLOOKUP(W$1,Metadata!$A$2:$A1000,Metadata!$B$2:$B1000))),W$1,"""")"),"")</f>
        <v/>
      </c>
      <c r="X95" s="34" t="str">
        <f>IFERROR(__xludf.DUMMYFUNCTION("IF(IF(X$1="""","""",REGEXMATCH(LOWER($E95),XLOOKUP(X$1,Metadata!$A$2:$A1000,Metadata!$B$2:$B1000))),X$1,"""")"),"Ambush")</f>
        <v>Ambush</v>
      </c>
      <c r="Y95" s="34" t="str">
        <f>IFERROR(__xludf.DUMMYFUNCTION("IF(IF(Y$1="""","""",REGEXMATCH(LOWER($E95),XLOOKUP(Y$1,Metadata!$A$2:$A1000,Metadata!$B$2:$B1000))),Y$1,"""")"),"")</f>
        <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I96">XLOOKUP($A96,Cards!$A$2:$A1000,Cards!$B$2:$I1000,"")</f>
        <v>Elemental</v>
      </c>
      <c r="C96" s="34">
        <v>1.0</v>
      </c>
      <c r="D96" s="34" t="s">
        <v>408</v>
      </c>
      <c r="E96" s="34" t="s">
        <v>595</v>
      </c>
      <c r="F96" s="34" t="s">
        <v>596</v>
      </c>
      <c r="G96" s="34">
        <v>1.0</v>
      </c>
      <c r="H96" s="34" t="s">
        <v>586</v>
      </c>
      <c r="I96" s="34" t="s">
        <v>26</v>
      </c>
      <c r="J96" s="34">
        <f>IFERROR(__xludf.DUMMYFUNCTION("LEN(REGEXREPLACE(XLOOKUP($A96,Cards!$A$2:$A1000,Cards!$H$2:$H1000,""""),"",\s"",""""))"),2.0)</f>
        <v>2</v>
      </c>
      <c r="K96" s="34" t="str">
        <f t="shared" si="1"/>
        <v> Elemental              </v>
      </c>
      <c r="L96" s="34" t="str">
        <f>IFERROR(__xludf.DUMMYFUNCTION("IF(IF(L$1="""","""",REGEXMATCH(LOWER($E96),XLOOKUP(L$1,Metadata!$A$2:$A1000,Metadata!$B$2:$B1000))),L$1,"""")"),"")</f>
        <v/>
      </c>
      <c r="M96" s="34" t="str">
        <f>IFERROR(__xludf.DUMMYFUNCTION("IF(IF(M$1="""","""",REGEXMATCH(LOWER($E96),XLOOKUP(M$1,Metadata!$A$2:$A1000,Metadata!$B$2:$B1000))),M$1,"""")"),"Elemental")</f>
        <v>Elemental</v>
      </c>
      <c r="N96" s="34" t="str">
        <f>IFERROR(__xludf.DUMMYFUNCTION("IF(IF(N$1="""","""",REGEXMATCH(LOWER($E96),XLOOKUP(N$1,Metadata!$A$2:$A1000,Metadata!$B$2:$B1000))),N$1,"""")"),"")</f>
        <v/>
      </c>
      <c r="O96" s="34" t="str">
        <f>IFERROR(__xludf.DUMMYFUNCTION("IF(IF(O$1="""","""",REGEXMATCH(LOWER($E96),XLOOKUP(O$1,Metadata!$A$2:$A1000,Metadata!$B$2:$B1000))),O$1,"""")"),"")</f>
        <v/>
      </c>
      <c r="P96" s="34" t="str">
        <f>IFERROR(__xludf.DUMMYFUNCTION("IF(IF(P$1="""","""",REGEXMATCH(LOWER($E96),XLOOKUP(P$1,Metadata!$A$2:$A1000,Metadata!$B$2:$B1000))),P$1,"""")"),"")</f>
        <v/>
      </c>
      <c r="Q96" s="34" t="str">
        <f>IFERROR(__xludf.DUMMYFUNCTION("IF(IF(Q$1="""","""",REGEXMATCH(LOWER($E96),XLOOKUP(Q$1,Metadata!$A$2:$A1000,Metadata!$B$2:$B1000))),Q$1,"""")"),"")</f>
        <v/>
      </c>
      <c r="R96" s="34" t="str">
        <f>IFERROR(__xludf.DUMMYFUNCTION("IF(IF(R$1="""","""",REGEXMATCH(LOWER($E96),XLOOKUP(R$1,Metadata!$A$2:$A1000,Metadata!$B$2:$B1000))),R$1,"""")"),"")</f>
        <v/>
      </c>
      <c r="S96" s="34" t="str">
        <f>IFERROR(__xludf.DUMMYFUNCTION("IF(IF(S$1="""","""",REGEXMATCH(LOWER($E96),XLOOKUP(S$1,Metadata!$A$2:$A1000,Metadata!$B$2:$B1000))),S$1,"""")"),"")</f>
        <v/>
      </c>
      <c r="T96" s="34" t="str">
        <f>IFERROR(__xludf.DUMMYFUNCTION("IF(IF(T$1="""","""",REGEXMATCH(LOWER($E96),XLOOKUP(T$1,Metadata!$A$2:$A1000,Metadata!$B$2:$B1000))),T$1,"""")"),"")</f>
        <v/>
      </c>
      <c r="U96" s="34" t="str">
        <f>IFERROR(__xludf.DUMMYFUNCTION("IF(IF(U$1="""","""",REGEXMATCH(LOWER($E96),XLOOKUP(U$1,Metadata!$A$2:$A1000,Metadata!$B$2:$B1000))),U$1,"""")"),"")</f>
        <v/>
      </c>
      <c r="V96" s="34" t="str">
        <f>IFERROR(__xludf.DUMMYFUNCTION("IF(IF(V$1="""","""",REGEXMATCH(LOWER($E96),XLOOKUP(V$1,Metadata!$A$2:$A1000,Metadata!$B$2:$B1000))),V$1,"""")"),"")</f>
        <v/>
      </c>
      <c r="W96" s="34" t="str">
        <f>IFERROR(__xludf.DUMMYFUNCTION("IF(IF(W$1="""","""",REGEXMATCH(LOWER($E96),XLOOKUP(W$1,Metadata!$A$2:$A1000,Metadata!$B$2:$B1000))),W$1,"""")"),"")</f>
        <v/>
      </c>
      <c r="X96" s="34" t="str">
        <f>IFERROR(__xludf.DUMMYFUNCTION("IF(IF(X$1="""","""",REGEXMATCH(LOWER($E96),XLOOKUP(X$1,Metadata!$A$2:$A1000,Metadata!$B$2:$B1000))),X$1,"""")"),"")</f>
        <v/>
      </c>
      <c r="Y96" s="34" t="str">
        <f>IFERROR(__xludf.DUMMYFUNCTION("IF(IF(Y$1="""","""",REGEXMATCH(LOWER($E96),XLOOKUP(Y$1,Metadata!$A$2:$A1000,Metadata!$B$2:$B1000))),Y$1,"""")"),"")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I97">XLOOKUP($A97,Cards!$A$2:$A1000,Cards!$B$2:$I1000,"")</f>
        <v>Elemental</v>
      </c>
      <c r="C97" s="34">
        <v>1.0</v>
      </c>
      <c r="D97" s="34" t="s">
        <v>433</v>
      </c>
      <c r="E97" s="34" t="s">
        <v>609</v>
      </c>
      <c r="F97" s="34" t="s">
        <v>610</v>
      </c>
      <c r="G97" s="34">
        <v>2.0</v>
      </c>
      <c r="H97" s="34" t="s">
        <v>439</v>
      </c>
      <c r="I97" s="34" t="s">
        <v>26</v>
      </c>
      <c r="J97" s="34">
        <f>IFERROR(__xludf.DUMMYFUNCTION("LEN(REGEXREPLACE(XLOOKUP($A97,Cards!$A$2:$A1000,Cards!$H$2:$H1000,""""),"",\s"",""""))"),1.0)</f>
        <v>1</v>
      </c>
      <c r="K97" s="34" t="str">
        <f t="shared" si="1"/>
        <v>         Aggro   Ambush   </v>
      </c>
      <c r="L97" s="34" t="str">
        <f>IFERROR(__xludf.DUMMYFUNCTION("IF(IF(L$1="""","""",REGEXMATCH(LOWER($E97),XLOOKUP(L$1,Metadata!$A$2:$A1000,Metadata!$B$2:$B1000))),L$1,"""")"),"")</f>
        <v/>
      </c>
      <c r="M97" s="34" t="str">
        <f>IFERROR(__xludf.DUMMYFUNCTION("IF(IF(M$1="""","""",REGEXMATCH(LOWER($E97),XLOOKUP(M$1,Metadata!$A$2:$A1000,Metadata!$B$2:$B1000))),M$1,"""")"),"")</f>
        <v/>
      </c>
      <c r="N97" s="34" t="str">
        <f>IFERROR(__xludf.DUMMYFUNCTION("IF(IF(N$1="""","""",REGEXMATCH(LOWER($E97),XLOOKUP(N$1,Metadata!$A$2:$A1000,Metadata!$B$2:$B1000))),N$1,"""")"),"")</f>
        <v/>
      </c>
      <c r="O97" s="34" t="str">
        <f>IFERROR(__xludf.DUMMYFUNCTION("IF(IF(O$1="""","""",REGEXMATCH(LOWER($E97),XLOOKUP(O$1,Metadata!$A$2:$A1000,Metadata!$B$2:$B1000))),O$1,"""")"),"")</f>
        <v/>
      </c>
      <c r="P97" s="34" t="str">
        <f>IFERROR(__xludf.DUMMYFUNCTION("IF(IF(P$1="""","""",REGEXMATCH(LOWER($E97),XLOOKUP(P$1,Metadata!$A$2:$A1000,Metadata!$B$2:$B1000))),P$1,"""")"),"")</f>
        <v/>
      </c>
      <c r="Q97" s="34" t="str">
        <f>IFERROR(__xludf.DUMMYFUNCTION("IF(IF(Q$1="""","""",REGEXMATCH(LOWER($E97),XLOOKUP(Q$1,Metadata!$A$2:$A1000,Metadata!$B$2:$B1000))),Q$1,"""")"),"")</f>
        <v/>
      </c>
      <c r="R97" s="34" t="str">
        <f>IFERROR(__xludf.DUMMYFUNCTION("IF(IF(R$1="""","""",REGEXMATCH(LOWER($E97),XLOOKUP(R$1,Metadata!$A$2:$A1000,Metadata!$B$2:$B1000))),R$1,"""")"),"")</f>
        <v/>
      </c>
      <c r="S97" s="34" t="str">
        <f>IFERROR(__xludf.DUMMYFUNCTION("IF(IF(S$1="""","""",REGEXMATCH(LOWER($E97),XLOOKUP(S$1,Metadata!$A$2:$A1000,Metadata!$B$2:$B1000))),S$1,"""")"),"")</f>
        <v/>
      </c>
      <c r="T97" s="34" t="str">
        <f>IFERROR(__xludf.DUMMYFUNCTION("IF(IF(T$1="""","""",REGEXMATCH(LOWER($E97),XLOOKUP(T$1,Metadata!$A$2:$A1000,Metadata!$B$2:$B1000))),T$1,"""")"),"")</f>
        <v/>
      </c>
      <c r="U97" s="34" t="str">
        <f>IFERROR(__xludf.DUMMYFUNCTION("IF(IF(U$1="""","""",REGEXMATCH(LOWER($E97),XLOOKUP(U$1,Metadata!$A$2:$A1000,Metadata!$B$2:$B1000))),U$1,"""")"),"Aggro")</f>
        <v>Aggro</v>
      </c>
      <c r="V97" s="34" t="str">
        <f>IFERROR(__xludf.DUMMYFUNCTION("IF(IF(V$1="""","""",REGEXMATCH(LOWER($E97),XLOOKUP(V$1,Metadata!$A$2:$A1000,Metadata!$B$2:$B1000))),V$1,"""")"),"")</f>
        <v/>
      </c>
      <c r="W97" s="34" t="str">
        <f>IFERROR(__xludf.DUMMYFUNCTION("IF(IF(W$1="""","""",REGEXMATCH(LOWER($E97),XLOOKUP(W$1,Metadata!$A$2:$A1000,Metadata!$B$2:$B1000))),W$1,"""")"),"")</f>
        <v/>
      </c>
      <c r="X97" s="34" t="str">
        <f>IFERROR(__xludf.DUMMYFUNCTION("IF(IF(X$1="""","""",REGEXMATCH(LOWER($E97),XLOOKUP(X$1,Metadata!$A$2:$A1000,Metadata!$B$2:$B1000))),X$1,"""")"),"Ambush")</f>
        <v>Ambush</v>
      </c>
      <c r="Y97" s="34" t="str">
        <f>IFERROR(__xludf.DUMMYFUNCTION("IF(IF(Y$1="""","""",REGEXMATCH(LOWER($E97),XLOOKUP(Y$1,Metadata!$A$2:$A1000,Metadata!$B$2:$B1000))),Y$1,"""")"),"")</f>
        <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I98">XLOOKUP($A98,Cards!$A$2:$A1000,Cards!$B$2:$I1000,"")</f>
        <v>Elemental</v>
      </c>
      <c r="C98" s="34">
        <v>1.0</v>
      </c>
      <c r="D98" s="34" t="s">
        <v>408</v>
      </c>
      <c r="E98" s="34" t="s">
        <v>617</v>
      </c>
      <c r="F98" s="34" t="s">
        <v>618</v>
      </c>
      <c r="G98" s="34">
        <v>3.0</v>
      </c>
      <c r="H98" s="34" t="s">
        <v>522</v>
      </c>
      <c r="I98" s="34" t="s">
        <v>26</v>
      </c>
      <c r="J98" s="34">
        <f>IFERROR(__xludf.DUMMYFUNCTION("LEN(REGEXREPLACE(XLOOKUP($A98,Cards!$A$2:$A1000,Cards!$H$2:$H1000,""""),"",\s"",""""))"),4.0)</f>
        <v>4</v>
      </c>
      <c r="K98" s="34" t="str">
        <f t="shared" si="1"/>
        <v>           Move    </v>
      </c>
      <c r="L98" s="34" t="str">
        <f>IFERROR(__xludf.DUMMYFUNCTION("IF(IF(L$1="""","""",REGEXMATCH(LOWER($E98),XLOOKUP(L$1,Metadata!$A$2:$A1000,Metadata!$B$2:$B1000))),L$1,"""")"),"")</f>
        <v/>
      </c>
      <c r="M98" s="34" t="str">
        <f>IFERROR(__xludf.DUMMYFUNCTION("IF(IF(M$1="""","""",REGEXMATCH(LOWER($E98),XLOOKUP(M$1,Metadata!$A$2:$A1000,Metadata!$B$2:$B1000))),M$1,"""")"),"")</f>
        <v/>
      </c>
      <c r="N98" s="34" t="str">
        <f>IFERROR(__xludf.DUMMYFUNCTION("IF(IF(N$1="""","""",REGEXMATCH(LOWER($E98),XLOOKUP(N$1,Metadata!$A$2:$A1000,Metadata!$B$2:$B1000))),N$1,"""")"),"")</f>
        <v/>
      </c>
      <c r="O98" s="34" t="str">
        <f>IFERROR(__xludf.DUMMYFUNCTION("IF(IF(O$1="""","""",REGEXMATCH(LOWER($E98),XLOOKUP(O$1,Metadata!$A$2:$A1000,Metadata!$B$2:$B1000))),O$1,"""")"),"")</f>
        <v/>
      </c>
      <c r="P98" s="34" t="str">
        <f>IFERROR(__xludf.DUMMYFUNCTION("IF(IF(P$1="""","""",REGEXMATCH(LOWER($E98),XLOOKUP(P$1,Metadata!$A$2:$A1000,Metadata!$B$2:$B1000))),P$1,"""")"),"")</f>
        <v/>
      </c>
      <c r="Q98" s="34" t="str">
        <f>IFERROR(__xludf.DUMMYFUNCTION("IF(IF(Q$1="""","""",REGEXMATCH(LOWER($E98),XLOOKUP(Q$1,Metadata!$A$2:$A1000,Metadata!$B$2:$B1000))),Q$1,"""")"),"")</f>
        <v/>
      </c>
      <c r="R98" s="34" t="str">
        <f>IFERROR(__xludf.DUMMYFUNCTION("IF(IF(R$1="""","""",REGEXMATCH(LOWER($E98),XLOOKUP(R$1,Metadata!$A$2:$A1000,Metadata!$B$2:$B1000))),R$1,"""")"),"")</f>
        <v/>
      </c>
      <c r="S98" s="34" t="str">
        <f>IFERROR(__xludf.DUMMYFUNCTION("IF(IF(S$1="""","""",REGEXMATCH(LOWER($E98),XLOOKUP(S$1,Metadata!$A$2:$A1000,Metadata!$B$2:$B1000))),S$1,"""")"),"")</f>
        <v/>
      </c>
      <c r="T98" s="34" t="str">
        <f>IFERROR(__xludf.DUMMYFUNCTION("IF(IF(T$1="""","""",REGEXMATCH(LOWER($E98),XLOOKUP(T$1,Metadata!$A$2:$A1000,Metadata!$B$2:$B1000))),T$1,"""")"),"")</f>
        <v/>
      </c>
      <c r="U98" s="34" t="str">
        <f>IFERROR(__xludf.DUMMYFUNCTION("IF(IF(U$1="""","""",REGEXMATCH(LOWER($E98),XLOOKUP(U$1,Metadata!$A$2:$A1000,Metadata!$B$2:$B1000))),U$1,"""")"),"")</f>
        <v/>
      </c>
      <c r="V98" s="34" t="str">
        <f>IFERROR(__xludf.DUMMYFUNCTION("IF(IF(V$1="""","""",REGEXMATCH(LOWER($E98),XLOOKUP(V$1,Metadata!$A$2:$A1000,Metadata!$B$2:$B1000))),V$1,"""")"),"")</f>
        <v/>
      </c>
      <c r="W98" s="34" t="str">
        <f>IFERROR(__xludf.DUMMYFUNCTION("IF(IF(W$1="""","""",REGEXMATCH(LOWER($E98),XLOOKUP(W$1,Metadata!$A$2:$A1000,Metadata!$B$2:$B1000))),W$1,"""")"),"Move")</f>
        <v>Move</v>
      </c>
      <c r="X98" s="34" t="str">
        <f>IFERROR(__xludf.DUMMYFUNCTION("IF(IF(X$1="""","""",REGEXMATCH(LOWER($E98),XLOOKUP(X$1,Metadata!$A$2:$A1000,Metadata!$B$2:$B1000))),X$1,"""")"),"")</f>
        <v/>
      </c>
      <c r="Y98" s="34" t="str">
        <f>IFERROR(__xludf.DUMMYFUNCTION("IF(IF(Y$1="""","""",REGEXMATCH(LOWER($E98),XLOOKUP(Y$1,Metadata!$A$2:$A1000,Metadata!$B$2:$B1000))),Y$1,"""")"),"")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I99">XLOOKUP($A99,Cards!$A$2:$A1000,Cards!$B$2:$I1000,"")</f>
        <v>Elemental</v>
      </c>
      <c r="C99" s="34">
        <v>2.0</v>
      </c>
      <c r="D99" s="34" t="s">
        <v>631</v>
      </c>
      <c r="E99" s="34" t="s">
        <v>632</v>
      </c>
      <c r="F99" s="34" t="s">
        <v>633</v>
      </c>
      <c r="G99" s="34">
        <v>5.0</v>
      </c>
      <c r="H99" s="34" t="s">
        <v>634</v>
      </c>
      <c r="I99" s="34" t="s">
        <v>70</v>
      </c>
      <c r="J99" s="34">
        <f>IFERROR(__xludf.DUMMYFUNCTION("LEN(REGEXREPLACE(XLOOKUP($A99,Cards!$A$2:$A1000,Cards!$H$2:$H1000,""""),"",\s"",""""))"),6.0)</f>
        <v>6</v>
      </c>
      <c r="K99" s="34" t="str">
        <f t="shared" si="1"/>
        <v>      Ramp         </v>
      </c>
      <c r="L99" s="34" t="str">
        <f>IFERROR(__xludf.DUMMYFUNCTION("IF(IF(L$1="""","""",REGEXMATCH(LOWER($E99),XLOOKUP(L$1,Metadata!$A$2:$A1000,Metadata!$B$2:$B1000))),L$1,"""")"),"")</f>
        <v/>
      </c>
      <c r="M99" s="34" t="str">
        <f>IFERROR(__xludf.DUMMYFUNCTION("IF(IF(M$1="""","""",REGEXMATCH(LOWER($E99),XLOOKUP(M$1,Metadata!$A$2:$A1000,Metadata!$B$2:$B1000))),M$1,"""")"),"")</f>
        <v/>
      </c>
      <c r="N99" s="34" t="str">
        <f>IFERROR(__xludf.DUMMYFUNCTION("IF(IF(N$1="""","""",REGEXMATCH(LOWER($E99),XLOOKUP(N$1,Metadata!$A$2:$A1000,Metadata!$B$2:$B1000))),N$1,"""")"),"")</f>
        <v/>
      </c>
      <c r="O99" s="34" t="str">
        <f>IFERROR(__xludf.DUMMYFUNCTION("IF(IF(O$1="""","""",REGEXMATCH(LOWER($E99),XLOOKUP(O$1,Metadata!$A$2:$A1000,Metadata!$B$2:$B1000))),O$1,"""")"),"")</f>
        <v/>
      </c>
      <c r="P99" s="34" t="str">
        <f>IFERROR(__xludf.DUMMYFUNCTION("IF(IF(P$1="""","""",REGEXMATCH(LOWER($E99),XLOOKUP(P$1,Metadata!$A$2:$A1000,Metadata!$B$2:$B1000))),P$1,"""")"),"")</f>
        <v/>
      </c>
      <c r="Q99" s="34" t="str">
        <f>IFERROR(__xludf.DUMMYFUNCTION("IF(IF(Q$1="""","""",REGEXMATCH(LOWER($E99),XLOOKUP(Q$1,Metadata!$A$2:$A1000,Metadata!$B$2:$B1000))),Q$1,"""")"),"")</f>
        <v/>
      </c>
      <c r="R99" s="34" t="str">
        <f>IFERROR(__xludf.DUMMYFUNCTION("IF(IF(R$1="""","""",REGEXMATCH(LOWER($E99),XLOOKUP(R$1,Metadata!$A$2:$A1000,Metadata!$B$2:$B1000))),R$1,"""")"),"Ramp")</f>
        <v>Ramp</v>
      </c>
      <c r="S99" s="34" t="str">
        <f>IFERROR(__xludf.DUMMYFUNCTION("IF(IF(S$1="""","""",REGEXMATCH(LOWER($E99),XLOOKUP(S$1,Metadata!$A$2:$A1000,Metadata!$B$2:$B1000))),S$1,"""")"),"")</f>
        <v/>
      </c>
      <c r="T99" s="34" t="str">
        <f>IFERROR(__xludf.DUMMYFUNCTION("IF(IF(T$1="""","""",REGEXMATCH(LOWER($E99),XLOOKUP(T$1,Metadata!$A$2:$A1000,Metadata!$B$2:$B1000))),T$1,"""")"),"")</f>
        <v/>
      </c>
      <c r="U99" s="34" t="str">
        <f>IFERROR(__xludf.DUMMYFUNCTION("IF(IF(U$1="""","""",REGEXMATCH(LOWER($E99),XLOOKUP(U$1,Metadata!$A$2:$A1000,Metadata!$B$2:$B1000))),U$1,"""")"),"")</f>
        <v/>
      </c>
      <c r="V99" s="34" t="str">
        <f>IFERROR(__xludf.DUMMYFUNCTION("IF(IF(V$1="""","""",REGEXMATCH(LOWER($E99),XLOOKUP(V$1,Metadata!$A$2:$A1000,Metadata!$B$2:$B1000))),V$1,"""")"),"")</f>
        <v/>
      </c>
      <c r="W99" s="34" t="str">
        <f>IFERROR(__xludf.DUMMYFUNCTION("IF(IF(W$1="""","""",REGEXMATCH(LOWER($E99),XLOOKUP(W$1,Metadata!$A$2:$A1000,Metadata!$B$2:$B1000))),W$1,"""")"),"")</f>
        <v/>
      </c>
      <c r="X99" s="34" t="str">
        <f>IFERROR(__xludf.DUMMYFUNCTION("IF(IF(X$1="""","""",REGEXMATCH(LOWER($E99),XLOOKUP(X$1,Metadata!$A$2:$A1000,Metadata!$B$2:$B1000))),X$1,"""")"),"")</f>
        <v/>
      </c>
      <c r="Y99" s="34" t="str">
        <f>IFERROR(__xludf.DUMMYFUNCTION("IF(IF(Y$1="""","""",REGEXMATCH(LOWER($E99),XLOOKUP(Y$1,Metadata!$A$2:$A1000,Metadata!$B$2:$B1000))),Y$1,"""")"),"")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I100">XLOOKUP($A100,Cards!$A$2:$A1000,Cards!$B$2:$I1000,"")</f>
        <v>Elemental</v>
      </c>
      <c r="C100" s="34">
        <v>1.0</v>
      </c>
      <c r="D100" s="34" t="s">
        <v>588</v>
      </c>
      <c r="E100" s="34" t="s">
        <v>636</v>
      </c>
      <c r="F100" s="34" t="s">
        <v>637</v>
      </c>
      <c r="G100" s="34">
        <v>4.0</v>
      </c>
      <c r="H100" s="34" t="s">
        <v>638</v>
      </c>
      <c r="I100" s="34" t="s">
        <v>26</v>
      </c>
      <c r="J100" s="34">
        <f>IFERROR(__xludf.DUMMYFUNCTION("LEN(REGEXREPLACE(XLOOKUP($A100,Cards!$A$2:$A1000,Cards!$H$2:$H1000,""""),"",\s"",""""))"),4.0)</f>
        <v>4</v>
      </c>
      <c r="K100" s="34" t="str">
        <f t="shared" si="1"/>
        <v>               </v>
      </c>
      <c r="L100" s="34" t="str">
        <f>IFERROR(__xludf.DUMMYFUNCTION("IF(IF(L$1="""","""",REGEXMATCH(LOWER($E100),XLOOKUP(L$1,Metadata!$A$2:$A1000,Metadata!$B$2:$B1000))),L$1,"""")"),"")</f>
        <v/>
      </c>
      <c r="M100" s="34" t="str">
        <f>IFERROR(__xludf.DUMMYFUNCTION("IF(IF(M$1="""","""",REGEXMATCH(LOWER($E100),XLOOKUP(M$1,Metadata!$A$2:$A1000,Metadata!$B$2:$B1000))),M$1,"""")"),"")</f>
        <v/>
      </c>
      <c r="N100" s="34" t="str">
        <f>IFERROR(__xludf.DUMMYFUNCTION("IF(IF(N$1="""","""",REGEXMATCH(LOWER($E100),XLOOKUP(N$1,Metadata!$A$2:$A1000,Metadata!$B$2:$B1000))),N$1,"""")"),"")</f>
        <v/>
      </c>
      <c r="O100" s="34" t="str">
        <f>IFERROR(__xludf.DUMMYFUNCTION("IF(IF(O$1="""","""",REGEXMATCH(LOWER($E100),XLOOKUP(O$1,Metadata!$A$2:$A1000,Metadata!$B$2:$B1000))),O$1,"""")"),"")</f>
        <v/>
      </c>
      <c r="P100" s="34" t="str">
        <f>IFERROR(__xludf.DUMMYFUNCTION("IF(IF(P$1="""","""",REGEXMATCH(LOWER($E100),XLOOKUP(P$1,Metadata!$A$2:$A1000,Metadata!$B$2:$B1000))),P$1,"""")"),"")</f>
        <v/>
      </c>
      <c r="Q100" s="34" t="str">
        <f>IFERROR(__xludf.DUMMYFUNCTION("IF(IF(Q$1="""","""",REGEXMATCH(LOWER($E100),XLOOKUP(Q$1,Metadata!$A$2:$A1000,Metadata!$B$2:$B1000))),Q$1,"""")"),"")</f>
        <v/>
      </c>
      <c r="R100" s="34" t="str">
        <f>IFERROR(__xludf.DUMMYFUNCTION("IF(IF(R$1="""","""",REGEXMATCH(LOWER($E100),XLOOKUP(R$1,Metadata!$A$2:$A1000,Metadata!$B$2:$B1000))),R$1,"""")"),"")</f>
        <v/>
      </c>
      <c r="S100" s="34" t="str">
        <f>IFERROR(__xludf.DUMMYFUNCTION("IF(IF(S$1="""","""",REGEXMATCH(LOWER($E100),XLOOKUP(S$1,Metadata!$A$2:$A1000,Metadata!$B$2:$B1000))),S$1,"""")"),"")</f>
        <v/>
      </c>
      <c r="T100" s="34" t="str">
        <f>IFERROR(__xludf.DUMMYFUNCTION("IF(IF(T$1="""","""",REGEXMATCH(LOWER($E100),XLOOKUP(T$1,Metadata!$A$2:$A1000,Metadata!$B$2:$B1000))),T$1,"""")"),"")</f>
        <v/>
      </c>
      <c r="U100" s="34" t="str">
        <f>IFERROR(__xludf.DUMMYFUNCTION("IF(IF(U$1="""","""",REGEXMATCH(LOWER($E100),XLOOKUP(U$1,Metadata!$A$2:$A1000,Metadata!$B$2:$B1000))),U$1,"""")"),"")</f>
        <v/>
      </c>
      <c r="V100" s="34" t="str">
        <f>IFERROR(__xludf.DUMMYFUNCTION("IF(IF(V$1="""","""",REGEXMATCH(LOWER($E100),XLOOKUP(V$1,Metadata!$A$2:$A1000,Metadata!$B$2:$B1000))),V$1,"""")"),"")</f>
        <v/>
      </c>
      <c r="W100" s="34" t="str">
        <f>IFERROR(__xludf.DUMMYFUNCTION("IF(IF(W$1="""","""",REGEXMATCH(LOWER($E100),XLOOKUP(W$1,Metadata!$A$2:$A1000,Metadata!$B$2:$B1000))),W$1,"""")"),"")</f>
        <v/>
      </c>
      <c r="X100" s="34" t="str">
        <f>IFERROR(__xludf.DUMMYFUNCTION("IF(IF(X$1="""","""",REGEXMATCH(LOWER($E100),XLOOKUP(X$1,Metadata!$A$2:$A1000,Metadata!$B$2:$B1000))),X$1,"""")"),"")</f>
        <v/>
      </c>
      <c r="Y100" s="34" t="str">
        <f>IFERROR(__xludf.DUMMYFUNCTION("IF(IF(Y$1="""","""",REGEXMATCH(LOWER($E100),XLOOKUP(Y$1,Metadata!$A$2:$A1000,Metadata!$B$2:$B1000))),Y$1,"""")"),"")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I101">XLOOKUP($A101,Cards!$A$2:$A1000,Cards!$B$2:$I1000,"")</f>
        <v>Elemental</v>
      </c>
      <c r="C101" s="34">
        <v>2.0</v>
      </c>
      <c r="D101" s="34" t="s">
        <v>651</v>
      </c>
      <c r="E101" s="34" t="s">
        <v>652</v>
      </c>
      <c r="F101" s="34" t="s">
        <v>389</v>
      </c>
      <c r="G101" s="34">
        <v>3.0</v>
      </c>
      <c r="H101" s="34" t="s">
        <v>421</v>
      </c>
      <c r="I101" s="34" t="s">
        <v>70</v>
      </c>
      <c r="J101" s="34">
        <f>IFERROR(__xludf.DUMMYFUNCTION("LEN(REGEXREPLACE(XLOOKUP($A101,Cards!$A$2:$A1000,Cards!$H$2:$H1000,""""),"",\s"",""""))"),3.0)</f>
        <v>3</v>
      </c>
      <c r="K101" s="34" t="str">
        <f t="shared" si="1"/>
        <v>      Ramp   Aggro      </v>
      </c>
      <c r="L101" s="34" t="str">
        <f>IFERROR(__xludf.DUMMYFUNCTION("IF(IF(L$1="""","""",REGEXMATCH(LOWER($E101),XLOOKUP(L$1,Metadata!$A$2:$A1000,Metadata!$B$2:$B1000))),L$1,"""")"),"")</f>
        <v/>
      </c>
      <c r="M101" s="34" t="str">
        <f>IFERROR(__xludf.DUMMYFUNCTION("IF(IF(M$1="""","""",REGEXMATCH(LOWER($E101),XLOOKUP(M$1,Metadata!$A$2:$A1000,Metadata!$B$2:$B1000))),M$1,"""")"),"")</f>
        <v/>
      </c>
      <c r="N101" s="34" t="str">
        <f>IFERROR(__xludf.DUMMYFUNCTION("IF(IF(N$1="""","""",REGEXMATCH(LOWER($E101),XLOOKUP(N$1,Metadata!$A$2:$A1000,Metadata!$B$2:$B1000))),N$1,"""")"),"")</f>
        <v/>
      </c>
      <c r="O101" s="34" t="str">
        <f>IFERROR(__xludf.DUMMYFUNCTION("IF(IF(O$1="""","""",REGEXMATCH(LOWER($E101),XLOOKUP(O$1,Metadata!$A$2:$A1000,Metadata!$B$2:$B1000))),O$1,"""")"),"")</f>
        <v/>
      </c>
      <c r="P101" s="34" t="str">
        <f>IFERROR(__xludf.DUMMYFUNCTION("IF(IF(P$1="""","""",REGEXMATCH(LOWER($E101),XLOOKUP(P$1,Metadata!$A$2:$A1000,Metadata!$B$2:$B1000))),P$1,"""")"),"")</f>
        <v/>
      </c>
      <c r="Q101" s="34" t="str">
        <f>IFERROR(__xludf.DUMMYFUNCTION("IF(IF(Q$1="""","""",REGEXMATCH(LOWER($E101),XLOOKUP(Q$1,Metadata!$A$2:$A1000,Metadata!$B$2:$B1000))),Q$1,"""")"),"")</f>
        <v/>
      </c>
      <c r="R101" s="34" t="str">
        <f>IFERROR(__xludf.DUMMYFUNCTION("IF(IF(R$1="""","""",REGEXMATCH(LOWER($E101),XLOOKUP(R$1,Metadata!$A$2:$A1000,Metadata!$B$2:$B1000))),R$1,"""")"),"Ramp")</f>
        <v>Ramp</v>
      </c>
      <c r="S101" s="34" t="str">
        <f>IFERROR(__xludf.DUMMYFUNCTION("IF(IF(S$1="""","""",REGEXMATCH(LOWER($E101),XLOOKUP(S$1,Metadata!$A$2:$A1000,Metadata!$B$2:$B1000))),S$1,"""")"),"")</f>
        <v/>
      </c>
      <c r="T101" s="34" t="str">
        <f>IFERROR(__xludf.DUMMYFUNCTION("IF(IF(T$1="""","""",REGEXMATCH(LOWER($E101),XLOOKUP(T$1,Metadata!$A$2:$A1000,Metadata!$B$2:$B1000))),T$1,"""")"),"")</f>
        <v/>
      </c>
      <c r="U101" s="34" t="str">
        <f>IFERROR(__xludf.DUMMYFUNCTION("IF(IF(U$1="""","""",REGEXMATCH(LOWER($E101),XLOOKUP(U$1,Metadata!$A$2:$A1000,Metadata!$B$2:$B1000))),U$1,"""")"),"Aggro")</f>
        <v>Aggro</v>
      </c>
      <c r="V101" s="34" t="str">
        <f>IFERROR(__xludf.DUMMYFUNCTION("IF(IF(V$1="""","""",REGEXMATCH(LOWER($E101),XLOOKUP(V$1,Metadata!$A$2:$A1000,Metadata!$B$2:$B1000))),V$1,"""")"),"")</f>
        <v/>
      </c>
      <c r="W101" s="34" t="str">
        <f>IFERROR(__xludf.DUMMYFUNCTION("IF(IF(W$1="""","""",REGEXMATCH(LOWER($E101),XLOOKUP(W$1,Metadata!$A$2:$A1000,Metadata!$B$2:$B1000))),W$1,"""")"),"")</f>
        <v/>
      </c>
      <c r="X101" s="34" t="str">
        <f>IFERROR(__xludf.DUMMYFUNCTION("IF(IF(X$1="""","""",REGEXMATCH(LOWER($E101),XLOOKUP(X$1,Metadata!$A$2:$A1000,Metadata!$B$2:$B1000))),X$1,"""")"),"")</f>
        <v/>
      </c>
      <c r="Y101" s="34" t="str">
        <f>IFERROR(__xludf.DUMMYFUNCTION("IF(IF(Y$1="""","""",REGEXMATCH(LOWER($E101),XLOOKUP(Y$1,Metadata!$A$2:$A1000,Metadata!$B$2:$B1000))),Y$1,"""")"),"")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I102">XLOOKUP($A102,Cards!$A$2:$A1000,Cards!$B$2:$I1000,"")</f>
        <v>Elemental</v>
      </c>
      <c r="C102" s="34">
        <v>2.0</v>
      </c>
      <c r="D102" s="34" t="s">
        <v>654</v>
      </c>
      <c r="E102" s="34" t="s">
        <v>655</v>
      </c>
      <c r="F102" s="34" t="s">
        <v>656</v>
      </c>
      <c r="G102" s="34">
        <v>2.0</v>
      </c>
      <c r="H102" s="34" t="s">
        <v>421</v>
      </c>
      <c r="I102" s="34" t="s">
        <v>70</v>
      </c>
      <c r="J102" s="34">
        <f>IFERROR(__xludf.DUMMYFUNCTION("LEN(REGEXREPLACE(XLOOKUP($A102,Cards!$A$2:$A1000,Cards!$H$2:$H1000,""""),"",\s"",""""))"),3.0)</f>
        <v>3</v>
      </c>
      <c r="K102" s="34" t="str">
        <f t="shared" si="1"/>
        <v>               </v>
      </c>
      <c r="L102" s="34" t="str">
        <f>IFERROR(__xludf.DUMMYFUNCTION("IF(IF(L$1="""","""",REGEXMATCH(LOWER($E102),XLOOKUP(L$1,Metadata!$A$2:$A1000,Metadata!$B$2:$B1000))),L$1,"""")"),"")</f>
        <v/>
      </c>
      <c r="M102" s="34" t="str">
        <f>IFERROR(__xludf.DUMMYFUNCTION("IF(IF(M$1="""","""",REGEXMATCH(LOWER($E102),XLOOKUP(M$1,Metadata!$A$2:$A1000,Metadata!$B$2:$B1000))),M$1,"""")"),"")</f>
        <v/>
      </c>
      <c r="N102" s="34" t="str">
        <f>IFERROR(__xludf.DUMMYFUNCTION("IF(IF(N$1="""","""",REGEXMATCH(LOWER($E102),XLOOKUP(N$1,Metadata!$A$2:$A1000,Metadata!$B$2:$B1000))),N$1,"""")"),"")</f>
        <v/>
      </c>
      <c r="O102" s="34" t="str">
        <f>IFERROR(__xludf.DUMMYFUNCTION("IF(IF(O$1="""","""",REGEXMATCH(LOWER($E102),XLOOKUP(O$1,Metadata!$A$2:$A1000,Metadata!$B$2:$B1000))),O$1,"""")"),"")</f>
        <v/>
      </c>
      <c r="P102" s="34" t="str">
        <f>IFERROR(__xludf.DUMMYFUNCTION("IF(IF(P$1="""","""",REGEXMATCH(LOWER($E102),XLOOKUP(P$1,Metadata!$A$2:$A1000,Metadata!$B$2:$B1000))),P$1,"""")"),"")</f>
        <v/>
      </c>
      <c r="Q102" s="34" t="str">
        <f>IFERROR(__xludf.DUMMYFUNCTION("IF(IF(Q$1="""","""",REGEXMATCH(LOWER($E102),XLOOKUP(Q$1,Metadata!$A$2:$A1000,Metadata!$B$2:$B1000))),Q$1,"""")"),"")</f>
        <v/>
      </c>
      <c r="R102" s="34" t="str">
        <f>IFERROR(__xludf.DUMMYFUNCTION("IF(IF(R$1="""","""",REGEXMATCH(LOWER($E102),XLOOKUP(R$1,Metadata!$A$2:$A1000,Metadata!$B$2:$B1000))),R$1,"""")"),"")</f>
        <v/>
      </c>
      <c r="S102" s="34" t="str">
        <f>IFERROR(__xludf.DUMMYFUNCTION("IF(IF(S$1="""","""",REGEXMATCH(LOWER($E102),XLOOKUP(S$1,Metadata!$A$2:$A1000,Metadata!$B$2:$B1000))),S$1,"""")"),"")</f>
        <v/>
      </c>
      <c r="T102" s="34" t="str">
        <f>IFERROR(__xludf.DUMMYFUNCTION("IF(IF(T$1="""","""",REGEXMATCH(LOWER($E102),XLOOKUP(T$1,Metadata!$A$2:$A1000,Metadata!$B$2:$B1000))),T$1,"""")"),"")</f>
        <v/>
      </c>
      <c r="U102" s="34" t="str">
        <f>IFERROR(__xludf.DUMMYFUNCTION("IF(IF(U$1="""","""",REGEXMATCH(LOWER($E102),XLOOKUP(U$1,Metadata!$A$2:$A1000,Metadata!$B$2:$B1000))),U$1,"""")"),"")</f>
        <v/>
      </c>
      <c r="V102" s="34" t="str">
        <f>IFERROR(__xludf.DUMMYFUNCTION("IF(IF(V$1="""","""",REGEXMATCH(LOWER($E102),XLOOKUP(V$1,Metadata!$A$2:$A1000,Metadata!$B$2:$B1000))),V$1,"""")"),"")</f>
        <v/>
      </c>
      <c r="W102" s="34" t="str">
        <f>IFERROR(__xludf.DUMMYFUNCTION("IF(IF(W$1="""","""",REGEXMATCH(LOWER($E102),XLOOKUP(W$1,Metadata!$A$2:$A1000,Metadata!$B$2:$B1000))),W$1,"""")"),"")</f>
        <v/>
      </c>
      <c r="X102" s="34" t="str">
        <f>IFERROR(__xludf.DUMMYFUNCTION("IF(IF(X$1="""","""",REGEXMATCH(LOWER($E102),XLOOKUP(X$1,Metadata!$A$2:$A1000,Metadata!$B$2:$B1000))),X$1,"""")"),"")</f>
        <v/>
      </c>
      <c r="Y102" s="34" t="str">
        <f>IFERROR(__xludf.DUMMYFUNCTION("IF(IF(Y$1="""","""",REGEXMATCH(LOWER($E102),XLOOKUP(Y$1,Metadata!$A$2:$A1000,Metadata!$B$2:$B1000))),Y$1,"""")"),"")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I103">XLOOKUP($A103,Cards!$A$2:$A1000,Cards!$B$2:$I1000,"")</f>
        <v>Elemental</v>
      </c>
      <c r="C103" s="34">
        <v>0.0</v>
      </c>
      <c r="D103" s="34" t="s">
        <v>297</v>
      </c>
      <c r="E103" s="34" t="s">
        <v>658</v>
      </c>
      <c r="F103" s="34" t="s">
        <v>659</v>
      </c>
      <c r="G103" s="34">
        <v>2.0</v>
      </c>
      <c r="H103" s="34" t="s">
        <v>586</v>
      </c>
      <c r="I103" s="34" t="s">
        <v>26</v>
      </c>
      <c r="J103" s="34">
        <f>IFERROR(__xludf.DUMMYFUNCTION("LEN(REGEXREPLACE(XLOOKUP($A103,Cards!$A$2:$A1000,Cards!$H$2:$H1000,""""),"",\s"",""""))"),2.0)</f>
        <v>2</v>
      </c>
      <c r="K103" s="34" t="str">
        <f t="shared" si="1"/>
        <v>         Aggro      </v>
      </c>
      <c r="L103" s="34" t="str">
        <f>IFERROR(__xludf.DUMMYFUNCTION("IF(IF(L$1="""","""",REGEXMATCH(LOWER($E103),XLOOKUP(L$1,Metadata!$A$2:$A1000,Metadata!$B$2:$B1000))),L$1,"""")"),"")</f>
        <v/>
      </c>
      <c r="M103" s="34" t="str">
        <f>IFERROR(__xludf.DUMMYFUNCTION("IF(IF(M$1="""","""",REGEXMATCH(LOWER($E103),XLOOKUP(M$1,Metadata!$A$2:$A1000,Metadata!$B$2:$B1000))),M$1,"""")"),"")</f>
        <v/>
      </c>
      <c r="N103" s="34" t="str">
        <f>IFERROR(__xludf.DUMMYFUNCTION("IF(IF(N$1="""","""",REGEXMATCH(LOWER($E103),XLOOKUP(N$1,Metadata!$A$2:$A1000,Metadata!$B$2:$B1000))),N$1,"""")"),"")</f>
        <v/>
      </c>
      <c r="O103" s="34" t="str">
        <f>IFERROR(__xludf.DUMMYFUNCTION("IF(IF(O$1="""","""",REGEXMATCH(LOWER($E103),XLOOKUP(O$1,Metadata!$A$2:$A1000,Metadata!$B$2:$B1000))),O$1,"""")"),"")</f>
        <v/>
      </c>
      <c r="P103" s="34" t="str">
        <f>IFERROR(__xludf.DUMMYFUNCTION("IF(IF(P$1="""","""",REGEXMATCH(LOWER($E103),XLOOKUP(P$1,Metadata!$A$2:$A1000,Metadata!$B$2:$B1000))),P$1,"""")"),"")</f>
        <v/>
      </c>
      <c r="Q103" s="34" t="str">
        <f>IFERROR(__xludf.DUMMYFUNCTION("IF(IF(Q$1="""","""",REGEXMATCH(LOWER($E103),XLOOKUP(Q$1,Metadata!$A$2:$A1000,Metadata!$B$2:$B1000))),Q$1,"""")"),"")</f>
        <v/>
      </c>
      <c r="R103" s="34" t="str">
        <f>IFERROR(__xludf.DUMMYFUNCTION("IF(IF(R$1="""","""",REGEXMATCH(LOWER($E103),XLOOKUP(R$1,Metadata!$A$2:$A1000,Metadata!$B$2:$B1000))),R$1,"""")"),"")</f>
        <v/>
      </c>
      <c r="S103" s="34" t="str">
        <f>IFERROR(__xludf.DUMMYFUNCTION("IF(IF(S$1="""","""",REGEXMATCH(LOWER($E103),XLOOKUP(S$1,Metadata!$A$2:$A1000,Metadata!$B$2:$B1000))),S$1,"""")"),"")</f>
        <v/>
      </c>
      <c r="T103" s="34" t="str">
        <f>IFERROR(__xludf.DUMMYFUNCTION("IF(IF(T$1="""","""",REGEXMATCH(LOWER($E103),XLOOKUP(T$1,Metadata!$A$2:$A1000,Metadata!$B$2:$B1000))),T$1,"""")"),"")</f>
        <v/>
      </c>
      <c r="U103" s="34" t="str">
        <f>IFERROR(__xludf.DUMMYFUNCTION("IF(IF(U$1="""","""",REGEXMATCH(LOWER($E103),XLOOKUP(U$1,Metadata!$A$2:$A1000,Metadata!$B$2:$B1000))),U$1,"""")"),"Aggro")</f>
        <v>Aggro</v>
      </c>
      <c r="V103" s="34" t="str">
        <f>IFERROR(__xludf.DUMMYFUNCTION("IF(IF(V$1="""","""",REGEXMATCH(LOWER($E103),XLOOKUP(V$1,Metadata!$A$2:$A1000,Metadata!$B$2:$B1000))),V$1,"""")"),"")</f>
        <v/>
      </c>
      <c r="W103" s="34" t="str">
        <f>IFERROR(__xludf.DUMMYFUNCTION("IF(IF(W$1="""","""",REGEXMATCH(LOWER($E103),XLOOKUP(W$1,Metadata!$A$2:$A1000,Metadata!$B$2:$B1000))),W$1,"""")"),"")</f>
        <v/>
      </c>
      <c r="X103" s="34" t="str">
        <f>IFERROR(__xludf.DUMMYFUNCTION("IF(IF(X$1="""","""",REGEXMATCH(LOWER($E103),XLOOKUP(X$1,Metadata!$A$2:$A1000,Metadata!$B$2:$B1000))),X$1,"""")"),"")</f>
        <v/>
      </c>
      <c r="Y103" s="34" t="str">
        <f>IFERROR(__xludf.DUMMYFUNCTION("IF(IF(Y$1="""","""",REGEXMATCH(LOWER($E103),XLOOKUP(Y$1,Metadata!$A$2:$A1000,Metadata!$B$2:$B1000))),Y$1,"""")"),"")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I104">XLOOKUP($A104,Cards!$A$2:$A1000,Cards!$B$2:$I1000,"")</f>
        <v>Elemental</v>
      </c>
      <c r="C104" s="34">
        <v>2.0</v>
      </c>
      <c r="D104" s="34" t="s">
        <v>661</v>
      </c>
      <c r="E104" s="34" t="s">
        <v>662</v>
      </c>
      <c r="F104" s="34" t="s">
        <v>663</v>
      </c>
      <c r="G104" s="34">
        <v>1.0</v>
      </c>
      <c r="H104" s="34" t="s">
        <v>439</v>
      </c>
      <c r="I104" s="34" t="s">
        <v>26</v>
      </c>
      <c r="J104" s="34">
        <f>IFERROR(__xludf.DUMMYFUNCTION("LEN(REGEXREPLACE(XLOOKUP($A104,Cards!$A$2:$A1000,Cards!$H$2:$H1000,""""),"",\s"",""""))"),1.0)</f>
        <v>1</v>
      </c>
      <c r="K104" s="34" t="str">
        <f t="shared" si="1"/>
        <v>       Control     Ambush   </v>
      </c>
      <c r="L104" s="34" t="str">
        <f>IFERROR(__xludf.DUMMYFUNCTION("IF(IF(L$1="""","""",REGEXMATCH(LOWER($E104),XLOOKUP(L$1,Metadata!$A$2:$A1000,Metadata!$B$2:$B1000))),L$1,"""")"),"")</f>
        <v/>
      </c>
      <c r="M104" s="34" t="str">
        <f>IFERROR(__xludf.DUMMYFUNCTION("IF(IF(M$1="""","""",REGEXMATCH(LOWER($E104),XLOOKUP(M$1,Metadata!$A$2:$A1000,Metadata!$B$2:$B1000))),M$1,"""")"),"")</f>
        <v/>
      </c>
      <c r="N104" s="34" t="str">
        <f>IFERROR(__xludf.DUMMYFUNCTION("IF(IF(N$1="""","""",REGEXMATCH(LOWER($E104),XLOOKUP(N$1,Metadata!$A$2:$A1000,Metadata!$B$2:$B1000))),N$1,"""")"),"")</f>
        <v/>
      </c>
      <c r="O104" s="34" t="str">
        <f>IFERROR(__xludf.DUMMYFUNCTION("IF(IF(O$1="""","""",REGEXMATCH(LOWER($E104),XLOOKUP(O$1,Metadata!$A$2:$A1000,Metadata!$B$2:$B1000))),O$1,"""")"),"")</f>
        <v/>
      </c>
      <c r="P104" s="34" t="str">
        <f>IFERROR(__xludf.DUMMYFUNCTION("IF(IF(P$1="""","""",REGEXMATCH(LOWER($E104),XLOOKUP(P$1,Metadata!$A$2:$A1000,Metadata!$B$2:$B1000))),P$1,"""")"),"")</f>
        <v/>
      </c>
      <c r="Q104" s="34" t="str">
        <f>IFERROR(__xludf.DUMMYFUNCTION("IF(IF(Q$1="""","""",REGEXMATCH(LOWER($E104),XLOOKUP(Q$1,Metadata!$A$2:$A1000,Metadata!$B$2:$B1000))),Q$1,"""")"),"")</f>
        <v/>
      </c>
      <c r="R104" s="34" t="str">
        <f>IFERROR(__xludf.DUMMYFUNCTION("IF(IF(R$1="""","""",REGEXMATCH(LOWER($E104),XLOOKUP(R$1,Metadata!$A$2:$A1000,Metadata!$B$2:$B1000))),R$1,"""")"),"")</f>
        <v/>
      </c>
      <c r="S104" s="34" t="str">
        <f>IFERROR(__xludf.DUMMYFUNCTION("IF(IF(S$1="""","""",REGEXMATCH(LOWER($E104),XLOOKUP(S$1,Metadata!$A$2:$A1000,Metadata!$B$2:$B1000))),S$1,"""")"),"Control")</f>
        <v>Control</v>
      </c>
      <c r="T104" s="34" t="str">
        <f>IFERROR(__xludf.DUMMYFUNCTION("IF(IF(T$1="""","""",REGEXMATCH(LOWER($E104),XLOOKUP(T$1,Metadata!$A$2:$A1000,Metadata!$B$2:$B1000))),T$1,"""")"),"")</f>
        <v/>
      </c>
      <c r="U104" s="34" t="str">
        <f>IFERROR(__xludf.DUMMYFUNCTION("IF(IF(U$1="""","""",REGEXMATCH(LOWER($E104),XLOOKUP(U$1,Metadata!$A$2:$A1000,Metadata!$B$2:$B1000))),U$1,"""")"),"")</f>
        <v/>
      </c>
      <c r="V104" s="34" t="str">
        <f>IFERROR(__xludf.DUMMYFUNCTION("IF(IF(V$1="""","""",REGEXMATCH(LOWER($E104),XLOOKUP(V$1,Metadata!$A$2:$A1000,Metadata!$B$2:$B1000))),V$1,"""")"),"")</f>
        <v/>
      </c>
      <c r="W104" s="34" t="str">
        <f>IFERROR(__xludf.DUMMYFUNCTION("IF(IF(W$1="""","""",REGEXMATCH(LOWER($E104),XLOOKUP(W$1,Metadata!$A$2:$A1000,Metadata!$B$2:$B1000))),W$1,"""")"),"")</f>
        <v/>
      </c>
      <c r="X104" s="34" t="str">
        <f>IFERROR(__xludf.DUMMYFUNCTION("IF(IF(X$1="""","""",REGEXMATCH(LOWER($E104),XLOOKUP(X$1,Metadata!$A$2:$A1000,Metadata!$B$2:$B1000))),X$1,"""")"),"Ambush")</f>
        <v>Ambush</v>
      </c>
      <c r="Y104" s="34" t="str">
        <f>IFERROR(__xludf.DUMMYFUNCTION("IF(IF(Y$1="""","""",REGEXMATCH(LOWER($E104),XLOOKUP(Y$1,Metadata!$A$2:$A1000,Metadata!$B$2:$B1000))),Y$1,"""")"),"")</f>
        <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I105">XLOOKUP($A105,Cards!$A$2:$A1000,Cards!$B$2:$I1000,"")</f>
        <v>Elemental</v>
      </c>
      <c r="C105" s="34">
        <v>2.0</v>
      </c>
      <c r="D105" s="34" t="s">
        <v>335</v>
      </c>
      <c r="E105" s="34" t="s">
        <v>665</v>
      </c>
      <c r="F105" s="34" t="s">
        <v>389</v>
      </c>
      <c r="G105" s="34">
        <v>4.0</v>
      </c>
      <c r="H105" s="34" t="s">
        <v>638</v>
      </c>
      <c r="I105" s="34" t="s">
        <v>26</v>
      </c>
      <c r="J105" s="34">
        <f>IFERROR(__xludf.DUMMYFUNCTION("LEN(REGEXREPLACE(XLOOKUP($A105,Cards!$A$2:$A1000,Cards!$H$2:$H1000,""""),"",\s"",""""))"),4.0)</f>
        <v>4</v>
      </c>
      <c r="K105" s="34" t="str">
        <f t="shared" si="1"/>
        <v>           Move    </v>
      </c>
      <c r="L105" s="34" t="str">
        <f>IFERROR(__xludf.DUMMYFUNCTION("IF(IF(L$1="""","""",REGEXMATCH(LOWER($E105),XLOOKUP(L$1,Metadata!$A$2:$A1000,Metadata!$B$2:$B1000))),L$1,"""")"),"")</f>
        <v/>
      </c>
      <c r="M105" s="34" t="str">
        <f>IFERROR(__xludf.DUMMYFUNCTION("IF(IF(M$1="""","""",REGEXMATCH(LOWER($E105),XLOOKUP(M$1,Metadata!$A$2:$A1000,Metadata!$B$2:$B1000))),M$1,"""")"),"")</f>
        <v/>
      </c>
      <c r="N105" s="34" t="str">
        <f>IFERROR(__xludf.DUMMYFUNCTION("IF(IF(N$1="""","""",REGEXMATCH(LOWER($E105),XLOOKUP(N$1,Metadata!$A$2:$A1000,Metadata!$B$2:$B1000))),N$1,"""")"),"")</f>
        <v/>
      </c>
      <c r="O105" s="34" t="str">
        <f>IFERROR(__xludf.DUMMYFUNCTION("IF(IF(O$1="""","""",REGEXMATCH(LOWER($E105),XLOOKUP(O$1,Metadata!$A$2:$A1000,Metadata!$B$2:$B1000))),O$1,"""")"),"")</f>
        <v/>
      </c>
      <c r="P105" s="34" t="str">
        <f>IFERROR(__xludf.DUMMYFUNCTION("IF(IF(P$1="""","""",REGEXMATCH(LOWER($E105),XLOOKUP(P$1,Metadata!$A$2:$A1000,Metadata!$B$2:$B1000))),P$1,"""")"),"")</f>
        <v/>
      </c>
      <c r="Q105" s="34" t="str">
        <f>IFERROR(__xludf.DUMMYFUNCTION("IF(IF(Q$1="""","""",REGEXMATCH(LOWER($E105),XLOOKUP(Q$1,Metadata!$A$2:$A1000,Metadata!$B$2:$B1000))),Q$1,"""")"),"")</f>
        <v/>
      </c>
      <c r="R105" s="34" t="str">
        <f>IFERROR(__xludf.DUMMYFUNCTION("IF(IF(R$1="""","""",REGEXMATCH(LOWER($E105),XLOOKUP(R$1,Metadata!$A$2:$A1000,Metadata!$B$2:$B1000))),R$1,"""")"),"")</f>
        <v/>
      </c>
      <c r="S105" s="34" t="str">
        <f>IFERROR(__xludf.DUMMYFUNCTION("IF(IF(S$1="""","""",REGEXMATCH(LOWER($E105),XLOOKUP(S$1,Metadata!$A$2:$A1000,Metadata!$B$2:$B1000))),S$1,"""")"),"")</f>
        <v/>
      </c>
      <c r="T105" s="34" t="str">
        <f>IFERROR(__xludf.DUMMYFUNCTION("IF(IF(T$1="""","""",REGEXMATCH(LOWER($E105),XLOOKUP(T$1,Metadata!$A$2:$A1000,Metadata!$B$2:$B1000))),T$1,"""")"),"")</f>
        <v/>
      </c>
      <c r="U105" s="34" t="str">
        <f>IFERROR(__xludf.DUMMYFUNCTION("IF(IF(U$1="""","""",REGEXMATCH(LOWER($E105),XLOOKUP(U$1,Metadata!$A$2:$A1000,Metadata!$B$2:$B1000))),U$1,"""")"),"")</f>
        <v/>
      </c>
      <c r="V105" s="34" t="str">
        <f>IFERROR(__xludf.DUMMYFUNCTION("IF(IF(V$1="""","""",REGEXMATCH(LOWER($E105),XLOOKUP(V$1,Metadata!$A$2:$A1000,Metadata!$B$2:$B1000))),V$1,"""")"),"")</f>
        <v/>
      </c>
      <c r="W105" s="34" t="str">
        <f>IFERROR(__xludf.DUMMYFUNCTION("IF(IF(W$1="""","""",REGEXMATCH(LOWER($E105),XLOOKUP(W$1,Metadata!$A$2:$A1000,Metadata!$B$2:$B1000))),W$1,"""")"),"Move")</f>
        <v>Move</v>
      </c>
      <c r="X105" s="34" t="str">
        <f>IFERROR(__xludf.DUMMYFUNCTION("IF(IF(X$1="""","""",REGEXMATCH(LOWER($E105),XLOOKUP(X$1,Metadata!$A$2:$A1000,Metadata!$B$2:$B1000))),X$1,"""")"),"")</f>
        <v/>
      </c>
      <c r="Y105" s="34" t="str">
        <f>IFERROR(__xludf.DUMMYFUNCTION("IF(IF(Y$1="""","""",REGEXMATCH(LOWER($E105),XLOOKUP(Y$1,Metadata!$A$2:$A1000,Metadata!$B$2:$B1000))),Y$1,"""")"),"")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I106">XLOOKUP($A106,Cards!$A$2:$A1000,Cards!$B$2:$I1000,"")</f>
        <v>Elemental</v>
      </c>
      <c r="C106" s="34">
        <v>2.0</v>
      </c>
      <c r="D106" s="34" t="s">
        <v>519</v>
      </c>
      <c r="E106" s="34" t="s">
        <v>667</v>
      </c>
      <c r="F106" s="34" t="s">
        <v>668</v>
      </c>
      <c r="G106" s="34">
        <v>3.0</v>
      </c>
      <c r="H106" s="34" t="s">
        <v>517</v>
      </c>
      <c r="I106" s="34" t="s">
        <v>32</v>
      </c>
      <c r="J106" s="34">
        <f>IFERROR(__xludf.DUMMYFUNCTION("LEN(REGEXREPLACE(XLOOKUP($A106,Cards!$A$2:$A1000,Cards!$H$2:$H1000,""""),"",\s"",""""))"),3.0)</f>
        <v>3</v>
      </c>
      <c r="K106" s="34" t="str">
        <f t="shared" si="1"/>
        <v>         Aggro      </v>
      </c>
      <c r="L106" s="34" t="str">
        <f>IFERROR(__xludf.DUMMYFUNCTION("IF(IF(L$1="""","""",REGEXMATCH(LOWER($E106),XLOOKUP(L$1,Metadata!$A$2:$A1000,Metadata!$B$2:$B1000))),L$1,"""")"),"")</f>
        <v/>
      </c>
      <c r="M106" s="34" t="str">
        <f>IFERROR(__xludf.DUMMYFUNCTION("IF(IF(M$1="""","""",REGEXMATCH(LOWER($E106),XLOOKUP(M$1,Metadata!$A$2:$A1000,Metadata!$B$2:$B1000))),M$1,"""")"),"")</f>
        <v/>
      </c>
      <c r="N106" s="34" t="str">
        <f>IFERROR(__xludf.DUMMYFUNCTION("IF(IF(N$1="""","""",REGEXMATCH(LOWER($E106),XLOOKUP(N$1,Metadata!$A$2:$A1000,Metadata!$B$2:$B1000))),N$1,"""")"),"")</f>
        <v/>
      </c>
      <c r="O106" s="34" t="str">
        <f>IFERROR(__xludf.DUMMYFUNCTION("IF(IF(O$1="""","""",REGEXMATCH(LOWER($E106),XLOOKUP(O$1,Metadata!$A$2:$A1000,Metadata!$B$2:$B1000))),O$1,"""")"),"")</f>
        <v/>
      </c>
      <c r="P106" s="34" t="str">
        <f>IFERROR(__xludf.DUMMYFUNCTION("IF(IF(P$1="""","""",REGEXMATCH(LOWER($E106),XLOOKUP(P$1,Metadata!$A$2:$A1000,Metadata!$B$2:$B1000))),P$1,"""")"),"")</f>
        <v/>
      </c>
      <c r="Q106" s="34" t="str">
        <f>IFERROR(__xludf.DUMMYFUNCTION("IF(IF(Q$1="""","""",REGEXMATCH(LOWER($E106),XLOOKUP(Q$1,Metadata!$A$2:$A1000,Metadata!$B$2:$B1000))),Q$1,"""")"),"")</f>
        <v/>
      </c>
      <c r="R106" s="34" t="str">
        <f>IFERROR(__xludf.DUMMYFUNCTION("IF(IF(R$1="""","""",REGEXMATCH(LOWER($E106),XLOOKUP(R$1,Metadata!$A$2:$A1000,Metadata!$B$2:$B1000))),R$1,"""")"),"")</f>
        <v/>
      </c>
      <c r="S106" s="34" t="str">
        <f>IFERROR(__xludf.DUMMYFUNCTION("IF(IF(S$1="""","""",REGEXMATCH(LOWER($E106),XLOOKUP(S$1,Metadata!$A$2:$A1000,Metadata!$B$2:$B1000))),S$1,"""")"),"")</f>
        <v/>
      </c>
      <c r="T106" s="34" t="str">
        <f>IFERROR(__xludf.DUMMYFUNCTION("IF(IF(T$1="""","""",REGEXMATCH(LOWER($E106),XLOOKUP(T$1,Metadata!$A$2:$A1000,Metadata!$B$2:$B1000))),T$1,"""")"),"")</f>
        <v/>
      </c>
      <c r="U106" s="34" t="str">
        <f>IFERROR(__xludf.DUMMYFUNCTION("IF(IF(U$1="""","""",REGEXMATCH(LOWER($E106),XLOOKUP(U$1,Metadata!$A$2:$A1000,Metadata!$B$2:$B1000))),U$1,"""")"),"Aggro")</f>
        <v>Aggro</v>
      </c>
      <c r="V106" s="34" t="str">
        <f>IFERROR(__xludf.DUMMYFUNCTION("IF(IF(V$1="""","""",REGEXMATCH(LOWER($E106),XLOOKUP(V$1,Metadata!$A$2:$A1000,Metadata!$B$2:$B1000))),V$1,"""")"),"")</f>
        <v/>
      </c>
      <c r="W106" s="34" t="str">
        <f>IFERROR(__xludf.DUMMYFUNCTION("IF(IF(W$1="""","""",REGEXMATCH(LOWER($E106),XLOOKUP(W$1,Metadata!$A$2:$A1000,Metadata!$B$2:$B1000))),W$1,"""")"),"")</f>
        <v/>
      </c>
      <c r="X106" s="34" t="str">
        <f>IFERROR(__xludf.DUMMYFUNCTION("IF(IF(X$1="""","""",REGEXMATCH(LOWER($E106),XLOOKUP(X$1,Metadata!$A$2:$A1000,Metadata!$B$2:$B1000))),X$1,"""")"),"")</f>
        <v/>
      </c>
      <c r="Y106" s="34" t="str">
        <f>IFERROR(__xludf.DUMMYFUNCTION("IF(IF(Y$1="""","""",REGEXMATCH(LOWER($E106),XLOOKUP(Y$1,Metadata!$A$2:$A1000,Metadata!$B$2:$B1000))),Y$1,"""")"),"")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I107">XLOOKUP($A107,Cards!$A$2:$A1000,Cards!$B$2:$I1000,"")</f>
        <v>Elemental</v>
      </c>
      <c r="C107" s="34">
        <v>1.0</v>
      </c>
      <c r="D107" s="34" t="s">
        <v>408</v>
      </c>
      <c r="E107" s="34" t="s">
        <v>670</v>
      </c>
      <c r="F107" s="34"/>
      <c r="G107" s="34">
        <v>3.0</v>
      </c>
      <c r="H107" s="34" t="s">
        <v>638</v>
      </c>
      <c r="I107" s="34" t="s">
        <v>26</v>
      </c>
      <c r="J107" s="34">
        <f>IFERROR(__xludf.DUMMYFUNCTION("LEN(REGEXREPLACE(XLOOKUP($A107,Cards!$A$2:$A1000,Cards!$H$2:$H1000,""""),"",\s"",""""))"),4.0)</f>
        <v>4</v>
      </c>
      <c r="K107" s="34" t="str">
        <f t="shared" si="1"/>
        <v>     Unearth      Move Ambush   </v>
      </c>
      <c r="L107" s="34" t="str">
        <f>IFERROR(__xludf.DUMMYFUNCTION("IF(IF(L$1="""","""",REGEXMATCH(LOWER($E107),XLOOKUP(L$1,Metadata!$A$2:$A1000,Metadata!$B$2:$B1000))),L$1,"""")"),"")</f>
        <v/>
      </c>
      <c r="M107" s="34" t="str">
        <f>IFERROR(__xludf.DUMMYFUNCTION("IF(IF(M$1="""","""",REGEXMATCH(LOWER($E107),XLOOKUP(M$1,Metadata!$A$2:$A1000,Metadata!$B$2:$B1000))),M$1,"""")"),"")</f>
        <v/>
      </c>
      <c r="N107" s="34" t="str">
        <f>IFERROR(__xludf.DUMMYFUNCTION("IF(IF(N$1="""","""",REGEXMATCH(LOWER($E107),XLOOKUP(N$1,Metadata!$A$2:$A1000,Metadata!$B$2:$B1000))),N$1,"""")"),"")</f>
        <v/>
      </c>
      <c r="O107" s="34" t="str">
        <f>IFERROR(__xludf.DUMMYFUNCTION("IF(IF(O$1="""","""",REGEXMATCH(LOWER($E107),XLOOKUP(O$1,Metadata!$A$2:$A1000,Metadata!$B$2:$B1000))),O$1,"""")"),"")</f>
        <v/>
      </c>
      <c r="P107" s="34" t="str">
        <f>IFERROR(__xludf.DUMMYFUNCTION("IF(IF(P$1="""","""",REGEXMATCH(LOWER($E107),XLOOKUP(P$1,Metadata!$A$2:$A1000,Metadata!$B$2:$B1000))),P$1,"""")"),"")</f>
        <v/>
      </c>
      <c r="Q107" s="34" t="str">
        <f>IFERROR(__xludf.DUMMYFUNCTION("IF(IF(Q$1="""","""",REGEXMATCH(LOWER($E107),XLOOKUP(Q$1,Metadata!$A$2:$A1000,Metadata!$B$2:$B1000))),Q$1,"""")"),"Unearth")</f>
        <v>Unearth</v>
      </c>
      <c r="R107" s="34" t="str">
        <f>IFERROR(__xludf.DUMMYFUNCTION("IF(IF(R$1="""","""",REGEXMATCH(LOWER($E107),XLOOKUP(R$1,Metadata!$A$2:$A1000,Metadata!$B$2:$B1000))),R$1,"""")"),"")</f>
        <v/>
      </c>
      <c r="S107" s="34" t="str">
        <f>IFERROR(__xludf.DUMMYFUNCTION("IF(IF(S$1="""","""",REGEXMATCH(LOWER($E107),XLOOKUP(S$1,Metadata!$A$2:$A1000,Metadata!$B$2:$B1000))),S$1,"""")"),"")</f>
        <v/>
      </c>
      <c r="T107" s="34" t="str">
        <f>IFERROR(__xludf.DUMMYFUNCTION("IF(IF(T$1="""","""",REGEXMATCH(LOWER($E107),XLOOKUP(T$1,Metadata!$A$2:$A1000,Metadata!$B$2:$B1000))),T$1,"""")"),"")</f>
        <v/>
      </c>
      <c r="U107" s="34" t="str">
        <f>IFERROR(__xludf.DUMMYFUNCTION("IF(IF(U$1="""","""",REGEXMATCH(LOWER($E107),XLOOKUP(U$1,Metadata!$A$2:$A1000,Metadata!$B$2:$B1000))),U$1,"""")"),"")</f>
        <v/>
      </c>
      <c r="V107" s="34" t="str">
        <f>IFERROR(__xludf.DUMMYFUNCTION("IF(IF(V$1="""","""",REGEXMATCH(LOWER($E107),XLOOKUP(V$1,Metadata!$A$2:$A1000,Metadata!$B$2:$B1000))),V$1,"""")"),"")</f>
        <v/>
      </c>
      <c r="W107" s="34" t="str">
        <f>IFERROR(__xludf.DUMMYFUNCTION("IF(IF(W$1="""","""",REGEXMATCH(LOWER($E107),XLOOKUP(W$1,Metadata!$A$2:$A1000,Metadata!$B$2:$B1000))),W$1,"""")"),"Move")</f>
        <v>Move</v>
      </c>
      <c r="X107" s="34" t="str">
        <f>IFERROR(__xludf.DUMMYFUNCTION("IF(IF(X$1="""","""",REGEXMATCH(LOWER($E107),XLOOKUP(X$1,Metadata!$A$2:$A1000,Metadata!$B$2:$B1000))),X$1,"""")"),"Ambush")</f>
        <v>Ambush</v>
      </c>
      <c r="Y107" s="34" t="str">
        <f>IFERROR(__xludf.DUMMYFUNCTION("IF(IF(Y$1="""","""",REGEXMATCH(LOWER($E107),XLOOKUP(Y$1,Metadata!$A$2:$A1000,Metadata!$B$2:$B1000))),Y$1,"""")"),"")</f>
        <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I108">XLOOKUP($A108,Cards!$A$2:$A1000,Cards!$B$2:$I1000,"")</f>
        <v>Elemental</v>
      </c>
      <c r="C108" s="34">
        <v>1.0</v>
      </c>
      <c r="D108" s="34" t="s">
        <v>302</v>
      </c>
      <c r="E108" s="34" t="s">
        <v>683</v>
      </c>
      <c r="F108" s="34" t="s">
        <v>389</v>
      </c>
      <c r="G108" s="34">
        <v>3.0</v>
      </c>
      <c r="H108" s="34" t="s">
        <v>421</v>
      </c>
      <c r="I108" s="34" t="s">
        <v>26</v>
      </c>
      <c r="J108" s="34">
        <f>IFERROR(__xludf.DUMMYFUNCTION("LEN(REGEXREPLACE(XLOOKUP($A108,Cards!$A$2:$A1000,Cards!$H$2:$H1000,""""),"",\s"",""""))"),3.0)</f>
        <v>3</v>
      </c>
      <c r="K108" s="34" t="str">
        <f t="shared" si="1"/>
        <v>               </v>
      </c>
      <c r="L108" s="34" t="str">
        <f>IFERROR(__xludf.DUMMYFUNCTION("IF(IF(L$1="""","""",REGEXMATCH(LOWER($E108),XLOOKUP(L$1,Metadata!$A$2:$A1000,Metadata!$B$2:$B1000))),L$1,"""")"),"")</f>
        <v/>
      </c>
      <c r="M108" s="34" t="str">
        <f>IFERROR(__xludf.DUMMYFUNCTION("IF(IF(M$1="""","""",REGEXMATCH(LOWER($E108),XLOOKUP(M$1,Metadata!$A$2:$A1000,Metadata!$B$2:$B1000))),M$1,"""")"),"")</f>
        <v/>
      </c>
      <c r="N108" s="34" t="str">
        <f>IFERROR(__xludf.DUMMYFUNCTION("IF(IF(N$1="""","""",REGEXMATCH(LOWER($E108),XLOOKUP(N$1,Metadata!$A$2:$A1000,Metadata!$B$2:$B1000))),N$1,"""")"),"")</f>
        <v/>
      </c>
      <c r="O108" s="34" t="str">
        <f>IFERROR(__xludf.DUMMYFUNCTION("IF(IF(O$1="""","""",REGEXMATCH(LOWER($E108),XLOOKUP(O$1,Metadata!$A$2:$A1000,Metadata!$B$2:$B1000))),O$1,"""")"),"")</f>
        <v/>
      </c>
      <c r="P108" s="34" t="str">
        <f>IFERROR(__xludf.DUMMYFUNCTION("IF(IF(P$1="""","""",REGEXMATCH(LOWER($E108),XLOOKUP(P$1,Metadata!$A$2:$A1000,Metadata!$B$2:$B1000))),P$1,"""")"),"")</f>
        <v/>
      </c>
      <c r="Q108" s="34" t="str">
        <f>IFERROR(__xludf.DUMMYFUNCTION("IF(IF(Q$1="""","""",REGEXMATCH(LOWER($E108),XLOOKUP(Q$1,Metadata!$A$2:$A1000,Metadata!$B$2:$B1000))),Q$1,"""")"),"")</f>
        <v/>
      </c>
      <c r="R108" s="34" t="str">
        <f>IFERROR(__xludf.DUMMYFUNCTION("IF(IF(R$1="""","""",REGEXMATCH(LOWER($E108),XLOOKUP(R$1,Metadata!$A$2:$A1000,Metadata!$B$2:$B1000))),R$1,"""")"),"")</f>
        <v/>
      </c>
      <c r="S108" s="34" t="str">
        <f>IFERROR(__xludf.DUMMYFUNCTION("IF(IF(S$1="""","""",REGEXMATCH(LOWER($E108),XLOOKUP(S$1,Metadata!$A$2:$A1000,Metadata!$B$2:$B1000))),S$1,"""")"),"")</f>
        <v/>
      </c>
      <c r="T108" s="34" t="str">
        <f>IFERROR(__xludf.DUMMYFUNCTION("IF(IF(T$1="""","""",REGEXMATCH(LOWER($E108),XLOOKUP(T$1,Metadata!$A$2:$A1000,Metadata!$B$2:$B1000))),T$1,"""")"),"")</f>
        <v/>
      </c>
      <c r="U108" s="34" t="str">
        <f>IFERROR(__xludf.DUMMYFUNCTION("IF(IF(U$1="""","""",REGEXMATCH(LOWER($E108),XLOOKUP(U$1,Metadata!$A$2:$A1000,Metadata!$B$2:$B1000))),U$1,"""")"),"")</f>
        <v/>
      </c>
      <c r="V108" s="34" t="str">
        <f>IFERROR(__xludf.DUMMYFUNCTION("IF(IF(V$1="""","""",REGEXMATCH(LOWER($E108),XLOOKUP(V$1,Metadata!$A$2:$A1000,Metadata!$B$2:$B1000))),V$1,"""")"),"")</f>
        <v/>
      </c>
      <c r="W108" s="34" t="str">
        <f>IFERROR(__xludf.DUMMYFUNCTION("IF(IF(W$1="""","""",REGEXMATCH(LOWER($E108),XLOOKUP(W$1,Metadata!$A$2:$A1000,Metadata!$B$2:$B1000))),W$1,"""")"),"")</f>
        <v/>
      </c>
      <c r="X108" s="34" t="str">
        <f>IFERROR(__xludf.DUMMYFUNCTION("IF(IF(X$1="""","""",REGEXMATCH(LOWER($E108),XLOOKUP(X$1,Metadata!$A$2:$A1000,Metadata!$B$2:$B1000))),X$1,"""")"),"")</f>
        <v/>
      </c>
      <c r="Y108" s="34" t="str">
        <f>IFERROR(__xludf.DUMMYFUNCTION("IF(IF(Y$1="""","""",REGEXMATCH(LOWER($E108),XLOOKUP(Y$1,Metadata!$A$2:$A1000,Metadata!$B$2:$B1000))),Y$1,"""")"),"")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I109">XLOOKUP($A109,Cards!$A$2:$A1000,Cards!$B$2:$I1000,"")</f>
        <v>Elemental</v>
      </c>
      <c r="C109" s="34">
        <v>2.0</v>
      </c>
      <c r="D109" s="34" t="s">
        <v>696</v>
      </c>
      <c r="E109" s="34" t="s">
        <v>275</v>
      </c>
      <c r="F109" s="34" t="s">
        <v>697</v>
      </c>
      <c r="G109" s="34">
        <v>2.0</v>
      </c>
      <c r="H109" s="34" t="s">
        <v>586</v>
      </c>
      <c r="I109" s="34" t="s">
        <v>26</v>
      </c>
      <c r="J109" s="34">
        <f>IFERROR(__xludf.DUMMYFUNCTION("LEN(REGEXREPLACE(XLOOKUP($A109,Cards!$A$2:$A1000,Cards!$H$2:$H1000,""""),"",\s"",""""))"),2.0)</f>
        <v>2</v>
      </c>
      <c r="K109" s="34" t="str">
        <f t="shared" si="1"/>
        <v>               </v>
      </c>
      <c r="L109" s="34" t="str">
        <f>IFERROR(__xludf.DUMMYFUNCTION("IF(IF(L$1="""","""",REGEXMATCH(LOWER($E109),XLOOKUP(L$1,Metadata!$A$2:$A1000,Metadata!$B$2:$B1000))),L$1,"""")"),"")</f>
        <v/>
      </c>
      <c r="M109" s="34" t="str">
        <f>IFERROR(__xludf.DUMMYFUNCTION("IF(IF(M$1="""","""",REGEXMATCH(LOWER($E109),XLOOKUP(M$1,Metadata!$A$2:$A1000,Metadata!$B$2:$B1000))),M$1,"""")"),"")</f>
        <v/>
      </c>
      <c r="N109" s="34" t="str">
        <f>IFERROR(__xludf.DUMMYFUNCTION("IF(IF(N$1="""","""",REGEXMATCH(LOWER($E109),XLOOKUP(N$1,Metadata!$A$2:$A1000,Metadata!$B$2:$B1000))),N$1,"""")"),"")</f>
        <v/>
      </c>
      <c r="O109" s="34" t="str">
        <f>IFERROR(__xludf.DUMMYFUNCTION("IF(IF(O$1="""","""",REGEXMATCH(LOWER($E109),XLOOKUP(O$1,Metadata!$A$2:$A1000,Metadata!$B$2:$B1000))),O$1,"""")"),"")</f>
        <v/>
      </c>
      <c r="P109" s="34" t="str">
        <f>IFERROR(__xludf.DUMMYFUNCTION("IF(IF(P$1="""","""",REGEXMATCH(LOWER($E109),XLOOKUP(P$1,Metadata!$A$2:$A1000,Metadata!$B$2:$B1000))),P$1,"""")"),"")</f>
        <v/>
      </c>
      <c r="Q109" s="34" t="str">
        <f>IFERROR(__xludf.DUMMYFUNCTION("IF(IF(Q$1="""","""",REGEXMATCH(LOWER($E109),XLOOKUP(Q$1,Metadata!$A$2:$A1000,Metadata!$B$2:$B1000))),Q$1,"""")"),"")</f>
        <v/>
      </c>
      <c r="R109" s="34" t="str">
        <f>IFERROR(__xludf.DUMMYFUNCTION("IF(IF(R$1="""","""",REGEXMATCH(LOWER($E109),XLOOKUP(R$1,Metadata!$A$2:$A1000,Metadata!$B$2:$B1000))),R$1,"""")"),"")</f>
        <v/>
      </c>
      <c r="S109" s="34" t="str">
        <f>IFERROR(__xludf.DUMMYFUNCTION("IF(IF(S$1="""","""",REGEXMATCH(LOWER($E109),XLOOKUP(S$1,Metadata!$A$2:$A1000,Metadata!$B$2:$B1000))),S$1,"""")"),"")</f>
        <v/>
      </c>
      <c r="T109" s="34" t="str">
        <f>IFERROR(__xludf.DUMMYFUNCTION("IF(IF(T$1="""","""",REGEXMATCH(LOWER($E109),XLOOKUP(T$1,Metadata!$A$2:$A1000,Metadata!$B$2:$B1000))),T$1,"""")"),"")</f>
        <v/>
      </c>
      <c r="U109" s="34" t="str">
        <f>IFERROR(__xludf.DUMMYFUNCTION("IF(IF(U$1="""","""",REGEXMATCH(LOWER($E109),XLOOKUP(U$1,Metadata!$A$2:$A1000,Metadata!$B$2:$B1000))),U$1,"""")"),"")</f>
        <v/>
      </c>
      <c r="V109" s="34" t="str">
        <f>IFERROR(__xludf.DUMMYFUNCTION("IF(IF(V$1="""","""",REGEXMATCH(LOWER($E109),XLOOKUP(V$1,Metadata!$A$2:$A1000,Metadata!$B$2:$B1000))),V$1,"""")"),"")</f>
        <v/>
      </c>
      <c r="W109" s="34" t="str">
        <f>IFERROR(__xludf.DUMMYFUNCTION("IF(IF(W$1="""","""",REGEXMATCH(LOWER($E109),XLOOKUP(W$1,Metadata!$A$2:$A1000,Metadata!$B$2:$B1000))),W$1,"""")"),"")</f>
        <v/>
      </c>
      <c r="X109" s="34" t="str">
        <f>IFERROR(__xludf.DUMMYFUNCTION("IF(IF(X$1="""","""",REGEXMATCH(LOWER($E109),XLOOKUP(X$1,Metadata!$A$2:$A1000,Metadata!$B$2:$B1000))),X$1,"""")"),"")</f>
        <v/>
      </c>
      <c r="Y109" s="34" t="str">
        <f>IFERROR(__xludf.DUMMYFUNCTION("IF(IF(Y$1="""","""",REGEXMATCH(LOWER($E109),XLOOKUP(Y$1,Metadata!$A$2:$A1000,Metadata!$B$2:$B1000))),Y$1,"""")"),"")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I110">XLOOKUP($A110,Cards!$A$2:$A1000,Cards!$B$2:$I1000,"")</f>
        <v>Elemental</v>
      </c>
      <c r="C110" s="34">
        <v>1.0</v>
      </c>
      <c r="D110" s="34" t="s">
        <v>335</v>
      </c>
      <c r="E110" s="34" t="s">
        <v>699</v>
      </c>
      <c r="F110" s="34" t="s">
        <v>700</v>
      </c>
      <c r="G110" s="34">
        <v>2.0</v>
      </c>
      <c r="H110" s="34" t="s">
        <v>638</v>
      </c>
      <c r="I110" s="34" t="s">
        <v>26</v>
      </c>
      <c r="J110" s="34">
        <f>IFERROR(__xludf.DUMMYFUNCTION("LEN(REGEXREPLACE(XLOOKUP($A110,Cards!$A$2:$A1000,Cards!$H$2:$H1000,""""),"",\s"",""""))"),4.0)</f>
        <v>4</v>
      </c>
      <c r="K110" s="34" t="str">
        <f t="shared" si="1"/>
        <v>           Move    </v>
      </c>
      <c r="L110" s="34" t="str">
        <f>IFERROR(__xludf.DUMMYFUNCTION("IF(IF(L$1="""","""",REGEXMATCH(LOWER($E110),XLOOKUP(L$1,Metadata!$A$2:$A1000,Metadata!$B$2:$B1000))),L$1,"""")"),"")</f>
        <v/>
      </c>
      <c r="M110" s="34" t="str">
        <f>IFERROR(__xludf.DUMMYFUNCTION("IF(IF(M$1="""","""",REGEXMATCH(LOWER($E110),XLOOKUP(M$1,Metadata!$A$2:$A1000,Metadata!$B$2:$B1000))),M$1,"""")"),"")</f>
        <v/>
      </c>
      <c r="N110" s="34" t="str">
        <f>IFERROR(__xludf.DUMMYFUNCTION("IF(IF(N$1="""","""",REGEXMATCH(LOWER($E110),XLOOKUP(N$1,Metadata!$A$2:$A1000,Metadata!$B$2:$B1000))),N$1,"""")"),"")</f>
        <v/>
      </c>
      <c r="O110" s="34" t="str">
        <f>IFERROR(__xludf.DUMMYFUNCTION("IF(IF(O$1="""","""",REGEXMATCH(LOWER($E110),XLOOKUP(O$1,Metadata!$A$2:$A1000,Metadata!$B$2:$B1000))),O$1,"""")"),"")</f>
        <v/>
      </c>
      <c r="P110" s="34" t="str">
        <f>IFERROR(__xludf.DUMMYFUNCTION("IF(IF(P$1="""","""",REGEXMATCH(LOWER($E110),XLOOKUP(P$1,Metadata!$A$2:$A1000,Metadata!$B$2:$B1000))),P$1,"""")"),"")</f>
        <v/>
      </c>
      <c r="Q110" s="34" t="str">
        <f>IFERROR(__xludf.DUMMYFUNCTION("IF(IF(Q$1="""","""",REGEXMATCH(LOWER($E110),XLOOKUP(Q$1,Metadata!$A$2:$A1000,Metadata!$B$2:$B1000))),Q$1,"""")"),"")</f>
        <v/>
      </c>
      <c r="R110" s="34" t="str">
        <f>IFERROR(__xludf.DUMMYFUNCTION("IF(IF(R$1="""","""",REGEXMATCH(LOWER($E110),XLOOKUP(R$1,Metadata!$A$2:$A1000,Metadata!$B$2:$B1000))),R$1,"""")"),"")</f>
        <v/>
      </c>
      <c r="S110" s="34" t="str">
        <f>IFERROR(__xludf.DUMMYFUNCTION("IF(IF(S$1="""","""",REGEXMATCH(LOWER($E110),XLOOKUP(S$1,Metadata!$A$2:$A1000,Metadata!$B$2:$B1000))),S$1,"""")"),"")</f>
        <v/>
      </c>
      <c r="T110" s="34" t="str">
        <f>IFERROR(__xludf.DUMMYFUNCTION("IF(IF(T$1="""","""",REGEXMATCH(LOWER($E110),XLOOKUP(T$1,Metadata!$A$2:$A1000,Metadata!$B$2:$B1000))),T$1,"""")"),"")</f>
        <v/>
      </c>
      <c r="U110" s="34" t="str">
        <f>IFERROR(__xludf.DUMMYFUNCTION("IF(IF(U$1="""","""",REGEXMATCH(LOWER($E110),XLOOKUP(U$1,Metadata!$A$2:$A1000,Metadata!$B$2:$B1000))),U$1,"""")"),"")</f>
        <v/>
      </c>
      <c r="V110" s="34" t="str">
        <f>IFERROR(__xludf.DUMMYFUNCTION("IF(IF(V$1="""","""",REGEXMATCH(LOWER($E110),XLOOKUP(V$1,Metadata!$A$2:$A1000,Metadata!$B$2:$B1000))),V$1,"""")"),"")</f>
        <v/>
      </c>
      <c r="W110" s="34" t="str">
        <f>IFERROR(__xludf.DUMMYFUNCTION("IF(IF(W$1="""","""",REGEXMATCH(LOWER($E110),XLOOKUP(W$1,Metadata!$A$2:$A1000,Metadata!$B$2:$B1000))),W$1,"""")"),"Move")</f>
        <v>Move</v>
      </c>
      <c r="X110" s="34" t="str">
        <f>IFERROR(__xludf.DUMMYFUNCTION("IF(IF(X$1="""","""",REGEXMATCH(LOWER($E110),XLOOKUP(X$1,Metadata!$A$2:$A1000,Metadata!$B$2:$B1000))),X$1,"""")"),"")</f>
        <v/>
      </c>
      <c r="Y110" s="34" t="str">
        <f>IFERROR(__xludf.DUMMYFUNCTION("IF(IF(Y$1="""","""",REGEXMATCH(LOWER($E110),XLOOKUP(Y$1,Metadata!$A$2:$A1000,Metadata!$B$2:$B1000))),Y$1,"""")"),"")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I111">XLOOKUP($A111,Cards!$A$2:$A1000,Cards!$B$2:$I1000,"")</f>
        <v>Elemental</v>
      </c>
      <c r="C111" s="34">
        <v>1.0</v>
      </c>
      <c r="D111" s="34" t="s">
        <v>661</v>
      </c>
      <c r="E111" s="34" t="s">
        <v>713</v>
      </c>
      <c r="F111" s="34"/>
      <c r="G111" s="34">
        <v>2.0</v>
      </c>
      <c r="H111" s="34" t="s">
        <v>517</v>
      </c>
      <c r="I111" s="34" t="s">
        <v>32</v>
      </c>
      <c r="J111" s="34">
        <f>IFERROR(__xludf.DUMMYFUNCTION("LEN(REGEXREPLACE(XLOOKUP($A111,Cards!$A$2:$A1000,Cards!$H$2:$H1000,""""),"",\s"",""""))"),3.0)</f>
        <v>3</v>
      </c>
      <c r="K111" s="34" t="str">
        <f t="shared" si="1"/>
        <v>     Unearth          </v>
      </c>
      <c r="L111" s="34" t="str">
        <f>IFERROR(__xludf.DUMMYFUNCTION("IF(IF(L$1="""","""",REGEXMATCH(LOWER($E111),XLOOKUP(L$1,Metadata!$A$2:$A1000,Metadata!$B$2:$B1000))),L$1,"""")"),"")</f>
        <v/>
      </c>
      <c r="M111" s="34" t="str">
        <f>IFERROR(__xludf.DUMMYFUNCTION("IF(IF(M$1="""","""",REGEXMATCH(LOWER($E111),XLOOKUP(M$1,Metadata!$A$2:$A1000,Metadata!$B$2:$B1000))),M$1,"""")"),"")</f>
        <v/>
      </c>
      <c r="N111" s="34" t="str">
        <f>IFERROR(__xludf.DUMMYFUNCTION("IF(IF(N$1="""","""",REGEXMATCH(LOWER($E111),XLOOKUP(N$1,Metadata!$A$2:$A1000,Metadata!$B$2:$B1000))),N$1,"""")"),"")</f>
        <v/>
      </c>
      <c r="O111" s="34" t="str">
        <f>IFERROR(__xludf.DUMMYFUNCTION("IF(IF(O$1="""","""",REGEXMATCH(LOWER($E111),XLOOKUP(O$1,Metadata!$A$2:$A1000,Metadata!$B$2:$B1000))),O$1,"""")"),"")</f>
        <v/>
      </c>
      <c r="P111" s="34" t="str">
        <f>IFERROR(__xludf.DUMMYFUNCTION("IF(IF(P$1="""","""",REGEXMATCH(LOWER($E111),XLOOKUP(P$1,Metadata!$A$2:$A1000,Metadata!$B$2:$B1000))),P$1,"""")"),"")</f>
        <v/>
      </c>
      <c r="Q111" s="34" t="str">
        <f>IFERROR(__xludf.DUMMYFUNCTION("IF(IF(Q$1="""","""",REGEXMATCH(LOWER($E111),XLOOKUP(Q$1,Metadata!$A$2:$A1000,Metadata!$B$2:$B1000))),Q$1,"""")"),"Unearth")</f>
        <v>Unearth</v>
      </c>
      <c r="R111" s="34" t="str">
        <f>IFERROR(__xludf.DUMMYFUNCTION("IF(IF(R$1="""","""",REGEXMATCH(LOWER($E111),XLOOKUP(R$1,Metadata!$A$2:$A1000,Metadata!$B$2:$B1000))),R$1,"""")"),"")</f>
        <v/>
      </c>
      <c r="S111" s="34" t="str">
        <f>IFERROR(__xludf.DUMMYFUNCTION("IF(IF(S$1="""","""",REGEXMATCH(LOWER($E111),XLOOKUP(S$1,Metadata!$A$2:$A1000,Metadata!$B$2:$B1000))),S$1,"""")"),"")</f>
        <v/>
      </c>
      <c r="T111" s="34" t="str">
        <f>IFERROR(__xludf.DUMMYFUNCTION("IF(IF(T$1="""","""",REGEXMATCH(LOWER($E111),XLOOKUP(T$1,Metadata!$A$2:$A1000,Metadata!$B$2:$B1000))),T$1,"""")"),"")</f>
        <v/>
      </c>
      <c r="U111" s="34" t="str">
        <f>IFERROR(__xludf.DUMMYFUNCTION("IF(IF(U$1="""","""",REGEXMATCH(LOWER($E111),XLOOKUP(U$1,Metadata!$A$2:$A1000,Metadata!$B$2:$B1000))),U$1,"""")"),"")</f>
        <v/>
      </c>
      <c r="V111" s="34" t="str">
        <f>IFERROR(__xludf.DUMMYFUNCTION("IF(IF(V$1="""","""",REGEXMATCH(LOWER($E111),XLOOKUP(V$1,Metadata!$A$2:$A1000,Metadata!$B$2:$B1000))),V$1,"""")"),"")</f>
        <v/>
      </c>
      <c r="W111" s="34" t="str">
        <f>IFERROR(__xludf.DUMMYFUNCTION("IF(IF(W$1="""","""",REGEXMATCH(LOWER($E111),XLOOKUP(W$1,Metadata!$A$2:$A1000,Metadata!$B$2:$B1000))),W$1,"""")"),"")</f>
        <v/>
      </c>
      <c r="X111" s="34" t="str">
        <f>IFERROR(__xludf.DUMMYFUNCTION("IF(IF(X$1="""","""",REGEXMATCH(LOWER($E111),XLOOKUP(X$1,Metadata!$A$2:$A1000,Metadata!$B$2:$B1000))),X$1,"""")"),"")</f>
        <v/>
      </c>
      <c r="Y111" s="34" t="str">
        <f>IFERROR(__xludf.DUMMYFUNCTION("IF(IF(Y$1="""","""",REGEXMATCH(LOWER($E111),XLOOKUP(Y$1,Metadata!$A$2:$A1000,Metadata!$B$2:$B1000))),Y$1,"""")"),"")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I112">XLOOKUP($A112,Cards!$A$2:$A1000,Cards!$B$2:$I1000,"")</f>
        <v>Elemental</v>
      </c>
      <c r="C112" s="34">
        <v>2.0</v>
      </c>
      <c r="D112" s="34" t="s">
        <v>335</v>
      </c>
      <c r="E112" s="34" t="s">
        <v>726</v>
      </c>
      <c r="F112" s="34" t="s">
        <v>24</v>
      </c>
      <c r="G112" s="34">
        <v>1.0</v>
      </c>
      <c r="H112" s="34" t="s">
        <v>439</v>
      </c>
      <c r="I112" s="34" t="s">
        <v>26</v>
      </c>
      <c r="J112" s="34">
        <f>IFERROR(__xludf.DUMMYFUNCTION("LEN(REGEXREPLACE(XLOOKUP($A112,Cards!$A$2:$A1000,Cards!$H$2:$H1000,""""),"",\s"",""""))"),1.0)</f>
        <v>1</v>
      </c>
      <c r="K112" s="34" t="str">
        <f t="shared" si="1"/>
        <v> Elemental              </v>
      </c>
      <c r="L112" s="34" t="str">
        <f>IFERROR(__xludf.DUMMYFUNCTION("IF(IF(L$1="""","""",REGEXMATCH(LOWER($E112),XLOOKUP(L$1,Metadata!$A$2:$A1000,Metadata!$B$2:$B1000))),L$1,"""")"),"")</f>
        <v/>
      </c>
      <c r="M112" s="34" t="str">
        <f>IFERROR(__xludf.DUMMYFUNCTION("IF(IF(M$1="""","""",REGEXMATCH(LOWER($E112),XLOOKUP(M$1,Metadata!$A$2:$A1000,Metadata!$B$2:$B1000))),M$1,"""")"),"Elemental")</f>
        <v>Elemental</v>
      </c>
      <c r="N112" s="34" t="str">
        <f>IFERROR(__xludf.DUMMYFUNCTION("IF(IF(N$1="""","""",REGEXMATCH(LOWER($E112),XLOOKUP(N$1,Metadata!$A$2:$A1000,Metadata!$B$2:$B1000))),N$1,"""")"),"")</f>
        <v/>
      </c>
      <c r="O112" s="34" t="str">
        <f>IFERROR(__xludf.DUMMYFUNCTION("IF(IF(O$1="""","""",REGEXMATCH(LOWER($E112),XLOOKUP(O$1,Metadata!$A$2:$A1000,Metadata!$B$2:$B1000))),O$1,"""")"),"")</f>
        <v/>
      </c>
      <c r="P112" s="34" t="str">
        <f>IFERROR(__xludf.DUMMYFUNCTION("IF(IF(P$1="""","""",REGEXMATCH(LOWER($E112),XLOOKUP(P$1,Metadata!$A$2:$A1000,Metadata!$B$2:$B1000))),P$1,"""")"),"")</f>
        <v/>
      </c>
      <c r="Q112" s="34" t="str">
        <f>IFERROR(__xludf.DUMMYFUNCTION("IF(IF(Q$1="""","""",REGEXMATCH(LOWER($E112),XLOOKUP(Q$1,Metadata!$A$2:$A1000,Metadata!$B$2:$B1000))),Q$1,"""")"),"")</f>
        <v/>
      </c>
      <c r="R112" s="34" t="str">
        <f>IFERROR(__xludf.DUMMYFUNCTION("IF(IF(R$1="""","""",REGEXMATCH(LOWER($E112),XLOOKUP(R$1,Metadata!$A$2:$A1000,Metadata!$B$2:$B1000))),R$1,"""")"),"")</f>
        <v/>
      </c>
      <c r="S112" s="34" t="str">
        <f>IFERROR(__xludf.DUMMYFUNCTION("IF(IF(S$1="""","""",REGEXMATCH(LOWER($E112),XLOOKUP(S$1,Metadata!$A$2:$A1000,Metadata!$B$2:$B1000))),S$1,"""")"),"")</f>
        <v/>
      </c>
      <c r="T112" s="34" t="str">
        <f>IFERROR(__xludf.DUMMYFUNCTION("IF(IF(T$1="""","""",REGEXMATCH(LOWER($E112),XLOOKUP(T$1,Metadata!$A$2:$A1000,Metadata!$B$2:$B1000))),T$1,"""")"),"")</f>
        <v/>
      </c>
      <c r="U112" s="34" t="str">
        <f>IFERROR(__xludf.DUMMYFUNCTION("IF(IF(U$1="""","""",REGEXMATCH(LOWER($E112),XLOOKUP(U$1,Metadata!$A$2:$A1000,Metadata!$B$2:$B1000))),U$1,"""")"),"")</f>
        <v/>
      </c>
      <c r="V112" s="34" t="str">
        <f>IFERROR(__xludf.DUMMYFUNCTION("IF(IF(V$1="""","""",REGEXMATCH(LOWER($E112),XLOOKUP(V$1,Metadata!$A$2:$A1000,Metadata!$B$2:$B1000))),V$1,"""")"),"")</f>
        <v/>
      </c>
      <c r="W112" s="34" t="str">
        <f>IFERROR(__xludf.DUMMYFUNCTION("IF(IF(W$1="""","""",REGEXMATCH(LOWER($E112),XLOOKUP(W$1,Metadata!$A$2:$A1000,Metadata!$B$2:$B1000))),W$1,"""")"),"")</f>
        <v/>
      </c>
      <c r="X112" s="34" t="str">
        <f>IFERROR(__xludf.DUMMYFUNCTION("IF(IF(X$1="""","""",REGEXMATCH(LOWER($E112),XLOOKUP(X$1,Metadata!$A$2:$A1000,Metadata!$B$2:$B1000))),X$1,"""")"),"")</f>
        <v/>
      </c>
      <c r="Y112" s="34" t="str">
        <f>IFERROR(__xludf.DUMMYFUNCTION("IF(IF(Y$1="""","""",REGEXMATCH(LOWER($E112),XLOOKUP(Y$1,Metadata!$A$2:$A1000,Metadata!$B$2:$B1000))),Y$1,"""")"),"")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I113">XLOOKUP($A113,Cards!$A$2:$A1000,Cards!$B$2:$I1000,"")</f>
        <v>Elemental</v>
      </c>
      <c r="C113" s="34">
        <v>0.0</v>
      </c>
      <c r="D113" s="34" t="s">
        <v>433</v>
      </c>
      <c r="E113" s="34" t="s">
        <v>728</v>
      </c>
      <c r="F113" s="34" t="s">
        <v>729</v>
      </c>
      <c r="G113" s="34">
        <v>3.0</v>
      </c>
      <c r="H113" s="34" t="s">
        <v>421</v>
      </c>
      <c r="I113" s="34" t="s">
        <v>26</v>
      </c>
      <c r="J113" s="34">
        <f>IFERROR(__xludf.DUMMYFUNCTION("LEN(REGEXREPLACE(XLOOKUP($A113,Cards!$A$2:$A1000,Cards!$H$2:$H1000,""""),"",\s"",""""))"),3.0)</f>
        <v>3</v>
      </c>
      <c r="K113" s="34" t="str">
        <f t="shared" si="1"/>
        <v>      Ramp   Aggro      </v>
      </c>
      <c r="L113" s="34" t="str">
        <f>IFERROR(__xludf.DUMMYFUNCTION("IF(IF(L$1="""","""",REGEXMATCH(LOWER($E113),XLOOKUP(L$1,Metadata!$A$2:$A1000,Metadata!$B$2:$B1000))),L$1,"""")"),"")</f>
        <v/>
      </c>
      <c r="M113" s="34" t="str">
        <f>IFERROR(__xludf.DUMMYFUNCTION("IF(IF(M$1="""","""",REGEXMATCH(LOWER($E113),XLOOKUP(M$1,Metadata!$A$2:$A1000,Metadata!$B$2:$B1000))),M$1,"""")"),"")</f>
        <v/>
      </c>
      <c r="N113" s="34" t="str">
        <f>IFERROR(__xludf.DUMMYFUNCTION("IF(IF(N$1="""","""",REGEXMATCH(LOWER($E113),XLOOKUP(N$1,Metadata!$A$2:$A1000,Metadata!$B$2:$B1000))),N$1,"""")"),"")</f>
        <v/>
      </c>
      <c r="O113" s="34" t="str">
        <f>IFERROR(__xludf.DUMMYFUNCTION("IF(IF(O$1="""","""",REGEXMATCH(LOWER($E113),XLOOKUP(O$1,Metadata!$A$2:$A1000,Metadata!$B$2:$B1000))),O$1,"""")"),"")</f>
        <v/>
      </c>
      <c r="P113" s="34" t="str">
        <f>IFERROR(__xludf.DUMMYFUNCTION("IF(IF(P$1="""","""",REGEXMATCH(LOWER($E113),XLOOKUP(P$1,Metadata!$A$2:$A1000,Metadata!$B$2:$B1000))),P$1,"""")"),"")</f>
        <v/>
      </c>
      <c r="Q113" s="34" t="str">
        <f>IFERROR(__xludf.DUMMYFUNCTION("IF(IF(Q$1="""","""",REGEXMATCH(LOWER($E113),XLOOKUP(Q$1,Metadata!$A$2:$A1000,Metadata!$B$2:$B1000))),Q$1,"""")"),"")</f>
        <v/>
      </c>
      <c r="R113" s="34" t="str">
        <f>IFERROR(__xludf.DUMMYFUNCTION("IF(IF(R$1="""","""",REGEXMATCH(LOWER($E113),XLOOKUP(R$1,Metadata!$A$2:$A1000,Metadata!$B$2:$B1000))),R$1,"""")"),"Ramp")</f>
        <v>Ramp</v>
      </c>
      <c r="S113" s="34" t="str">
        <f>IFERROR(__xludf.DUMMYFUNCTION("IF(IF(S$1="""","""",REGEXMATCH(LOWER($E113),XLOOKUP(S$1,Metadata!$A$2:$A1000,Metadata!$B$2:$B1000))),S$1,"""")"),"")</f>
        <v/>
      </c>
      <c r="T113" s="34" t="str">
        <f>IFERROR(__xludf.DUMMYFUNCTION("IF(IF(T$1="""","""",REGEXMATCH(LOWER($E113),XLOOKUP(T$1,Metadata!$A$2:$A1000,Metadata!$B$2:$B1000))),T$1,"""")"),"")</f>
        <v/>
      </c>
      <c r="U113" s="34" t="str">
        <f>IFERROR(__xludf.DUMMYFUNCTION("IF(IF(U$1="""","""",REGEXMATCH(LOWER($E113),XLOOKUP(U$1,Metadata!$A$2:$A1000,Metadata!$B$2:$B1000))),U$1,"""")"),"Aggro")</f>
        <v>Aggro</v>
      </c>
      <c r="V113" s="34" t="str">
        <f>IFERROR(__xludf.DUMMYFUNCTION("IF(IF(V$1="""","""",REGEXMATCH(LOWER($E113),XLOOKUP(V$1,Metadata!$A$2:$A1000,Metadata!$B$2:$B1000))),V$1,"""")"),"")</f>
        <v/>
      </c>
      <c r="W113" s="34" t="str">
        <f>IFERROR(__xludf.DUMMYFUNCTION("IF(IF(W$1="""","""",REGEXMATCH(LOWER($E113),XLOOKUP(W$1,Metadata!$A$2:$A1000,Metadata!$B$2:$B1000))),W$1,"""")"),"")</f>
        <v/>
      </c>
      <c r="X113" s="34" t="str">
        <f>IFERROR(__xludf.DUMMYFUNCTION("IF(IF(X$1="""","""",REGEXMATCH(LOWER($E113),XLOOKUP(X$1,Metadata!$A$2:$A1000,Metadata!$B$2:$B1000))),X$1,"""")"),"")</f>
        <v/>
      </c>
      <c r="Y113" s="34" t="str">
        <f>IFERROR(__xludf.DUMMYFUNCTION("IF(IF(Y$1="""","""",REGEXMATCH(LOWER($E113),XLOOKUP(Y$1,Metadata!$A$2:$A1000,Metadata!$B$2:$B1000))),Y$1,"""")"),"")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I114">XLOOKUP($A114,Cards!$A$2:$A1000,Cards!$B$2:$I1000,"")</f>
        <v>Elemental</v>
      </c>
      <c r="C114" s="34">
        <v>2.0</v>
      </c>
      <c r="D114" s="34" t="s">
        <v>433</v>
      </c>
      <c r="E114" s="34" t="s">
        <v>731</v>
      </c>
      <c r="F114" s="34" t="s">
        <v>732</v>
      </c>
      <c r="G114" s="34">
        <v>2.0</v>
      </c>
      <c r="H114" s="34" t="s">
        <v>586</v>
      </c>
      <c r="I114" s="34" t="s">
        <v>26</v>
      </c>
      <c r="J114" s="34">
        <f>IFERROR(__xludf.DUMMYFUNCTION("LEN(REGEXREPLACE(XLOOKUP($A114,Cards!$A$2:$A1000,Cards!$H$2:$H1000,""""),"",\s"",""""))"),2.0)</f>
        <v>2</v>
      </c>
      <c r="K114" s="34" t="str">
        <f t="shared" si="1"/>
        <v>               </v>
      </c>
      <c r="L114" s="34" t="str">
        <f>IFERROR(__xludf.DUMMYFUNCTION("IF(IF(L$1="""","""",REGEXMATCH(LOWER($E114),XLOOKUP(L$1,Metadata!$A$2:$A1000,Metadata!$B$2:$B1000))),L$1,"""")"),"")</f>
        <v/>
      </c>
      <c r="M114" s="34" t="str">
        <f>IFERROR(__xludf.DUMMYFUNCTION("IF(IF(M$1="""","""",REGEXMATCH(LOWER($E114),XLOOKUP(M$1,Metadata!$A$2:$A1000,Metadata!$B$2:$B1000))),M$1,"""")"),"")</f>
        <v/>
      </c>
      <c r="N114" s="34" t="str">
        <f>IFERROR(__xludf.DUMMYFUNCTION("IF(IF(N$1="""","""",REGEXMATCH(LOWER($E114),XLOOKUP(N$1,Metadata!$A$2:$A1000,Metadata!$B$2:$B1000))),N$1,"""")"),"")</f>
        <v/>
      </c>
      <c r="O114" s="34" t="str">
        <f>IFERROR(__xludf.DUMMYFUNCTION("IF(IF(O$1="""","""",REGEXMATCH(LOWER($E114),XLOOKUP(O$1,Metadata!$A$2:$A1000,Metadata!$B$2:$B1000))),O$1,"""")"),"")</f>
        <v/>
      </c>
      <c r="P114" s="34" t="str">
        <f>IFERROR(__xludf.DUMMYFUNCTION("IF(IF(P$1="""","""",REGEXMATCH(LOWER($E114),XLOOKUP(P$1,Metadata!$A$2:$A1000,Metadata!$B$2:$B1000))),P$1,"""")"),"")</f>
        <v/>
      </c>
      <c r="Q114" s="34" t="str">
        <f>IFERROR(__xludf.DUMMYFUNCTION("IF(IF(Q$1="""","""",REGEXMATCH(LOWER($E114),XLOOKUP(Q$1,Metadata!$A$2:$A1000,Metadata!$B$2:$B1000))),Q$1,"""")"),"")</f>
        <v/>
      </c>
      <c r="R114" s="34" t="str">
        <f>IFERROR(__xludf.DUMMYFUNCTION("IF(IF(R$1="""","""",REGEXMATCH(LOWER($E114),XLOOKUP(R$1,Metadata!$A$2:$A1000,Metadata!$B$2:$B1000))),R$1,"""")"),"")</f>
        <v/>
      </c>
      <c r="S114" s="34" t="str">
        <f>IFERROR(__xludf.DUMMYFUNCTION("IF(IF(S$1="""","""",REGEXMATCH(LOWER($E114),XLOOKUP(S$1,Metadata!$A$2:$A1000,Metadata!$B$2:$B1000))),S$1,"""")"),"")</f>
        <v/>
      </c>
      <c r="T114" s="34" t="str">
        <f>IFERROR(__xludf.DUMMYFUNCTION("IF(IF(T$1="""","""",REGEXMATCH(LOWER($E114),XLOOKUP(T$1,Metadata!$A$2:$A1000,Metadata!$B$2:$B1000))),T$1,"""")"),"")</f>
        <v/>
      </c>
      <c r="U114" s="34" t="str">
        <f>IFERROR(__xludf.DUMMYFUNCTION("IF(IF(U$1="""","""",REGEXMATCH(LOWER($E114),XLOOKUP(U$1,Metadata!$A$2:$A1000,Metadata!$B$2:$B1000))),U$1,"""")"),"")</f>
        <v/>
      </c>
      <c r="V114" s="34" t="str">
        <f>IFERROR(__xludf.DUMMYFUNCTION("IF(IF(V$1="""","""",REGEXMATCH(LOWER($E114),XLOOKUP(V$1,Metadata!$A$2:$A1000,Metadata!$B$2:$B1000))),V$1,"""")"),"")</f>
        <v/>
      </c>
      <c r="W114" s="34" t="str">
        <f>IFERROR(__xludf.DUMMYFUNCTION("IF(IF(W$1="""","""",REGEXMATCH(LOWER($E114),XLOOKUP(W$1,Metadata!$A$2:$A1000,Metadata!$B$2:$B1000))),W$1,"""")"),"")</f>
        <v/>
      </c>
      <c r="X114" s="34" t="str">
        <f>IFERROR(__xludf.DUMMYFUNCTION("IF(IF(X$1="""","""",REGEXMATCH(LOWER($E114),XLOOKUP(X$1,Metadata!$A$2:$A1000,Metadata!$B$2:$B1000))),X$1,"""")"),"")</f>
        <v/>
      </c>
      <c r="Y114" s="34" t="str">
        <f>IFERROR(__xludf.DUMMYFUNCTION("IF(IF(Y$1="""","""",REGEXMATCH(LOWER($E114),XLOOKUP(Y$1,Metadata!$A$2:$A1000,Metadata!$B$2:$B1000))),Y$1,"""")"),"")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I115">XLOOKUP($A115,Cards!$A$2:$A1000,Cards!$B$2:$I1000,"")</f>
        <v>Elemental</v>
      </c>
      <c r="C115" s="34">
        <v>1.0</v>
      </c>
      <c r="D115" s="34" t="s">
        <v>335</v>
      </c>
      <c r="E115" s="34" t="s">
        <v>745</v>
      </c>
      <c r="F115" s="34" t="s">
        <v>746</v>
      </c>
      <c r="G115" s="34">
        <v>2.0</v>
      </c>
      <c r="H115" s="34" t="s">
        <v>421</v>
      </c>
      <c r="I115" s="34" t="s">
        <v>70</v>
      </c>
      <c r="J115" s="34">
        <f>IFERROR(__xludf.DUMMYFUNCTION("LEN(REGEXREPLACE(XLOOKUP($A115,Cards!$A$2:$A1000,Cards!$H$2:$H1000,""""),"",\s"",""""))"),3.0)</f>
        <v>3</v>
      </c>
      <c r="K115" s="34" t="str">
        <f t="shared" si="1"/>
        <v>       Control     Ambush   </v>
      </c>
      <c r="L115" s="34" t="str">
        <f>IFERROR(__xludf.DUMMYFUNCTION("IF(IF(L$1="""","""",REGEXMATCH(LOWER($E115),XLOOKUP(L$1,Metadata!$A$2:$A1000,Metadata!$B$2:$B1000))),L$1,"""")"),"")</f>
        <v/>
      </c>
      <c r="M115" s="34" t="str">
        <f>IFERROR(__xludf.DUMMYFUNCTION("IF(IF(M$1="""","""",REGEXMATCH(LOWER($E115),XLOOKUP(M$1,Metadata!$A$2:$A1000,Metadata!$B$2:$B1000))),M$1,"""")"),"")</f>
        <v/>
      </c>
      <c r="N115" s="34" t="str">
        <f>IFERROR(__xludf.DUMMYFUNCTION("IF(IF(N$1="""","""",REGEXMATCH(LOWER($E115),XLOOKUP(N$1,Metadata!$A$2:$A1000,Metadata!$B$2:$B1000))),N$1,"""")"),"")</f>
        <v/>
      </c>
      <c r="O115" s="34" t="str">
        <f>IFERROR(__xludf.DUMMYFUNCTION("IF(IF(O$1="""","""",REGEXMATCH(LOWER($E115),XLOOKUP(O$1,Metadata!$A$2:$A1000,Metadata!$B$2:$B1000))),O$1,"""")"),"")</f>
        <v/>
      </c>
      <c r="P115" s="34" t="str">
        <f>IFERROR(__xludf.DUMMYFUNCTION("IF(IF(P$1="""","""",REGEXMATCH(LOWER($E115),XLOOKUP(P$1,Metadata!$A$2:$A1000,Metadata!$B$2:$B1000))),P$1,"""")"),"")</f>
        <v/>
      </c>
      <c r="Q115" s="34" t="str">
        <f>IFERROR(__xludf.DUMMYFUNCTION("IF(IF(Q$1="""","""",REGEXMATCH(LOWER($E115),XLOOKUP(Q$1,Metadata!$A$2:$A1000,Metadata!$B$2:$B1000))),Q$1,"""")"),"")</f>
        <v/>
      </c>
      <c r="R115" s="34" t="str">
        <f>IFERROR(__xludf.DUMMYFUNCTION("IF(IF(R$1="""","""",REGEXMATCH(LOWER($E115),XLOOKUP(R$1,Metadata!$A$2:$A1000,Metadata!$B$2:$B1000))),R$1,"""")"),"")</f>
        <v/>
      </c>
      <c r="S115" s="34" t="str">
        <f>IFERROR(__xludf.DUMMYFUNCTION("IF(IF(S$1="""","""",REGEXMATCH(LOWER($E115),XLOOKUP(S$1,Metadata!$A$2:$A1000,Metadata!$B$2:$B1000))),S$1,"""")"),"Control")</f>
        <v>Control</v>
      </c>
      <c r="T115" s="34" t="str">
        <f>IFERROR(__xludf.DUMMYFUNCTION("IF(IF(T$1="""","""",REGEXMATCH(LOWER($E115),XLOOKUP(T$1,Metadata!$A$2:$A1000,Metadata!$B$2:$B1000))),T$1,"""")"),"")</f>
        <v/>
      </c>
      <c r="U115" s="34" t="str">
        <f>IFERROR(__xludf.DUMMYFUNCTION("IF(IF(U$1="""","""",REGEXMATCH(LOWER($E115),XLOOKUP(U$1,Metadata!$A$2:$A1000,Metadata!$B$2:$B1000))),U$1,"""")"),"")</f>
        <v/>
      </c>
      <c r="V115" s="34" t="str">
        <f>IFERROR(__xludf.DUMMYFUNCTION("IF(IF(V$1="""","""",REGEXMATCH(LOWER($E115),XLOOKUP(V$1,Metadata!$A$2:$A1000,Metadata!$B$2:$B1000))),V$1,"""")"),"")</f>
        <v/>
      </c>
      <c r="W115" s="34" t="str">
        <f>IFERROR(__xludf.DUMMYFUNCTION("IF(IF(W$1="""","""",REGEXMATCH(LOWER($E115),XLOOKUP(W$1,Metadata!$A$2:$A1000,Metadata!$B$2:$B1000))),W$1,"""")"),"")</f>
        <v/>
      </c>
      <c r="X115" s="34" t="str">
        <f>IFERROR(__xludf.DUMMYFUNCTION("IF(IF(X$1="""","""",REGEXMATCH(LOWER($E115),XLOOKUP(X$1,Metadata!$A$2:$A1000,Metadata!$B$2:$B1000))),X$1,"""")"),"Ambush")</f>
        <v>Ambush</v>
      </c>
      <c r="Y115" s="34" t="str">
        <f>IFERROR(__xludf.DUMMYFUNCTION("IF(IF(Y$1="""","""",REGEXMATCH(LOWER($E115),XLOOKUP(Y$1,Metadata!$A$2:$A1000,Metadata!$B$2:$B1000))),Y$1,"""")"),"")</f>
        <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I116">XLOOKUP($A116,Cards!$A$2:$A1000,Cards!$B$2:$I1000,"")</f>
        <v>Elemental</v>
      </c>
      <c r="C116" s="34">
        <v>1.0</v>
      </c>
      <c r="D116" s="34" t="s">
        <v>539</v>
      </c>
      <c r="E116" s="34" t="s">
        <v>759</v>
      </c>
      <c r="F116" s="34" t="s">
        <v>760</v>
      </c>
      <c r="G116" s="34">
        <v>3.0</v>
      </c>
      <c r="H116" s="34" t="s">
        <v>638</v>
      </c>
      <c r="I116" s="34" t="s">
        <v>70</v>
      </c>
      <c r="J116" s="34">
        <f>IFERROR(__xludf.DUMMYFUNCTION("LEN(REGEXREPLACE(XLOOKUP($A116,Cards!$A$2:$A1000,Cards!$H$2:$H1000,""""),"",\s"",""""))"),4.0)</f>
        <v>4</v>
      </c>
      <c r="K116" s="34" t="str">
        <f t="shared" si="1"/>
        <v>               </v>
      </c>
      <c r="L116" s="34" t="str">
        <f>IFERROR(__xludf.DUMMYFUNCTION("IF(IF(L$1="""","""",REGEXMATCH(LOWER($E116),XLOOKUP(L$1,Metadata!$A$2:$A1000,Metadata!$B$2:$B1000))),L$1,"""")"),"")</f>
        <v/>
      </c>
      <c r="M116" s="34" t="str">
        <f>IFERROR(__xludf.DUMMYFUNCTION("IF(IF(M$1="""","""",REGEXMATCH(LOWER($E116),XLOOKUP(M$1,Metadata!$A$2:$A1000,Metadata!$B$2:$B1000))),M$1,"""")"),"")</f>
        <v/>
      </c>
      <c r="N116" s="34" t="str">
        <f>IFERROR(__xludf.DUMMYFUNCTION("IF(IF(N$1="""","""",REGEXMATCH(LOWER($E116),XLOOKUP(N$1,Metadata!$A$2:$A1000,Metadata!$B$2:$B1000))),N$1,"""")"),"")</f>
        <v/>
      </c>
      <c r="O116" s="34" t="str">
        <f>IFERROR(__xludf.DUMMYFUNCTION("IF(IF(O$1="""","""",REGEXMATCH(LOWER($E116),XLOOKUP(O$1,Metadata!$A$2:$A1000,Metadata!$B$2:$B1000))),O$1,"""")"),"")</f>
        <v/>
      </c>
      <c r="P116" s="34" t="str">
        <f>IFERROR(__xludf.DUMMYFUNCTION("IF(IF(P$1="""","""",REGEXMATCH(LOWER($E116),XLOOKUP(P$1,Metadata!$A$2:$A1000,Metadata!$B$2:$B1000))),P$1,"""")"),"")</f>
        <v/>
      </c>
      <c r="Q116" s="34" t="str">
        <f>IFERROR(__xludf.DUMMYFUNCTION("IF(IF(Q$1="""","""",REGEXMATCH(LOWER($E116),XLOOKUP(Q$1,Metadata!$A$2:$A1000,Metadata!$B$2:$B1000))),Q$1,"""")"),"")</f>
        <v/>
      </c>
      <c r="R116" s="34" t="str">
        <f>IFERROR(__xludf.DUMMYFUNCTION("IF(IF(R$1="""","""",REGEXMATCH(LOWER($E116),XLOOKUP(R$1,Metadata!$A$2:$A1000,Metadata!$B$2:$B1000))),R$1,"""")"),"")</f>
        <v/>
      </c>
      <c r="S116" s="34" t="str">
        <f>IFERROR(__xludf.DUMMYFUNCTION("IF(IF(S$1="""","""",REGEXMATCH(LOWER($E116),XLOOKUP(S$1,Metadata!$A$2:$A1000,Metadata!$B$2:$B1000))),S$1,"""")"),"")</f>
        <v/>
      </c>
      <c r="T116" s="34" t="str">
        <f>IFERROR(__xludf.DUMMYFUNCTION("IF(IF(T$1="""","""",REGEXMATCH(LOWER($E116),XLOOKUP(T$1,Metadata!$A$2:$A1000,Metadata!$B$2:$B1000))),T$1,"""")"),"")</f>
        <v/>
      </c>
      <c r="U116" s="34" t="str">
        <f>IFERROR(__xludf.DUMMYFUNCTION("IF(IF(U$1="""","""",REGEXMATCH(LOWER($E116),XLOOKUP(U$1,Metadata!$A$2:$A1000,Metadata!$B$2:$B1000))),U$1,"""")"),"")</f>
        <v/>
      </c>
      <c r="V116" s="34" t="str">
        <f>IFERROR(__xludf.DUMMYFUNCTION("IF(IF(V$1="""","""",REGEXMATCH(LOWER($E116),XLOOKUP(V$1,Metadata!$A$2:$A1000,Metadata!$B$2:$B1000))),V$1,"""")"),"")</f>
        <v/>
      </c>
      <c r="W116" s="34" t="str">
        <f>IFERROR(__xludf.DUMMYFUNCTION("IF(IF(W$1="""","""",REGEXMATCH(LOWER($E116),XLOOKUP(W$1,Metadata!$A$2:$A1000,Metadata!$B$2:$B1000))),W$1,"""")"),"")</f>
        <v/>
      </c>
      <c r="X116" s="34" t="str">
        <f>IFERROR(__xludf.DUMMYFUNCTION("IF(IF(X$1="""","""",REGEXMATCH(LOWER($E116),XLOOKUP(X$1,Metadata!$A$2:$A1000,Metadata!$B$2:$B1000))),X$1,"""")"),"")</f>
        <v/>
      </c>
      <c r="Y116" s="34" t="str">
        <f>IFERROR(__xludf.DUMMYFUNCTION("IF(IF(Y$1="""","""",REGEXMATCH(LOWER($E116),XLOOKUP(Y$1,Metadata!$A$2:$A1000,Metadata!$B$2:$B1000))),Y$1,"""")"),"")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I117">XLOOKUP($A117,Cards!$A$2:$A1000,Cards!$B$2:$I1000,"")</f>
        <v>Elemental</v>
      </c>
      <c r="C117" s="34">
        <v>2.0</v>
      </c>
      <c r="D117" s="34" t="s">
        <v>519</v>
      </c>
      <c r="E117" s="34" t="s">
        <v>773</v>
      </c>
      <c r="F117" s="34" t="s">
        <v>389</v>
      </c>
      <c r="G117" s="34">
        <v>4.0</v>
      </c>
      <c r="H117" s="34" t="s">
        <v>526</v>
      </c>
      <c r="I117" s="34" t="s">
        <v>32</v>
      </c>
      <c r="J117" s="34">
        <f>IFERROR(__xludf.DUMMYFUNCTION("LEN(REGEXREPLACE(XLOOKUP($A117,Cards!$A$2:$A1000,Cards!$H$2:$H1000,""""),"",\s"",""""))"),5.0)</f>
        <v>5</v>
      </c>
      <c r="K117" s="34" t="str">
        <f t="shared" si="1"/>
        <v>        Copy       </v>
      </c>
      <c r="L117" s="34" t="str">
        <f>IFERROR(__xludf.DUMMYFUNCTION("IF(IF(L$1="""","""",REGEXMATCH(LOWER($E117),XLOOKUP(L$1,Metadata!$A$2:$A1000,Metadata!$B$2:$B1000))),L$1,"""")"),"")</f>
        <v/>
      </c>
      <c r="M117" s="34" t="str">
        <f>IFERROR(__xludf.DUMMYFUNCTION("IF(IF(M$1="""","""",REGEXMATCH(LOWER($E117),XLOOKUP(M$1,Metadata!$A$2:$A1000,Metadata!$B$2:$B1000))),M$1,"""")"),"")</f>
        <v/>
      </c>
      <c r="N117" s="34" t="str">
        <f>IFERROR(__xludf.DUMMYFUNCTION("IF(IF(N$1="""","""",REGEXMATCH(LOWER($E117),XLOOKUP(N$1,Metadata!$A$2:$A1000,Metadata!$B$2:$B1000))),N$1,"""")"),"")</f>
        <v/>
      </c>
      <c r="O117" s="34" t="str">
        <f>IFERROR(__xludf.DUMMYFUNCTION("IF(IF(O$1="""","""",REGEXMATCH(LOWER($E117),XLOOKUP(O$1,Metadata!$A$2:$A1000,Metadata!$B$2:$B1000))),O$1,"""")"),"")</f>
        <v/>
      </c>
      <c r="P117" s="34" t="str">
        <f>IFERROR(__xludf.DUMMYFUNCTION("IF(IF(P$1="""","""",REGEXMATCH(LOWER($E117),XLOOKUP(P$1,Metadata!$A$2:$A1000,Metadata!$B$2:$B1000))),P$1,"""")"),"")</f>
        <v/>
      </c>
      <c r="Q117" s="34" t="str">
        <f>IFERROR(__xludf.DUMMYFUNCTION("IF(IF(Q$1="""","""",REGEXMATCH(LOWER($E117),XLOOKUP(Q$1,Metadata!$A$2:$A1000,Metadata!$B$2:$B1000))),Q$1,"""")"),"")</f>
        <v/>
      </c>
      <c r="R117" s="34" t="str">
        <f>IFERROR(__xludf.DUMMYFUNCTION("IF(IF(R$1="""","""",REGEXMATCH(LOWER($E117),XLOOKUP(R$1,Metadata!$A$2:$A1000,Metadata!$B$2:$B1000))),R$1,"""")"),"")</f>
        <v/>
      </c>
      <c r="S117" s="34" t="str">
        <f>IFERROR(__xludf.DUMMYFUNCTION("IF(IF(S$1="""","""",REGEXMATCH(LOWER($E117),XLOOKUP(S$1,Metadata!$A$2:$A1000,Metadata!$B$2:$B1000))),S$1,"""")"),"")</f>
        <v/>
      </c>
      <c r="T117" s="34" t="str">
        <f>IFERROR(__xludf.DUMMYFUNCTION("IF(IF(T$1="""","""",REGEXMATCH(LOWER($E117),XLOOKUP(T$1,Metadata!$A$2:$A1000,Metadata!$B$2:$B1000))),T$1,"""")"),"Copy")</f>
        <v>Copy</v>
      </c>
      <c r="U117" s="34" t="str">
        <f>IFERROR(__xludf.DUMMYFUNCTION("IF(IF(U$1="""","""",REGEXMATCH(LOWER($E117),XLOOKUP(U$1,Metadata!$A$2:$A1000,Metadata!$B$2:$B1000))),U$1,"""")"),"")</f>
        <v/>
      </c>
      <c r="V117" s="34" t="str">
        <f>IFERROR(__xludf.DUMMYFUNCTION("IF(IF(V$1="""","""",REGEXMATCH(LOWER($E117),XLOOKUP(V$1,Metadata!$A$2:$A1000,Metadata!$B$2:$B1000))),V$1,"""")"),"")</f>
        <v/>
      </c>
      <c r="W117" s="34" t="str">
        <f>IFERROR(__xludf.DUMMYFUNCTION("IF(IF(W$1="""","""",REGEXMATCH(LOWER($E117),XLOOKUP(W$1,Metadata!$A$2:$A1000,Metadata!$B$2:$B1000))),W$1,"""")"),"")</f>
        <v/>
      </c>
      <c r="X117" s="34" t="str">
        <f>IFERROR(__xludf.DUMMYFUNCTION("IF(IF(X$1="""","""",REGEXMATCH(LOWER($E117),XLOOKUP(X$1,Metadata!$A$2:$A1000,Metadata!$B$2:$B1000))),X$1,"""")"),"")</f>
        <v/>
      </c>
      <c r="Y117" s="34" t="str">
        <f>IFERROR(__xludf.DUMMYFUNCTION("IF(IF(Y$1="""","""",REGEXMATCH(LOWER($E117),XLOOKUP(Y$1,Metadata!$A$2:$A1000,Metadata!$B$2:$B1000))),Y$1,"""")"),"")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I118">XLOOKUP($A118,Cards!$A$2:$A1000,Cards!$B$2:$I1000,"")</f>
        <v>Elemental</v>
      </c>
      <c r="C118" s="34">
        <v>1.0</v>
      </c>
      <c r="D118" s="34" t="s">
        <v>360</v>
      </c>
      <c r="E118" s="34" t="s">
        <v>775</v>
      </c>
      <c r="F118" s="34" t="s">
        <v>776</v>
      </c>
      <c r="G118" s="34">
        <v>4.0</v>
      </c>
      <c r="H118" s="34" t="s">
        <v>571</v>
      </c>
      <c r="I118" s="34" t="s">
        <v>70</v>
      </c>
      <c r="J118" s="34">
        <f>IFERROR(__xludf.DUMMYFUNCTION("LEN(REGEXREPLACE(XLOOKUP($A118,Cards!$A$2:$A1000,Cards!$H$2:$H1000,""""),"",\s"",""""))"),6.0)</f>
        <v>6</v>
      </c>
      <c r="K118" s="34" t="str">
        <f t="shared" si="1"/>
        <v> Elemental              </v>
      </c>
      <c r="L118" s="34" t="str">
        <f>IFERROR(__xludf.DUMMYFUNCTION("IF(IF(L$1="""","""",REGEXMATCH(LOWER($E118),XLOOKUP(L$1,Metadata!$A$2:$A1000,Metadata!$B$2:$B1000))),L$1,"""")"),"")</f>
        <v/>
      </c>
      <c r="M118" s="34" t="str">
        <f>IFERROR(__xludf.DUMMYFUNCTION("IF(IF(M$1="""","""",REGEXMATCH(LOWER($E118),XLOOKUP(M$1,Metadata!$A$2:$A1000,Metadata!$B$2:$B1000))),M$1,"""")"),"Elemental")</f>
        <v>Elemental</v>
      </c>
      <c r="N118" s="34" t="str">
        <f>IFERROR(__xludf.DUMMYFUNCTION("IF(IF(N$1="""","""",REGEXMATCH(LOWER($E118),XLOOKUP(N$1,Metadata!$A$2:$A1000,Metadata!$B$2:$B1000))),N$1,"""")"),"")</f>
        <v/>
      </c>
      <c r="O118" s="34" t="str">
        <f>IFERROR(__xludf.DUMMYFUNCTION("IF(IF(O$1="""","""",REGEXMATCH(LOWER($E118),XLOOKUP(O$1,Metadata!$A$2:$A1000,Metadata!$B$2:$B1000))),O$1,"""")"),"")</f>
        <v/>
      </c>
      <c r="P118" s="34" t="str">
        <f>IFERROR(__xludf.DUMMYFUNCTION("IF(IF(P$1="""","""",REGEXMATCH(LOWER($E118),XLOOKUP(P$1,Metadata!$A$2:$A1000,Metadata!$B$2:$B1000))),P$1,"""")"),"")</f>
        <v/>
      </c>
      <c r="Q118" s="34" t="str">
        <f>IFERROR(__xludf.DUMMYFUNCTION("IF(IF(Q$1="""","""",REGEXMATCH(LOWER($E118),XLOOKUP(Q$1,Metadata!$A$2:$A1000,Metadata!$B$2:$B1000))),Q$1,"""")"),"")</f>
        <v/>
      </c>
      <c r="R118" s="34" t="str">
        <f>IFERROR(__xludf.DUMMYFUNCTION("IF(IF(R$1="""","""",REGEXMATCH(LOWER($E118),XLOOKUP(R$1,Metadata!$A$2:$A1000,Metadata!$B$2:$B1000))),R$1,"""")"),"")</f>
        <v/>
      </c>
      <c r="S118" s="34" t="str">
        <f>IFERROR(__xludf.DUMMYFUNCTION("IF(IF(S$1="""","""",REGEXMATCH(LOWER($E118),XLOOKUP(S$1,Metadata!$A$2:$A1000,Metadata!$B$2:$B1000))),S$1,"""")"),"")</f>
        <v/>
      </c>
      <c r="T118" s="34" t="str">
        <f>IFERROR(__xludf.DUMMYFUNCTION("IF(IF(T$1="""","""",REGEXMATCH(LOWER($E118),XLOOKUP(T$1,Metadata!$A$2:$A1000,Metadata!$B$2:$B1000))),T$1,"""")"),"")</f>
        <v/>
      </c>
      <c r="U118" s="34" t="str">
        <f>IFERROR(__xludf.DUMMYFUNCTION("IF(IF(U$1="""","""",REGEXMATCH(LOWER($E118),XLOOKUP(U$1,Metadata!$A$2:$A1000,Metadata!$B$2:$B1000))),U$1,"""")"),"")</f>
        <v/>
      </c>
      <c r="V118" s="34" t="str">
        <f>IFERROR(__xludf.DUMMYFUNCTION("IF(IF(V$1="""","""",REGEXMATCH(LOWER($E118),XLOOKUP(V$1,Metadata!$A$2:$A1000,Metadata!$B$2:$B1000))),V$1,"""")"),"")</f>
        <v/>
      </c>
      <c r="W118" s="34" t="str">
        <f>IFERROR(__xludf.DUMMYFUNCTION("IF(IF(W$1="""","""",REGEXMATCH(LOWER($E118),XLOOKUP(W$1,Metadata!$A$2:$A1000,Metadata!$B$2:$B1000))),W$1,"""")"),"")</f>
        <v/>
      </c>
      <c r="X118" s="34" t="str">
        <f>IFERROR(__xludf.DUMMYFUNCTION("IF(IF(X$1="""","""",REGEXMATCH(LOWER($E118),XLOOKUP(X$1,Metadata!$A$2:$A1000,Metadata!$B$2:$B1000))),X$1,"""")"),"")</f>
        <v/>
      </c>
      <c r="Y118" s="34" t="str">
        <f>IFERROR(__xludf.DUMMYFUNCTION("IF(IF(Y$1="""","""",REGEXMATCH(LOWER($E118),XLOOKUP(Y$1,Metadata!$A$2:$A1000,Metadata!$B$2:$B1000))),Y$1,"""")"),"")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I119">XLOOKUP($A119,Cards!$A$2:$A1000,Cards!$B$2:$I1000,"")</f>
        <v>Elemental</v>
      </c>
      <c r="C119" s="34">
        <v>2.0</v>
      </c>
      <c r="D119" s="34" t="s">
        <v>408</v>
      </c>
      <c r="E119" s="34" t="s">
        <v>789</v>
      </c>
      <c r="F119" s="34" t="s">
        <v>790</v>
      </c>
      <c r="G119" s="34">
        <v>5.0</v>
      </c>
      <c r="H119" s="34" t="s">
        <v>571</v>
      </c>
      <c r="I119" s="34" t="s">
        <v>32</v>
      </c>
      <c r="J119" s="34">
        <f>IFERROR(__xludf.DUMMYFUNCTION("LEN(REGEXREPLACE(XLOOKUP($A119,Cards!$A$2:$A1000,Cards!$H$2:$H1000,""""),"",\s"",""""))"),6.0)</f>
        <v>6</v>
      </c>
      <c r="K119" s="34" t="str">
        <f t="shared" si="1"/>
        <v>           Move    </v>
      </c>
      <c r="L119" s="34" t="str">
        <f>IFERROR(__xludf.DUMMYFUNCTION("IF(IF(L$1="""","""",REGEXMATCH(LOWER($E119),XLOOKUP(L$1,Metadata!$A$2:$A1000,Metadata!$B$2:$B1000))),L$1,"""")"),"")</f>
        <v/>
      </c>
      <c r="M119" s="34" t="str">
        <f>IFERROR(__xludf.DUMMYFUNCTION("IF(IF(M$1="""","""",REGEXMATCH(LOWER($E119),XLOOKUP(M$1,Metadata!$A$2:$A1000,Metadata!$B$2:$B1000))),M$1,"""")"),"")</f>
        <v/>
      </c>
      <c r="N119" s="34" t="str">
        <f>IFERROR(__xludf.DUMMYFUNCTION("IF(IF(N$1="""","""",REGEXMATCH(LOWER($E119),XLOOKUP(N$1,Metadata!$A$2:$A1000,Metadata!$B$2:$B1000))),N$1,"""")"),"")</f>
        <v/>
      </c>
      <c r="O119" s="34" t="str">
        <f>IFERROR(__xludf.DUMMYFUNCTION("IF(IF(O$1="""","""",REGEXMATCH(LOWER($E119),XLOOKUP(O$1,Metadata!$A$2:$A1000,Metadata!$B$2:$B1000))),O$1,"""")"),"")</f>
        <v/>
      </c>
      <c r="P119" s="34" t="str">
        <f>IFERROR(__xludf.DUMMYFUNCTION("IF(IF(P$1="""","""",REGEXMATCH(LOWER($E119),XLOOKUP(P$1,Metadata!$A$2:$A1000,Metadata!$B$2:$B1000))),P$1,"""")"),"")</f>
        <v/>
      </c>
      <c r="Q119" s="34" t="str">
        <f>IFERROR(__xludf.DUMMYFUNCTION("IF(IF(Q$1="""","""",REGEXMATCH(LOWER($E119),XLOOKUP(Q$1,Metadata!$A$2:$A1000,Metadata!$B$2:$B1000))),Q$1,"""")"),"")</f>
        <v/>
      </c>
      <c r="R119" s="34" t="str">
        <f>IFERROR(__xludf.DUMMYFUNCTION("IF(IF(R$1="""","""",REGEXMATCH(LOWER($E119),XLOOKUP(R$1,Metadata!$A$2:$A1000,Metadata!$B$2:$B1000))),R$1,"""")"),"")</f>
        <v/>
      </c>
      <c r="S119" s="34" t="str">
        <f>IFERROR(__xludf.DUMMYFUNCTION("IF(IF(S$1="""","""",REGEXMATCH(LOWER($E119),XLOOKUP(S$1,Metadata!$A$2:$A1000,Metadata!$B$2:$B1000))),S$1,"""")"),"")</f>
        <v/>
      </c>
      <c r="T119" s="34" t="str">
        <f>IFERROR(__xludf.DUMMYFUNCTION("IF(IF(T$1="""","""",REGEXMATCH(LOWER($E119),XLOOKUP(T$1,Metadata!$A$2:$A1000,Metadata!$B$2:$B1000))),T$1,"""")"),"")</f>
        <v/>
      </c>
      <c r="U119" s="34" t="str">
        <f>IFERROR(__xludf.DUMMYFUNCTION("IF(IF(U$1="""","""",REGEXMATCH(LOWER($E119),XLOOKUP(U$1,Metadata!$A$2:$A1000,Metadata!$B$2:$B1000))),U$1,"""")"),"")</f>
        <v/>
      </c>
      <c r="V119" s="34" t="str">
        <f>IFERROR(__xludf.DUMMYFUNCTION("IF(IF(V$1="""","""",REGEXMATCH(LOWER($E119),XLOOKUP(V$1,Metadata!$A$2:$A1000,Metadata!$B$2:$B1000))),V$1,"""")"),"")</f>
        <v/>
      </c>
      <c r="W119" s="34" t="str">
        <f>IFERROR(__xludf.DUMMYFUNCTION("IF(IF(W$1="""","""",REGEXMATCH(LOWER($E119),XLOOKUP(W$1,Metadata!$A$2:$A1000,Metadata!$B$2:$B1000))),W$1,"""")"),"Move")</f>
        <v>Move</v>
      </c>
      <c r="X119" s="34" t="str">
        <f>IFERROR(__xludf.DUMMYFUNCTION("IF(IF(X$1="""","""",REGEXMATCH(LOWER($E119),XLOOKUP(X$1,Metadata!$A$2:$A1000,Metadata!$B$2:$B1000))),X$1,"""")"),"")</f>
        <v/>
      </c>
      <c r="Y119" s="34" t="str">
        <f>IFERROR(__xludf.DUMMYFUNCTION("IF(IF(Y$1="""","""",REGEXMATCH(LOWER($E119),XLOOKUP(Y$1,Metadata!$A$2:$A1000,Metadata!$B$2:$B1000))),Y$1,"""")"),"")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I120">XLOOKUP($A120,Cards!$A$2:$A1000,Cards!$B$2:$I1000,"")</f>
        <v>Elemental</v>
      </c>
      <c r="C120" s="34">
        <v>2.0</v>
      </c>
      <c r="D120" s="34" t="s">
        <v>792</v>
      </c>
      <c r="E120" s="34" t="s">
        <v>793</v>
      </c>
      <c r="F120" s="34" t="s">
        <v>794</v>
      </c>
      <c r="G120" s="34">
        <v>4.0</v>
      </c>
      <c r="H120" s="34" t="s">
        <v>638</v>
      </c>
      <c r="I120" s="34" t="s">
        <v>70</v>
      </c>
      <c r="J120" s="34">
        <f>IFERROR(__xludf.DUMMYFUNCTION("LEN(REGEXREPLACE(XLOOKUP($A120,Cards!$A$2:$A1000,Cards!$H$2:$H1000,""""),"",\s"",""""))"),4.0)</f>
        <v>4</v>
      </c>
      <c r="K120" s="34" t="str">
        <f t="shared" si="1"/>
        <v>           Move    </v>
      </c>
      <c r="L120" s="34" t="str">
        <f>IFERROR(__xludf.DUMMYFUNCTION("IF(IF(L$1="""","""",REGEXMATCH(LOWER($E120),XLOOKUP(L$1,Metadata!$A$2:$A1000,Metadata!$B$2:$B1000))),L$1,"""")"),"")</f>
        <v/>
      </c>
      <c r="M120" s="34" t="str">
        <f>IFERROR(__xludf.DUMMYFUNCTION("IF(IF(M$1="""","""",REGEXMATCH(LOWER($E120),XLOOKUP(M$1,Metadata!$A$2:$A1000,Metadata!$B$2:$B1000))),M$1,"""")"),"")</f>
        <v/>
      </c>
      <c r="N120" s="34" t="str">
        <f>IFERROR(__xludf.DUMMYFUNCTION("IF(IF(N$1="""","""",REGEXMATCH(LOWER($E120),XLOOKUP(N$1,Metadata!$A$2:$A1000,Metadata!$B$2:$B1000))),N$1,"""")"),"")</f>
        <v/>
      </c>
      <c r="O120" s="34" t="str">
        <f>IFERROR(__xludf.DUMMYFUNCTION("IF(IF(O$1="""","""",REGEXMATCH(LOWER($E120),XLOOKUP(O$1,Metadata!$A$2:$A1000,Metadata!$B$2:$B1000))),O$1,"""")"),"")</f>
        <v/>
      </c>
      <c r="P120" s="34" t="str">
        <f>IFERROR(__xludf.DUMMYFUNCTION("IF(IF(P$1="""","""",REGEXMATCH(LOWER($E120),XLOOKUP(P$1,Metadata!$A$2:$A1000,Metadata!$B$2:$B1000))),P$1,"""")"),"")</f>
        <v/>
      </c>
      <c r="Q120" s="34" t="str">
        <f>IFERROR(__xludf.DUMMYFUNCTION("IF(IF(Q$1="""","""",REGEXMATCH(LOWER($E120),XLOOKUP(Q$1,Metadata!$A$2:$A1000,Metadata!$B$2:$B1000))),Q$1,"""")"),"")</f>
        <v/>
      </c>
      <c r="R120" s="34" t="str">
        <f>IFERROR(__xludf.DUMMYFUNCTION("IF(IF(R$1="""","""",REGEXMATCH(LOWER($E120),XLOOKUP(R$1,Metadata!$A$2:$A1000,Metadata!$B$2:$B1000))),R$1,"""")"),"")</f>
        <v/>
      </c>
      <c r="S120" s="34" t="str">
        <f>IFERROR(__xludf.DUMMYFUNCTION("IF(IF(S$1="""","""",REGEXMATCH(LOWER($E120),XLOOKUP(S$1,Metadata!$A$2:$A1000,Metadata!$B$2:$B1000))),S$1,"""")"),"")</f>
        <v/>
      </c>
      <c r="T120" s="34" t="str">
        <f>IFERROR(__xludf.DUMMYFUNCTION("IF(IF(T$1="""","""",REGEXMATCH(LOWER($E120),XLOOKUP(T$1,Metadata!$A$2:$A1000,Metadata!$B$2:$B1000))),T$1,"""")"),"")</f>
        <v/>
      </c>
      <c r="U120" s="34" t="str">
        <f>IFERROR(__xludf.DUMMYFUNCTION("IF(IF(U$1="""","""",REGEXMATCH(LOWER($E120),XLOOKUP(U$1,Metadata!$A$2:$A1000,Metadata!$B$2:$B1000))),U$1,"""")"),"")</f>
        <v/>
      </c>
      <c r="V120" s="34" t="str">
        <f>IFERROR(__xludf.DUMMYFUNCTION("IF(IF(V$1="""","""",REGEXMATCH(LOWER($E120),XLOOKUP(V$1,Metadata!$A$2:$A1000,Metadata!$B$2:$B1000))),V$1,"""")"),"")</f>
        <v/>
      </c>
      <c r="W120" s="34" t="str">
        <f>IFERROR(__xludf.DUMMYFUNCTION("IF(IF(W$1="""","""",REGEXMATCH(LOWER($E120),XLOOKUP(W$1,Metadata!$A$2:$A1000,Metadata!$B$2:$B1000))),W$1,"""")"),"Move")</f>
        <v>Move</v>
      </c>
      <c r="X120" s="34" t="str">
        <f>IFERROR(__xludf.DUMMYFUNCTION("IF(IF(X$1="""","""",REGEXMATCH(LOWER($E120),XLOOKUP(X$1,Metadata!$A$2:$A1000,Metadata!$B$2:$B1000))),X$1,"""")"),"")</f>
        <v/>
      </c>
      <c r="Y120" s="34" t="str">
        <f>IFERROR(__xludf.DUMMYFUNCTION("IF(IF(Y$1="""","""",REGEXMATCH(LOWER($E120),XLOOKUP(Y$1,Metadata!$A$2:$A1000,Metadata!$B$2:$B1000))),Y$1,"""")"),"")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I121">XLOOKUP($A121,Cards!$A$2:$A1000,Cards!$B$2:$I1000,"")</f>
        <v>Elemental</v>
      </c>
      <c r="C121" s="34">
        <v>2.0</v>
      </c>
      <c r="D121" s="34" t="s">
        <v>387</v>
      </c>
      <c r="E121" s="34" t="s">
        <v>796</v>
      </c>
      <c r="F121" s="34" t="s">
        <v>797</v>
      </c>
      <c r="G121" s="34">
        <v>3.0</v>
      </c>
      <c r="H121" s="34" t="s">
        <v>638</v>
      </c>
      <c r="I121" s="34" t="s">
        <v>70</v>
      </c>
      <c r="J121" s="34">
        <f>IFERROR(__xludf.DUMMYFUNCTION("LEN(REGEXREPLACE(XLOOKUP($A121,Cards!$A$2:$A1000,Cards!$H$2:$H1000,""""),"",\s"",""""))"),4.0)</f>
        <v>4</v>
      </c>
      <c r="K121" s="34" t="str">
        <f t="shared" si="1"/>
        <v> Elemental              </v>
      </c>
      <c r="L121" s="34" t="str">
        <f>IFERROR(__xludf.DUMMYFUNCTION("IF(IF(L$1="""","""",REGEXMATCH(LOWER($E121),XLOOKUP(L$1,Metadata!$A$2:$A1000,Metadata!$B$2:$B1000))),L$1,"""")"),"")</f>
        <v/>
      </c>
      <c r="M121" s="34" t="str">
        <f>IFERROR(__xludf.DUMMYFUNCTION("IF(IF(M$1="""","""",REGEXMATCH(LOWER($E121),XLOOKUP(M$1,Metadata!$A$2:$A1000,Metadata!$B$2:$B1000))),M$1,"""")"),"Elemental")</f>
        <v>Elemental</v>
      </c>
      <c r="N121" s="34" t="str">
        <f>IFERROR(__xludf.DUMMYFUNCTION("IF(IF(N$1="""","""",REGEXMATCH(LOWER($E121),XLOOKUP(N$1,Metadata!$A$2:$A1000,Metadata!$B$2:$B1000))),N$1,"""")"),"")</f>
        <v/>
      </c>
      <c r="O121" s="34" t="str">
        <f>IFERROR(__xludf.DUMMYFUNCTION("IF(IF(O$1="""","""",REGEXMATCH(LOWER($E121),XLOOKUP(O$1,Metadata!$A$2:$A1000,Metadata!$B$2:$B1000))),O$1,"""")"),"")</f>
        <v/>
      </c>
      <c r="P121" s="34" t="str">
        <f>IFERROR(__xludf.DUMMYFUNCTION("IF(IF(P$1="""","""",REGEXMATCH(LOWER($E121),XLOOKUP(P$1,Metadata!$A$2:$A1000,Metadata!$B$2:$B1000))),P$1,"""")"),"")</f>
        <v/>
      </c>
      <c r="Q121" s="34" t="str">
        <f>IFERROR(__xludf.DUMMYFUNCTION("IF(IF(Q$1="""","""",REGEXMATCH(LOWER($E121),XLOOKUP(Q$1,Metadata!$A$2:$A1000,Metadata!$B$2:$B1000))),Q$1,"""")"),"")</f>
        <v/>
      </c>
      <c r="R121" s="34" t="str">
        <f>IFERROR(__xludf.DUMMYFUNCTION("IF(IF(R$1="""","""",REGEXMATCH(LOWER($E121),XLOOKUP(R$1,Metadata!$A$2:$A1000,Metadata!$B$2:$B1000))),R$1,"""")"),"")</f>
        <v/>
      </c>
      <c r="S121" s="34" t="str">
        <f>IFERROR(__xludf.DUMMYFUNCTION("IF(IF(S$1="""","""",REGEXMATCH(LOWER($E121),XLOOKUP(S$1,Metadata!$A$2:$A1000,Metadata!$B$2:$B1000))),S$1,"""")"),"")</f>
        <v/>
      </c>
      <c r="T121" s="34" t="str">
        <f>IFERROR(__xludf.DUMMYFUNCTION("IF(IF(T$1="""","""",REGEXMATCH(LOWER($E121),XLOOKUP(T$1,Metadata!$A$2:$A1000,Metadata!$B$2:$B1000))),T$1,"""")"),"")</f>
        <v/>
      </c>
      <c r="U121" s="34" t="str">
        <f>IFERROR(__xludf.DUMMYFUNCTION("IF(IF(U$1="""","""",REGEXMATCH(LOWER($E121),XLOOKUP(U$1,Metadata!$A$2:$A1000,Metadata!$B$2:$B1000))),U$1,"""")"),"")</f>
        <v/>
      </c>
      <c r="V121" s="34" t="str">
        <f>IFERROR(__xludf.DUMMYFUNCTION("IF(IF(V$1="""","""",REGEXMATCH(LOWER($E121),XLOOKUP(V$1,Metadata!$A$2:$A1000,Metadata!$B$2:$B1000))),V$1,"""")"),"")</f>
        <v/>
      </c>
      <c r="W121" s="34" t="str">
        <f>IFERROR(__xludf.DUMMYFUNCTION("IF(IF(W$1="""","""",REGEXMATCH(LOWER($E121),XLOOKUP(W$1,Metadata!$A$2:$A1000,Metadata!$B$2:$B1000))),W$1,"""")"),"")</f>
        <v/>
      </c>
      <c r="X121" s="34" t="str">
        <f>IFERROR(__xludf.DUMMYFUNCTION("IF(IF(X$1="""","""",REGEXMATCH(LOWER($E121),XLOOKUP(X$1,Metadata!$A$2:$A1000,Metadata!$B$2:$B1000))),X$1,"""")"),"")</f>
        <v/>
      </c>
      <c r="Y121" s="34" t="str">
        <f>IFERROR(__xludf.DUMMYFUNCTION("IF(IF(Y$1="""","""",REGEXMATCH(LOWER($E121),XLOOKUP(Y$1,Metadata!$A$2:$A1000,Metadata!$B$2:$B1000))),Y$1,"""")"),"")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I122">XLOOKUP($A122,Cards!$A$2:$A1000,Cards!$B$2:$I1000,"")</f>
        <v>Elemental</v>
      </c>
      <c r="C122" s="34">
        <v>1.0</v>
      </c>
      <c r="D122" s="34" t="s">
        <v>433</v>
      </c>
      <c r="E122" s="34" t="s">
        <v>799</v>
      </c>
      <c r="F122" s="34" t="s">
        <v>800</v>
      </c>
      <c r="G122" s="34">
        <v>5.0</v>
      </c>
      <c r="H122" s="34" t="s">
        <v>526</v>
      </c>
      <c r="I122" s="34" t="s">
        <v>70</v>
      </c>
      <c r="J122" s="34">
        <f>IFERROR(__xludf.DUMMYFUNCTION("LEN(REGEXREPLACE(XLOOKUP($A122,Cards!$A$2:$A1000,Cards!$H$2:$H1000,""""),"",\s"",""""))"),5.0)</f>
        <v>5</v>
      </c>
      <c r="K122" s="34" t="str">
        <f t="shared" si="1"/>
        <v>       Control  Aggro Empty-Crystal  Ambush   </v>
      </c>
      <c r="L122" s="34" t="str">
        <f>IFERROR(__xludf.DUMMYFUNCTION("IF(IF(L$1="""","""",REGEXMATCH(LOWER($E122),XLOOKUP(L$1,Metadata!$A$2:$A1000,Metadata!$B$2:$B1000))),L$1,"""")"),"")</f>
        <v/>
      </c>
      <c r="M122" s="34" t="str">
        <f>IFERROR(__xludf.DUMMYFUNCTION("IF(IF(M$1="""","""",REGEXMATCH(LOWER($E122),XLOOKUP(M$1,Metadata!$A$2:$A1000,Metadata!$B$2:$B1000))),M$1,"""")"),"")</f>
        <v/>
      </c>
      <c r="N122" s="34" t="str">
        <f>IFERROR(__xludf.DUMMYFUNCTION("IF(IF(N$1="""","""",REGEXMATCH(LOWER($E122),XLOOKUP(N$1,Metadata!$A$2:$A1000,Metadata!$B$2:$B1000))),N$1,"""")"),"")</f>
        <v/>
      </c>
      <c r="O122" s="34" t="str">
        <f>IFERROR(__xludf.DUMMYFUNCTION("IF(IF(O$1="""","""",REGEXMATCH(LOWER($E122),XLOOKUP(O$1,Metadata!$A$2:$A1000,Metadata!$B$2:$B1000))),O$1,"""")"),"")</f>
        <v/>
      </c>
      <c r="P122" s="34" t="str">
        <f>IFERROR(__xludf.DUMMYFUNCTION("IF(IF(P$1="""","""",REGEXMATCH(LOWER($E122),XLOOKUP(P$1,Metadata!$A$2:$A1000,Metadata!$B$2:$B1000))),P$1,"""")"),"")</f>
        <v/>
      </c>
      <c r="Q122" s="34" t="str">
        <f>IFERROR(__xludf.DUMMYFUNCTION("IF(IF(Q$1="""","""",REGEXMATCH(LOWER($E122),XLOOKUP(Q$1,Metadata!$A$2:$A1000,Metadata!$B$2:$B1000))),Q$1,"""")"),"")</f>
        <v/>
      </c>
      <c r="R122" s="34" t="str">
        <f>IFERROR(__xludf.DUMMYFUNCTION("IF(IF(R$1="""","""",REGEXMATCH(LOWER($E122),XLOOKUP(R$1,Metadata!$A$2:$A1000,Metadata!$B$2:$B1000))),R$1,"""")"),"")</f>
        <v/>
      </c>
      <c r="S122" s="34" t="str">
        <f>IFERROR(__xludf.DUMMYFUNCTION("IF(IF(S$1="""","""",REGEXMATCH(LOWER($E122),XLOOKUP(S$1,Metadata!$A$2:$A1000,Metadata!$B$2:$B1000))),S$1,"""")"),"Control")</f>
        <v>Control</v>
      </c>
      <c r="T122" s="34" t="str">
        <f>IFERROR(__xludf.DUMMYFUNCTION("IF(IF(T$1="""","""",REGEXMATCH(LOWER($E122),XLOOKUP(T$1,Metadata!$A$2:$A1000,Metadata!$B$2:$B1000))),T$1,"""")"),"")</f>
        <v/>
      </c>
      <c r="U122" s="34" t="str">
        <f>IFERROR(__xludf.DUMMYFUNCTION("IF(IF(U$1="""","""",REGEXMATCH(LOWER($E122),XLOOKUP(U$1,Metadata!$A$2:$A1000,Metadata!$B$2:$B1000))),U$1,"""")"),"Aggro")</f>
        <v>Aggro</v>
      </c>
      <c r="V122" s="34" t="str">
        <f>IFERROR(__xludf.DUMMYFUNCTION("IF(IF(V$1="""","""",REGEXMATCH(LOWER($E122),XLOOKUP(V$1,Metadata!$A$2:$A1000,Metadata!$B$2:$B1000))),V$1,"""")"),"Empty-Crystal")</f>
        <v>Empty-Crystal</v>
      </c>
      <c r="W122" s="34" t="str">
        <f>IFERROR(__xludf.DUMMYFUNCTION("IF(IF(W$1="""","""",REGEXMATCH(LOWER($E122),XLOOKUP(W$1,Metadata!$A$2:$A1000,Metadata!$B$2:$B1000))),W$1,"""")"),"")</f>
        <v/>
      </c>
      <c r="X122" s="34" t="str">
        <f>IFERROR(__xludf.DUMMYFUNCTION("IF(IF(X$1="""","""",REGEXMATCH(LOWER($E122),XLOOKUP(X$1,Metadata!$A$2:$A1000,Metadata!$B$2:$B1000))),X$1,"""")"),"Ambush")</f>
        <v>Ambush</v>
      </c>
      <c r="Y122" s="34" t="str">
        <f>IFERROR(__xludf.DUMMYFUNCTION("IF(IF(Y$1="""","""",REGEXMATCH(LOWER($E122),XLOOKUP(Y$1,Metadata!$A$2:$A1000,Metadata!$B$2:$B1000))),Y$1,"""")"),"")</f>
        <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I123">XLOOKUP($A123,Cards!$A$2:$A1000,Cards!$B$2:$I1000,"")</f>
        <v>Elemental</v>
      </c>
      <c r="C123" s="34">
        <v>2.0</v>
      </c>
      <c r="D123" s="34" t="s">
        <v>813</v>
      </c>
      <c r="E123" s="34" t="s">
        <v>814</v>
      </c>
      <c r="F123" s="34"/>
      <c r="G123" s="34">
        <v>3.0</v>
      </c>
      <c r="H123" s="34" t="s">
        <v>522</v>
      </c>
      <c r="I123" s="34" t="s">
        <v>32</v>
      </c>
      <c r="J123" s="34">
        <f>IFERROR(__xludf.DUMMYFUNCTION("LEN(REGEXREPLACE(XLOOKUP($A123,Cards!$A$2:$A1000,Cards!$H$2:$H1000,""""),"",\s"",""""))"),4.0)</f>
        <v>4</v>
      </c>
      <c r="K123" s="34" t="str">
        <f t="shared" si="1"/>
        <v>      Ramp Control     Ambush   </v>
      </c>
      <c r="L123" s="34" t="str">
        <f>IFERROR(__xludf.DUMMYFUNCTION("IF(IF(L$1="""","""",REGEXMATCH(LOWER($E123),XLOOKUP(L$1,Metadata!$A$2:$A1000,Metadata!$B$2:$B1000))),L$1,"""")"),"")</f>
        <v/>
      </c>
      <c r="M123" s="34" t="str">
        <f>IFERROR(__xludf.DUMMYFUNCTION("IF(IF(M$1="""","""",REGEXMATCH(LOWER($E123),XLOOKUP(M$1,Metadata!$A$2:$A1000,Metadata!$B$2:$B1000))),M$1,"""")"),"")</f>
        <v/>
      </c>
      <c r="N123" s="34" t="str">
        <f>IFERROR(__xludf.DUMMYFUNCTION("IF(IF(N$1="""","""",REGEXMATCH(LOWER($E123),XLOOKUP(N$1,Metadata!$A$2:$A1000,Metadata!$B$2:$B1000))),N$1,"""")"),"")</f>
        <v/>
      </c>
      <c r="O123" s="34" t="str">
        <f>IFERROR(__xludf.DUMMYFUNCTION("IF(IF(O$1="""","""",REGEXMATCH(LOWER($E123),XLOOKUP(O$1,Metadata!$A$2:$A1000,Metadata!$B$2:$B1000))),O$1,"""")"),"")</f>
        <v/>
      </c>
      <c r="P123" s="34" t="str">
        <f>IFERROR(__xludf.DUMMYFUNCTION("IF(IF(P$1="""","""",REGEXMATCH(LOWER($E123),XLOOKUP(P$1,Metadata!$A$2:$A1000,Metadata!$B$2:$B1000))),P$1,"""")"),"")</f>
        <v/>
      </c>
      <c r="Q123" s="34" t="str">
        <f>IFERROR(__xludf.DUMMYFUNCTION("IF(IF(Q$1="""","""",REGEXMATCH(LOWER($E123),XLOOKUP(Q$1,Metadata!$A$2:$A1000,Metadata!$B$2:$B1000))),Q$1,"""")"),"")</f>
        <v/>
      </c>
      <c r="R123" s="34" t="str">
        <f>IFERROR(__xludf.DUMMYFUNCTION("IF(IF(R$1="""","""",REGEXMATCH(LOWER($E123),XLOOKUP(R$1,Metadata!$A$2:$A1000,Metadata!$B$2:$B1000))),R$1,"""")"),"Ramp")</f>
        <v>Ramp</v>
      </c>
      <c r="S123" s="34" t="str">
        <f>IFERROR(__xludf.DUMMYFUNCTION("IF(IF(S$1="""","""",REGEXMATCH(LOWER($E123),XLOOKUP(S$1,Metadata!$A$2:$A1000,Metadata!$B$2:$B1000))),S$1,"""")"),"Control")</f>
        <v>Control</v>
      </c>
      <c r="T123" s="34" t="str">
        <f>IFERROR(__xludf.DUMMYFUNCTION("IF(IF(T$1="""","""",REGEXMATCH(LOWER($E123),XLOOKUP(T$1,Metadata!$A$2:$A1000,Metadata!$B$2:$B1000))),T$1,"""")"),"")</f>
        <v/>
      </c>
      <c r="U123" s="34" t="str">
        <f>IFERROR(__xludf.DUMMYFUNCTION("IF(IF(U$1="""","""",REGEXMATCH(LOWER($E123),XLOOKUP(U$1,Metadata!$A$2:$A1000,Metadata!$B$2:$B1000))),U$1,"""")"),"")</f>
        <v/>
      </c>
      <c r="V123" s="34" t="str">
        <f>IFERROR(__xludf.DUMMYFUNCTION("IF(IF(V$1="""","""",REGEXMATCH(LOWER($E123),XLOOKUP(V$1,Metadata!$A$2:$A1000,Metadata!$B$2:$B1000))),V$1,"""")"),"")</f>
        <v/>
      </c>
      <c r="W123" s="34" t="str">
        <f>IFERROR(__xludf.DUMMYFUNCTION("IF(IF(W$1="""","""",REGEXMATCH(LOWER($E123),XLOOKUP(W$1,Metadata!$A$2:$A1000,Metadata!$B$2:$B1000))),W$1,"""")"),"")</f>
        <v/>
      </c>
      <c r="X123" s="34" t="str">
        <f>IFERROR(__xludf.DUMMYFUNCTION("IF(IF(X$1="""","""",REGEXMATCH(LOWER($E123),XLOOKUP(X$1,Metadata!$A$2:$A1000,Metadata!$B$2:$B1000))),X$1,"""")"),"Ambush")</f>
        <v>Ambush</v>
      </c>
      <c r="Y123" s="34" t="str">
        <f>IFERROR(__xludf.DUMMYFUNCTION("IF(IF(Y$1="""","""",REGEXMATCH(LOWER($E123),XLOOKUP(Y$1,Metadata!$A$2:$A1000,Metadata!$B$2:$B1000))),Y$1,"""")"),"")</f>
        <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I124">XLOOKUP($A124,Cards!$A$2:$A1000,Cards!$B$2:$I1000,"")</f>
        <v>Elemental</v>
      </c>
      <c r="C124" s="34">
        <v>2.0</v>
      </c>
      <c r="D124" s="34" t="s">
        <v>238</v>
      </c>
      <c r="E124" s="34" t="s">
        <v>816</v>
      </c>
      <c r="F124" s="34" t="s">
        <v>817</v>
      </c>
      <c r="G124" s="34">
        <v>3.0</v>
      </c>
      <c r="H124" s="34" t="s">
        <v>421</v>
      </c>
      <c r="I124" s="34" t="s">
        <v>26</v>
      </c>
      <c r="J124" s="34">
        <f>IFERROR(__xludf.DUMMYFUNCTION("LEN(REGEXREPLACE(XLOOKUP($A124,Cards!$A$2:$A1000,Cards!$H$2:$H1000,""""),"",\s"",""""))"),3.0)</f>
        <v>3</v>
      </c>
      <c r="K124" s="34" t="str">
        <f t="shared" si="1"/>
        <v>       Control     Ambush   </v>
      </c>
      <c r="L124" s="34" t="str">
        <f>IFERROR(__xludf.DUMMYFUNCTION("IF(IF(L$1="""","""",REGEXMATCH(LOWER($E124),XLOOKUP(L$1,Metadata!$A$2:$A1000,Metadata!$B$2:$B1000))),L$1,"""")"),"")</f>
        <v/>
      </c>
      <c r="M124" s="34" t="str">
        <f>IFERROR(__xludf.DUMMYFUNCTION("IF(IF(M$1="""","""",REGEXMATCH(LOWER($E124),XLOOKUP(M$1,Metadata!$A$2:$A1000,Metadata!$B$2:$B1000))),M$1,"""")"),"")</f>
        <v/>
      </c>
      <c r="N124" s="34" t="str">
        <f>IFERROR(__xludf.DUMMYFUNCTION("IF(IF(N$1="""","""",REGEXMATCH(LOWER($E124),XLOOKUP(N$1,Metadata!$A$2:$A1000,Metadata!$B$2:$B1000))),N$1,"""")"),"")</f>
        <v/>
      </c>
      <c r="O124" s="34" t="str">
        <f>IFERROR(__xludf.DUMMYFUNCTION("IF(IF(O$1="""","""",REGEXMATCH(LOWER($E124),XLOOKUP(O$1,Metadata!$A$2:$A1000,Metadata!$B$2:$B1000))),O$1,"""")"),"")</f>
        <v/>
      </c>
      <c r="P124" s="34" t="str">
        <f>IFERROR(__xludf.DUMMYFUNCTION("IF(IF(P$1="""","""",REGEXMATCH(LOWER($E124),XLOOKUP(P$1,Metadata!$A$2:$A1000,Metadata!$B$2:$B1000))),P$1,"""")"),"")</f>
        <v/>
      </c>
      <c r="Q124" s="34" t="str">
        <f>IFERROR(__xludf.DUMMYFUNCTION("IF(IF(Q$1="""","""",REGEXMATCH(LOWER($E124),XLOOKUP(Q$1,Metadata!$A$2:$A1000,Metadata!$B$2:$B1000))),Q$1,"""")"),"")</f>
        <v/>
      </c>
      <c r="R124" s="34" t="str">
        <f>IFERROR(__xludf.DUMMYFUNCTION("IF(IF(R$1="""","""",REGEXMATCH(LOWER($E124),XLOOKUP(R$1,Metadata!$A$2:$A1000,Metadata!$B$2:$B1000))),R$1,"""")"),"")</f>
        <v/>
      </c>
      <c r="S124" s="34" t="str">
        <f>IFERROR(__xludf.DUMMYFUNCTION("IF(IF(S$1="""","""",REGEXMATCH(LOWER($E124),XLOOKUP(S$1,Metadata!$A$2:$A1000,Metadata!$B$2:$B1000))),S$1,"""")"),"Control")</f>
        <v>Control</v>
      </c>
      <c r="T124" s="34" t="str">
        <f>IFERROR(__xludf.DUMMYFUNCTION("IF(IF(T$1="""","""",REGEXMATCH(LOWER($E124),XLOOKUP(T$1,Metadata!$A$2:$A1000,Metadata!$B$2:$B1000))),T$1,"""")"),"")</f>
        <v/>
      </c>
      <c r="U124" s="34" t="str">
        <f>IFERROR(__xludf.DUMMYFUNCTION("IF(IF(U$1="""","""",REGEXMATCH(LOWER($E124),XLOOKUP(U$1,Metadata!$A$2:$A1000,Metadata!$B$2:$B1000))),U$1,"""")"),"")</f>
        <v/>
      </c>
      <c r="V124" s="34" t="str">
        <f>IFERROR(__xludf.DUMMYFUNCTION("IF(IF(V$1="""","""",REGEXMATCH(LOWER($E124),XLOOKUP(V$1,Metadata!$A$2:$A1000,Metadata!$B$2:$B1000))),V$1,"""")"),"")</f>
        <v/>
      </c>
      <c r="W124" s="34" t="str">
        <f>IFERROR(__xludf.DUMMYFUNCTION("IF(IF(W$1="""","""",REGEXMATCH(LOWER($E124),XLOOKUP(W$1,Metadata!$A$2:$A1000,Metadata!$B$2:$B1000))),W$1,"""")"),"")</f>
        <v/>
      </c>
      <c r="X124" s="34" t="str">
        <f>IFERROR(__xludf.DUMMYFUNCTION("IF(IF(X$1="""","""",REGEXMATCH(LOWER($E124),XLOOKUP(X$1,Metadata!$A$2:$A1000,Metadata!$B$2:$B1000))),X$1,"""")"),"Ambush")</f>
        <v>Ambush</v>
      </c>
      <c r="Y124" s="34" t="str">
        <f>IFERROR(__xludf.DUMMYFUNCTION("IF(IF(Y$1="""","""",REGEXMATCH(LOWER($E124),XLOOKUP(Y$1,Metadata!$A$2:$A1000,Metadata!$B$2:$B1000))),Y$1,"""")"),"")</f>
        <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I125">XLOOKUP($A125,Cards!$A$2:$A1000,Cards!$B$2:$I1000,"")</f>
        <v>Elemental</v>
      </c>
      <c r="C125" s="34">
        <v>1.0</v>
      </c>
      <c r="D125" s="34" t="s">
        <v>408</v>
      </c>
      <c r="E125" s="34" t="s">
        <v>819</v>
      </c>
      <c r="F125" s="34" t="s">
        <v>389</v>
      </c>
      <c r="G125" s="34">
        <v>3.0</v>
      </c>
      <c r="H125" s="34" t="s">
        <v>638</v>
      </c>
      <c r="I125" s="34" t="s">
        <v>70</v>
      </c>
      <c r="J125" s="34">
        <f>IFERROR(__xludf.DUMMYFUNCTION("LEN(REGEXREPLACE(XLOOKUP($A125,Cards!$A$2:$A1000,Cards!$H$2:$H1000,""""),"",\s"",""""))"),4.0)</f>
        <v>4</v>
      </c>
      <c r="K125" s="34" t="str">
        <f t="shared" si="1"/>
        <v>           Move    </v>
      </c>
      <c r="L125" s="34" t="str">
        <f>IFERROR(__xludf.DUMMYFUNCTION("IF(IF(L$1="""","""",REGEXMATCH(LOWER($E125),XLOOKUP(L$1,Metadata!$A$2:$A1000,Metadata!$B$2:$B1000))),L$1,"""")"),"")</f>
        <v/>
      </c>
      <c r="M125" s="34" t="str">
        <f>IFERROR(__xludf.DUMMYFUNCTION("IF(IF(M$1="""","""",REGEXMATCH(LOWER($E125),XLOOKUP(M$1,Metadata!$A$2:$A1000,Metadata!$B$2:$B1000))),M$1,"""")"),"")</f>
        <v/>
      </c>
      <c r="N125" s="34" t="str">
        <f>IFERROR(__xludf.DUMMYFUNCTION("IF(IF(N$1="""","""",REGEXMATCH(LOWER($E125),XLOOKUP(N$1,Metadata!$A$2:$A1000,Metadata!$B$2:$B1000))),N$1,"""")"),"")</f>
        <v/>
      </c>
      <c r="O125" s="34" t="str">
        <f>IFERROR(__xludf.DUMMYFUNCTION("IF(IF(O$1="""","""",REGEXMATCH(LOWER($E125),XLOOKUP(O$1,Metadata!$A$2:$A1000,Metadata!$B$2:$B1000))),O$1,"""")"),"")</f>
        <v/>
      </c>
      <c r="P125" s="34" t="str">
        <f>IFERROR(__xludf.DUMMYFUNCTION("IF(IF(P$1="""","""",REGEXMATCH(LOWER($E125),XLOOKUP(P$1,Metadata!$A$2:$A1000,Metadata!$B$2:$B1000))),P$1,"""")"),"")</f>
        <v/>
      </c>
      <c r="Q125" s="34" t="str">
        <f>IFERROR(__xludf.DUMMYFUNCTION("IF(IF(Q$1="""","""",REGEXMATCH(LOWER($E125),XLOOKUP(Q$1,Metadata!$A$2:$A1000,Metadata!$B$2:$B1000))),Q$1,"""")"),"")</f>
        <v/>
      </c>
      <c r="R125" s="34" t="str">
        <f>IFERROR(__xludf.DUMMYFUNCTION("IF(IF(R$1="""","""",REGEXMATCH(LOWER($E125),XLOOKUP(R$1,Metadata!$A$2:$A1000,Metadata!$B$2:$B1000))),R$1,"""")"),"")</f>
        <v/>
      </c>
      <c r="S125" s="34" t="str">
        <f>IFERROR(__xludf.DUMMYFUNCTION("IF(IF(S$1="""","""",REGEXMATCH(LOWER($E125),XLOOKUP(S$1,Metadata!$A$2:$A1000,Metadata!$B$2:$B1000))),S$1,"""")"),"")</f>
        <v/>
      </c>
      <c r="T125" s="34" t="str">
        <f>IFERROR(__xludf.DUMMYFUNCTION("IF(IF(T$1="""","""",REGEXMATCH(LOWER($E125),XLOOKUP(T$1,Metadata!$A$2:$A1000,Metadata!$B$2:$B1000))),T$1,"""")"),"")</f>
        <v/>
      </c>
      <c r="U125" s="34" t="str">
        <f>IFERROR(__xludf.DUMMYFUNCTION("IF(IF(U$1="""","""",REGEXMATCH(LOWER($E125),XLOOKUP(U$1,Metadata!$A$2:$A1000,Metadata!$B$2:$B1000))),U$1,"""")"),"")</f>
        <v/>
      </c>
      <c r="V125" s="34" t="str">
        <f>IFERROR(__xludf.DUMMYFUNCTION("IF(IF(V$1="""","""",REGEXMATCH(LOWER($E125),XLOOKUP(V$1,Metadata!$A$2:$A1000,Metadata!$B$2:$B1000))),V$1,"""")"),"")</f>
        <v/>
      </c>
      <c r="W125" s="34" t="str">
        <f>IFERROR(__xludf.DUMMYFUNCTION("IF(IF(W$1="""","""",REGEXMATCH(LOWER($E125),XLOOKUP(W$1,Metadata!$A$2:$A1000,Metadata!$B$2:$B1000))),W$1,"""")"),"Move")</f>
        <v>Move</v>
      </c>
      <c r="X125" s="34" t="str">
        <f>IFERROR(__xludf.DUMMYFUNCTION("IF(IF(X$1="""","""",REGEXMATCH(LOWER($E125),XLOOKUP(X$1,Metadata!$A$2:$A1000,Metadata!$B$2:$B1000))),X$1,"""")"),"")</f>
        <v/>
      </c>
      <c r="Y125" s="34" t="str">
        <f>IFERROR(__xludf.DUMMYFUNCTION("IF(IF(Y$1="""","""",REGEXMATCH(LOWER($E125),XLOOKUP(Y$1,Metadata!$A$2:$A1000,Metadata!$B$2:$B1000))),Y$1,"""")"),"")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I126">XLOOKUP($A126,Cards!$A$2:$A1000,Cards!$B$2:$I1000,"")</f>
        <v>Elemental</v>
      </c>
      <c r="C126" s="34">
        <v>2.0</v>
      </c>
      <c r="D126" s="34" t="s">
        <v>588</v>
      </c>
      <c r="E126" s="34" t="s">
        <v>832</v>
      </c>
      <c r="F126" s="34" t="s">
        <v>389</v>
      </c>
      <c r="G126" s="34">
        <v>4.0</v>
      </c>
      <c r="H126" s="34" t="s">
        <v>431</v>
      </c>
      <c r="I126" s="34" t="s">
        <v>70</v>
      </c>
      <c r="J126" s="34">
        <f>IFERROR(__xludf.DUMMYFUNCTION("LEN(REGEXREPLACE(XLOOKUP($A126,Cards!$A$2:$A1000,Cards!$H$2:$H1000,""""),"",\s"",""""))"),5.0)</f>
        <v>5</v>
      </c>
      <c r="K126" s="34" t="str">
        <f t="shared" si="1"/>
        <v>     Unearth   Copy    Ambush   </v>
      </c>
      <c r="L126" s="34" t="str">
        <f>IFERROR(__xludf.DUMMYFUNCTION("IF(IF(L$1="""","""",REGEXMATCH(LOWER($E126),XLOOKUP(L$1,Metadata!$A$2:$A1000,Metadata!$B$2:$B1000))),L$1,"""")"),"")</f>
        <v/>
      </c>
      <c r="M126" s="34" t="str">
        <f>IFERROR(__xludf.DUMMYFUNCTION("IF(IF(M$1="""","""",REGEXMATCH(LOWER($E126),XLOOKUP(M$1,Metadata!$A$2:$A1000,Metadata!$B$2:$B1000))),M$1,"""")"),"")</f>
        <v/>
      </c>
      <c r="N126" s="34" t="str">
        <f>IFERROR(__xludf.DUMMYFUNCTION("IF(IF(N$1="""","""",REGEXMATCH(LOWER($E126),XLOOKUP(N$1,Metadata!$A$2:$A1000,Metadata!$B$2:$B1000))),N$1,"""")"),"")</f>
        <v/>
      </c>
      <c r="O126" s="34" t="str">
        <f>IFERROR(__xludf.DUMMYFUNCTION("IF(IF(O$1="""","""",REGEXMATCH(LOWER($E126),XLOOKUP(O$1,Metadata!$A$2:$A1000,Metadata!$B$2:$B1000))),O$1,"""")"),"")</f>
        <v/>
      </c>
      <c r="P126" s="34" t="str">
        <f>IFERROR(__xludf.DUMMYFUNCTION("IF(IF(P$1="""","""",REGEXMATCH(LOWER($E126),XLOOKUP(P$1,Metadata!$A$2:$A1000,Metadata!$B$2:$B1000))),P$1,"""")"),"")</f>
        <v/>
      </c>
      <c r="Q126" s="34" t="str">
        <f>IFERROR(__xludf.DUMMYFUNCTION("IF(IF(Q$1="""","""",REGEXMATCH(LOWER($E126),XLOOKUP(Q$1,Metadata!$A$2:$A1000,Metadata!$B$2:$B1000))),Q$1,"""")"),"Unearth")</f>
        <v>Unearth</v>
      </c>
      <c r="R126" s="34" t="str">
        <f>IFERROR(__xludf.DUMMYFUNCTION("IF(IF(R$1="""","""",REGEXMATCH(LOWER($E126),XLOOKUP(R$1,Metadata!$A$2:$A1000,Metadata!$B$2:$B1000))),R$1,"""")"),"")</f>
        <v/>
      </c>
      <c r="S126" s="34" t="str">
        <f>IFERROR(__xludf.DUMMYFUNCTION("IF(IF(S$1="""","""",REGEXMATCH(LOWER($E126),XLOOKUP(S$1,Metadata!$A$2:$A1000,Metadata!$B$2:$B1000))),S$1,"""")"),"")</f>
        <v/>
      </c>
      <c r="T126" s="34" t="str">
        <f>IFERROR(__xludf.DUMMYFUNCTION("IF(IF(T$1="""","""",REGEXMATCH(LOWER($E126),XLOOKUP(T$1,Metadata!$A$2:$A1000,Metadata!$B$2:$B1000))),T$1,"""")"),"Copy")</f>
        <v>Copy</v>
      </c>
      <c r="U126" s="34" t="str">
        <f>IFERROR(__xludf.DUMMYFUNCTION("IF(IF(U$1="""","""",REGEXMATCH(LOWER($E126),XLOOKUP(U$1,Metadata!$A$2:$A1000,Metadata!$B$2:$B1000))),U$1,"""")"),"")</f>
        <v/>
      </c>
      <c r="V126" s="34" t="str">
        <f>IFERROR(__xludf.DUMMYFUNCTION("IF(IF(V$1="""","""",REGEXMATCH(LOWER($E126),XLOOKUP(V$1,Metadata!$A$2:$A1000,Metadata!$B$2:$B1000))),V$1,"""")"),"")</f>
        <v/>
      </c>
      <c r="W126" s="34" t="str">
        <f>IFERROR(__xludf.DUMMYFUNCTION("IF(IF(W$1="""","""",REGEXMATCH(LOWER($E126),XLOOKUP(W$1,Metadata!$A$2:$A1000,Metadata!$B$2:$B1000))),W$1,"""")"),"")</f>
        <v/>
      </c>
      <c r="X126" s="34" t="str">
        <f>IFERROR(__xludf.DUMMYFUNCTION("IF(IF(X$1="""","""",REGEXMATCH(LOWER($E126),XLOOKUP(X$1,Metadata!$A$2:$A1000,Metadata!$B$2:$B1000))),X$1,"""")"),"Ambush")</f>
        <v>Ambush</v>
      </c>
      <c r="Y126" s="34" t="str">
        <f>IFERROR(__xludf.DUMMYFUNCTION("IF(IF(Y$1="""","""",REGEXMATCH(LOWER($E126),XLOOKUP(Y$1,Metadata!$A$2:$A1000,Metadata!$B$2:$B1000))),Y$1,"""")"),"")</f>
        <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I127">XLOOKUP($A127,Cards!$A$2:$A1000,Cards!$B$2:$I1000,"")</f>
        <v>Elemental</v>
      </c>
      <c r="C127" s="34">
        <v>2.0</v>
      </c>
      <c r="D127" s="34" t="s">
        <v>408</v>
      </c>
      <c r="E127" s="34" t="s">
        <v>834</v>
      </c>
      <c r="F127" s="34"/>
      <c r="G127" s="34">
        <v>5.0</v>
      </c>
      <c r="H127" s="34" t="s">
        <v>586</v>
      </c>
      <c r="I127" s="34" t="s">
        <v>26</v>
      </c>
      <c r="J127" s="34">
        <f>IFERROR(__xludf.DUMMYFUNCTION("LEN(REGEXREPLACE(XLOOKUP($A127,Cards!$A$2:$A1000,Cards!$H$2:$H1000,""""),"",\s"",""""))"),2.0)</f>
        <v>2</v>
      </c>
      <c r="K127" s="34" t="str">
        <f t="shared" si="1"/>
        <v>       Control     Ambush   </v>
      </c>
      <c r="L127" s="34" t="str">
        <f>IFERROR(__xludf.DUMMYFUNCTION("IF(IF(L$1="""","""",REGEXMATCH(LOWER($E127),XLOOKUP(L$1,Metadata!$A$2:$A1000,Metadata!$B$2:$B1000))),L$1,"""")"),"")</f>
        <v/>
      </c>
      <c r="M127" s="34" t="str">
        <f>IFERROR(__xludf.DUMMYFUNCTION("IF(IF(M$1="""","""",REGEXMATCH(LOWER($E127),XLOOKUP(M$1,Metadata!$A$2:$A1000,Metadata!$B$2:$B1000))),M$1,"""")"),"")</f>
        <v/>
      </c>
      <c r="N127" s="34" t="str">
        <f>IFERROR(__xludf.DUMMYFUNCTION("IF(IF(N$1="""","""",REGEXMATCH(LOWER($E127),XLOOKUP(N$1,Metadata!$A$2:$A1000,Metadata!$B$2:$B1000))),N$1,"""")"),"")</f>
        <v/>
      </c>
      <c r="O127" s="34" t="str">
        <f>IFERROR(__xludf.DUMMYFUNCTION("IF(IF(O$1="""","""",REGEXMATCH(LOWER($E127),XLOOKUP(O$1,Metadata!$A$2:$A1000,Metadata!$B$2:$B1000))),O$1,"""")"),"")</f>
        <v/>
      </c>
      <c r="P127" s="34" t="str">
        <f>IFERROR(__xludf.DUMMYFUNCTION("IF(IF(P$1="""","""",REGEXMATCH(LOWER($E127),XLOOKUP(P$1,Metadata!$A$2:$A1000,Metadata!$B$2:$B1000))),P$1,"""")"),"")</f>
        <v/>
      </c>
      <c r="Q127" s="34" t="str">
        <f>IFERROR(__xludf.DUMMYFUNCTION("IF(IF(Q$1="""","""",REGEXMATCH(LOWER($E127),XLOOKUP(Q$1,Metadata!$A$2:$A1000,Metadata!$B$2:$B1000))),Q$1,"""")"),"")</f>
        <v/>
      </c>
      <c r="R127" s="34" t="str">
        <f>IFERROR(__xludf.DUMMYFUNCTION("IF(IF(R$1="""","""",REGEXMATCH(LOWER($E127),XLOOKUP(R$1,Metadata!$A$2:$A1000,Metadata!$B$2:$B1000))),R$1,"""")"),"")</f>
        <v/>
      </c>
      <c r="S127" s="34" t="str">
        <f>IFERROR(__xludf.DUMMYFUNCTION("IF(IF(S$1="""","""",REGEXMATCH(LOWER($E127),XLOOKUP(S$1,Metadata!$A$2:$A1000,Metadata!$B$2:$B1000))),S$1,"""")"),"Control")</f>
        <v>Control</v>
      </c>
      <c r="T127" s="34" t="str">
        <f>IFERROR(__xludf.DUMMYFUNCTION("IF(IF(T$1="""","""",REGEXMATCH(LOWER($E127),XLOOKUP(T$1,Metadata!$A$2:$A1000,Metadata!$B$2:$B1000))),T$1,"""")"),"")</f>
        <v/>
      </c>
      <c r="U127" s="34" t="str">
        <f>IFERROR(__xludf.DUMMYFUNCTION("IF(IF(U$1="""","""",REGEXMATCH(LOWER($E127),XLOOKUP(U$1,Metadata!$A$2:$A1000,Metadata!$B$2:$B1000))),U$1,"""")"),"")</f>
        <v/>
      </c>
      <c r="V127" s="34" t="str">
        <f>IFERROR(__xludf.DUMMYFUNCTION("IF(IF(V$1="""","""",REGEXMATCH(LOWER($E127),XLOOKUP(V$1,Metadata!$A$2:$A1000,Metadata!$B$2:$B1000))),V$1,"""")"),"")</f>
        <v/>
      </c>
      <c r="W127" s="34" t="str">
        <f>IFERROR(__xludf.DUMMYFUNCTION("IF(IF(W$1="""","""",REGEXMATCH(LOWER($E127),XLOOKUP(W$1,Metadata!$A$2:$A1000,Metadata!$B$2:$B1000))),W$1,"""")"),"")</f>
        <v/>
      </c>
      <c r="X127" s="34" t="str">
        <f>IFERROR(__xludf.DUMMYFUNCTION("IF(IF(X$1="""","""",REGEXMATCH(LOWER($E127),XLOOKUP(X$1,Metadata!$A$2:$A1000,Metadata!$B$2:$B1000))),X$1,"""")"),"Ambush")</f>
        <v>Ambush</v>
      </c>
      <c r="Y127" s="34" t="str">
        <f>IFERROR(__xludf.DUMMYFUNCTION("IF(IF(Y$1="""","""",REGEXMATCH(LOWER($E127),XLOOKUP(Y$1,Metadata!$A$2:$A1000,Metadata!$B$2:$B1000))),Y$1,"""")"),"")</f>
        <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I128">XLOOKUP($A128,Cards!$A$2:$A1000,Cards!$B$2:$I1000,"")</f>
        <v>Elemental</v>
      </c>
      <c r="C128" s="34">
        <v>1.0</v>
      </c>
      <c r="D128" s="34" t="s">
        <v>836</v>
      </c>
      <c r="E128" s="34" t="s">
        <v>837</v>
      </c>
      <c r="F128" s="34" t="s">
        <v>838</v>
      </c>
      <c r="G128" s="34">
        <v>6.0</v>
      </c>
      <c r="H128" s="34" t="s">
        <v>522</v>
      </c>
      <c r="I128" s="34" t="s">
        <v>70</v>
      </c>
      <c r="J128" s="34">
        <f>IFERROR(__xludf.DUMMYFUNCTION("LEN(REGEXREPLACE(XLOOKUP($A128,Cards!$A$2:$A1000,Cards!$H$2:$H1000,""""),"",\s"",""""))"),4.0)</f>
        <v>4</v>
      </c>
      <c r="K128" s="34" t="str">
        <f t="shared" si="1"/>
        <v>       Control   Empty-Crystal  Ambush   </v>
      </c>
      <c r="L128" s="34" t="str">
        <f>IFERROR(__xludf.DUMMYFUNCTION("IF(IF(L$1="""","""",REGEXMATCH(LOWER($E128),XLOOKUP(L$1,Metadata!$A$2:$A1000,Metadata!$B$2:$B1000))),L$1,"""")"),"")</f>
        <v/>
      </c>
      <c r="M128" s="34" t="str">
        <f>IFERROR(__xludf.DUMMYFUNCTION("IF(IF(M$1="""","""",REGEXMATCH(LOWER($E128),XLOOKUP(M$1,Metadata!$A$2:$A1000,Metadata!$B$2:$B1000))),M$1,"""")"),"")</f>
        <v/>
      </c>
      <c r="N128" s="34" t="str">
        <f>IFERROR(__xludf.DUMMYFUNCTION("IF(IF(N$1="""","""",REGEXMATCH(LOWER($E128),XLOOKUP(N$1,Metadata!$A$2:$A1000,Metadata!$B$2:$B1000))),N$1,"""")"),"")</f>
        <v/>
      </c>
      <c r="O128" s="34" t="str">
        <f>IFERROR(__xludf.DUMMYFUNCTION("IF(IF(O$1="""","""",REGEXMATCH(LOWER($E128),XLOOKUP(O$1,Metadata!$A$2:$A1000,Metadata!$B$2:$B1000))),O$1,"""")"),"")</f>
        <v/>
      </c>
      <c r="P128" s="34" t="str">
        <f>IFERROR(__xludf.DUMMYFUNCTION("IF(IF(P$1="""","""",REGEXMATCH(LOWER($E128),XLOOKUP(P$1,Metadata!$A$2:$A1000,Metadata!$B$2:$B1000))),P$1,"""")"),"")</f>
        <v/>
      </c>
      <c r="Q128" s="34" t="str">
        <f>IFERROR(__xludf.DUMMYFUNCTION("IF(IF(Q$1="""","""",REGEXMATCH(LOWER($E128),XLOOKUP(Q$1,Metadata!$A$2:$A1000,Metadata!$B$2:$B1000))),Q$1,"""")"),"")</f>
        <v/>
      </c>
      <c r="R128" s="34" t="str">
        <f>IFERROR(__xludf.DUMMYFUNCTION("IF(IF(R$1="""","""",REGEXMATCH(LOWER($E128),XLOOKUP(R$1,Metadata!$A$2:$A1000,Metadata!$B$2:$B1000))),R$1,"""")"),"")</f>
        <v/>
      </c>
      <c r="S128" s="34" t="str">
        <f>IFERROR(__xludf.DUMMYFUNCTION("IF(IF(S$1="""","""",REGEXMATCH(LOWER($E128),XLOOKUP(S$1,Metadata!$A$2:$A1000,Metadata!$B$2:$B1000))),S$1,"""")"),"Control")</f>
        <v>Control</v>
      </c>
      <c r="T128" s="34" t="str">
        <f>IFERROR(__xludf.DUMMYFUNCTION("IF(IF(T$1="""","""",REGEXMATCH(LOWER($E128),XLOOKUP(T$1,Metadata!$A$2:$A1000,Metadata!$B$2:$B1000))),T$1,"""")"),"")</f>
        <v/>
      </c>
      <c r="U128" s="34" t="str">
        <f>IFERROR(__xludf.DUMMYFUNCTION("IF(IF(U$1="""","""",REGEXMATCH(LOWER($E128),XLOOKUP(U$1,Metadata!$A$2:$A1000,Metadata!$B$2:$B1000))),U$1,"""")"),"")</f>
        <v/>
      </c>
      <c r="V128" s="34" t="str">
        <f>IFERROR(__xludf.DUMMYFUNCTION("IF(IF(V$1="""","""",REGEXMATCH(LOWER($E128),XLOOKUP(V$1,Metadata!$A$2:$A1000,Metadata!$B$2:$B1000))),V$1,"""")"),"Empty-Crystal")</f>
        <v>Empty-Crystal</v>
      </c>
      <c r="W128" s="34" t="str">
        <f>IFERROR(__xludf.DUMMYFUNCTION("IF(IF(W$1="""","""",REGEXMATCH(LOWER($E128),XLOOKUP(W$1,Metadata!$A$2:$A1000,Metadata!$B$2:$B1000))),W$1,"""")"),"")</f>
        <v/>
      </c>
      <c r="X128" s="34" t="str">
        <f>IFERROR(__xludf.DUMMYFUNCTION("IF(IF(X$1="""","""",REGEXMATCH(LOWER($E128),XLOOKUP(X$1,Metadata!$A$2:$A1000,Metadata!$B$2:$B1000))),X$1,"""")"),"Ambush")</f>
        <v>Ambush</v>
      </c>
      <c r="Y128" s="34" t="str">
        <f>IFERROR(__xludf.DUMMYFUNCTION("IF(IF(Y$1="""","""",REGEXMATCH(LOWER($E128),XLOOKUP(Y$1,Metadata!$A$2:$A1000,Metadata!$B$2:$B1000))),Y$1,"""")"),"")</f>
        <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I129">XLOOKUP($A129,Cards!$A$2:$A1000,Cards!$B$2:$I1000,"")</f>
        <v>Elemental</v>
      </c>
      <c r="C129" s="34">
        <v>1.0</v>
      </c>
      <c r="D129" s="34" t="s">
        <v>149</v>
      </c>
      <c r="E129" s="34" t="s">
        <v>847</v>
      </c>
      <c r="F129" s="34" t="s">
        <v>838</v>
      </c>
      <c r="G129" s="34">
        <v>4.0</v>
      </c>
      <c r="H129" s="34" t="s">
        <v>526</v>
      </c>
      <c r="I129" s="34" t="s">
        <v>70</v>
      </c>
      <c r="J129" s="34">
        <f>IFERROR(__xludf.DUMMYFUNCTION("LEN(REGEXREPLACE(XLOOKUP($A129,Cards!$A$2:$A1000,Cards!$H$2:$H1000,""""),"",\s"",""""))"),5.0)</f>
        <v>5</v>
      </c>
      <c r="K129" s="34" t="str">
        <f t="shared" si="1"/>
        <v>       Control   Empty-Crystal  Ambush   </v>
      </c>
      <c r="L129" s="34" t="str">
        <f>IFERROR(__xludf.DUMMYFUNCTION("IF(IF(L$1="""","""",REGEXMATCH(LOWER($E129),XLOOKUP(L$1,Metadata!$A$2:$A1000,Metadata!$B$2:$B1000))),L$1,"""")"),"")</f>
        <v/>
      </c>
      <c r="M129" s="34" t="str">
        <f>IFERROR(__xludf.DUMMYFUNCTION("IF(IF(M$1="""","""",REGEXMATCH(LOWER($E129),XLOOKUP(M$1,Metadata!$A$2:$A1000,Metadata!$B$2:$B1000))),M$1,"""")"),"")</f>
        <v/>
      </c>
      <c r="N129" s="34" t="str">
        <f>IFERROR(__xludf.DUMMYFUNCTION("IF(IF(N$1="""","""",REGEXMATCH(LOWER($E129),XLOOKUP(N$1,Metadata!$A$2:$A1000,Metadata!$B$2:$B1000))),N$1,"""")"),"")</f>
        <v/>
      </c>
      <c r="O129" s="34" t="str">
        <f>IFERROR(__xludf.DUMMYFUNCTION("IF(IF(O$1="""","""",REGEXMATCH(LOWER($E129),XLOOKUP(O$1,Metadata!$A$2:$A1000,Metadata!$B$2:$B1000))),O$1,"""")"),"")</f>
        <v/>
      </c>
      <c r="P129" s="34" t="str">
        <f>IFERROR(__xludf.DUMMYFUNCTION("IF(IF(P$1="""","""",REGEXMATCH(LOWER($E129),XLOOKUP(P$1,Metadata!$A$2:$A1000,Metadata!$B$2:$B1000))),P$1,"""")"),"")</f>
        <v/>
      </c>
      <c r="Q129" s="34" t="str">
        <f>IFERROR(__xludf.DUMMYFUNCTION("IF(IF(Q$1="""","""",REGEXMATCH(LOWER($E129),XLOOKUP(Q$1,Metadata!$A$2:$A1000,Metadata!$B$2:$B1000))),Q$1,"""")"),"")</f>
        <v/>
      </c>
      <c r="R129" s="34" t="str">
        <f>IFERROR(__xludf.DUMMYFUNCTION("IF(IF(R$1="""","""",REGEXMATCH(LOWER($E129),XLOOKUP(R$1,Metadata!$A$2:$A1000,Metadata!$B$2:$B1000))),R$1,"""")"),"")</f>
        <v/>
      </c>
      <c r="S129" s="34" t="str">
        <f>IFERROR(__xludf.DUMMYFUNCTION("IF(IF(S$1="""","""",REGEXMATCH(LOWER($E129),XLOOKUP(S$1,Metadata!$A$2:$A1000,Metadata!$B$2:$B1000))),S$1,"""")"),"Control")</f>
        <v>Control</v>
      </c>
      <c r="T129" s="34" t="str">
        <f>IFERROR(__xludf.DUMMYFUNCTION("IF(IF(T$1="""","""",REGEXMATCH(LOWER($E129),XLOOKUP(T$1,Metadata!$A$2:$A1000,Metadata!$B$2:$B1000))),T$1,"""")"),"")</f>
        <v/>
      </c>
      <c r="U129" s="34" t="str">
        <f>IFERROR(__xludf.DUMMYFUNCTION("IF(IF(U$1="""","""",REGEXMATCH(LOWER($E129),XLOOKUP(U$1,Metadata!$A$2:$A1000,Metadata!$B$2:$B1000))),U$1,"""")"),"")</f>
        <v/>
      </c>
      <c r="V129" s="34" t="str">
        <f>IFERROR(__xludf.DUMMYFUNCTION("IF(IF(V$1="""","""",REGEXMATCH(LOWER($E129),XLOOKUP(V$1,Metadata!$A$2:$A1000,Metadata!$B$2:$B1000))),V$1,"""")"),"Empty-Crystal")</f>
        <v>Empty-Crystal</v>
      </c>
      <c r="W129" s="34" t="str">
        <f>IFERROR(__xludf.DUMMYFUNCTION("IF(IF(W$1="""","""",REGEXMATCH(LOWER($E129),XLOOKUP(W$1,Metadata!$A$2:$A1000,Metadata!$B$2:$B1000))),W$1,"""")"),"")</f>
        <v/>
      </c>
      <c r="X129" s="34" t="str">
        <f>IFERROR(__xludf.DUMMYFUNCTION("IF(IF(X$1="""","""",REGEXMATCH(LOWER($E129),XLOOKUP(X$1,Metadata!$A$2:$A1000,Metadata!$B$2:$B1000))),X$1,"""")"),"Ambush")</f>
        <v>Ambush</v>
      </c>
      <c r="Y129" s="34" t="str">
        <f>IFERROR(__xludf.DUMMYFUNCTION("IF(IF(Y$1="""","""",REGEXMATCH(LOWER($E129),XLOOKUP(Y$1,Metadata!$A$2:$A1000,Metadata!$B$2:$B1000))),Y$1,"""")"),"")</f>
        <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I130">XLOOKUP($A130,Cards!$A$2:$A1000,Cards!$B$2:$I1000,"")</f>
        <v>Elemental</v>
      </c>
      <c r="C130" s="34">
        <v>1.0</v>
      </c>
      <c r="D130" s="34" t="s">
        <v>451</v>
      </c>
      <c r="E130" s="34" t="s">
        <v>860</v>
      </c>
      <c r="F130" s="34" t="s">
        <v>861</v>
      </c>
      <c r="G130" s="34">
        <v>2.0</v>
      </c>
      <c r="H130" s="34" t="s">
        <v>586</v>
      </c>
      <c r="I130" s="34" t="s">
        <v>70</v>
      </c>
      <c r="J130" s="34">
        <f>IFERROR(__xludf.DUMMYFUNCTION("LEN(REGEXREPLACE(XLOOKUP($A130,Cards!$A$2:$A1000,Cards!$H$2:$H1000,""""),"",\s"",""""))"),2.0)</f>
        <v>2</v>
      </c>
      <c r="K130" s="34" t="str">
        <f t="shared" si="1"/>
        <v>           Move    </v>
      </c>
      <c r="L130" s="34" t="str">
        <f>IFERROR(__xludf.DUMMYFUNCTION("IF(IF(L$1="""","""",REGEXMATCH(LOWER($E130),XLOOKUP(L$1,Metadata!$A$2:$A1000,Metadata!$B$2:$B1000))),L$1,"""")"),"")</f>
        <v/>
      </c>
      <c r="M130" s="34" t="str">
        <f>IFERROR(__xludf.DUMMYFUNCTION("IF(IF(M$1="""","""",REGEXMATCH(LOWER($E130),XLOOKUP(M$1,Metadata!$A$2:$A1000,Metadata!$B$2:$B1000))),M$1,"""")"),"")</f>
        <v/>
      </c>
      <c r="N130" s="34" t="str">
        <f>IFERROR(__xludf.DUMMYFUNCTION("IF(IF(N$1="""","""",REGEXMATCH(LOWER($E130),XLOOKUP(N$1,Metadata!$A$2:$A1000,Metadata!$B$2:$B1000))),N$1,"""")"),"")</f>
        <v/>
      </c>
      <c r="O130" s="34" t="str">
        <f>IFERROR(__xludf.DUMMYFUNCTION("IF(IF(O$1="""","""",REGEXMATCH(LOWER($E130),XLOOKUP(O$1,Metadata!$A$2:$A1000,Metadata!$B$2:$B1000))),O$1,"""")"),"")</f>
        <v/>
      </c>
      <c r="P130" s="34" t="str">
        <f>IFERROR(__xludf.DUMMYFUNCTION("IF(IF(P$1="""","""",REGEXMATCH(LOWER($E130),XLOOKUP(P$1,Metadata!$A$2:$A1000,Metadata!$B$2:$B1000))),P$1,"""")"),"")</f>
        <v/>
      </c>
      <c r="Q130" s="34" t="str">
        <f>IFERROR(__xludf.DUMMYFUNCTION("IF(IF(Q$1="""","""",REGEXMATCH(LOWER($E130),XLOOKUP(Q$1,Metadata!$A$2:$A1000,Metadata!$B$2:$B1000))),Q$1,"""")"),"")</f>
        <v/>
      </c>
      <c r="R130" s="34" t="str">
        <f>IFERROR(__xludf.DUMMYFUNCTION("IF(IF(R$1="""","""",REGEXMATCH(LOWER($E130),XLOOKUP(R$1,Metadata!$A$2:$A1000,Metadata!$B$2:$B1000))),R$1,"""")"),"")</f>
        <v/>
      </c>
      <c r="S130" s="34" t="str">
        <f>IFERROR(__xludf.DUMMYFUNCTION("IF(IF(S$1="""","""",REGEXMATCH(LOWER($E130),XLOOKUP(S$1,Metadata!$A$2:$A1000,Metadata!$B$2:$B1000))),S$1,"""")"),"")</f>
        <v/>
      </c>
      <c r="T130" s="34" t="str">
        <f>IFERROR(__xludf.DUMMYFUNCTION("IF(IF(T$1="""","""",REGEXMATCH(LOWER($E130),XLOOKUP(T$1,Metadata!$A$2:$A1000,Metadata!$B$2:$B1000))),T$1,"""")"),"")</f>
        <v/>
      </c>
      <c r="U130" s="34" t="str">
        <f>IFERROR(__xludf.DUMMYFUNCTION("IF(IF(U$1="""","""",REGEXMATCH(LOWER($E130),XLOOKUP(U$1,Metadata!$A$2:$A1000,Metadata!$B$2:$B1000))),U$1,"""")"),"")</f>
        <v/>
      </c>
      <c r="V130" s="34" t="str">
        <f>IFERROR(__xludf.DUMMYFUNCTION("IF(IF(V$1="""","""",REGEXMATCH(LOWER($E130),XLOOKUP(V$1,Metadata!$A$2:$A1000,Metadata!$B$2:$B1000))),V$1,"""")"),"")</f>
        <v/>
      </c>
      <c r="W130" s="34" t="str">
        <f>IFERROR(__xludf.DUMMYFUNCTION("IF(IF(W$1="""","""",REGEXMATCH(LOWER($E130),XLOOKUP(W$1,Metadata!$A$2:$A1000,Metadata!$B$2:$B1000))),W$1,"""")"),"Move")</f>
        <v>Move</v>
      </c>
      <c r="X130" s="34" t="str">
        <f>IFERROR(__xludf.DUMMYFUNCTION("IF(IF(X$1="""","""",REGEXMATCH(LOWER($E130),XLOOKUP(X$1,Metadata!$A$2:$A1000,Metadata!$B$2:$B1000))),X$1,"""")"),"")</f>
        <v/>
      </c>
      <c r="Y130" s="34" t="str">
        <f>IFERROR(__xludf.DUMMYFUNCTION("IF(IF(Y$1="""","""",REGEXMATCH(LOWER($E130),XLOOKUP(Y$1,Metadata!$A$2:$A1000,Metadata!$B$2:$B1000))),Y$1,"""")"),"")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I131">XLOOKUP($A131,Cards!$A$2:$A1000,Cards!$B$2:$I1000,"")</f>
        <v>Elemental</v>
      </c>
      <c r="C131" s="34">
        <v>1.0</v>
      </c>
      <c r="D131" s="34" t="s">
        <v>111</v>
      </c>
      <c r="E131" s="34" t="s">
        <v>870</v>
      </c>
      <c r="F131" s="34" t="s">
        <v>871</v>
      </c>
      <c r="G131" s="34">
        <v>6.0</v>
      </c>
      <c r="H131" s="34" t="s">
        <v>872</v>
      </c>
      <c r="I131" s="34" t="s">
        <v>70</v>
      </c>
      <c r="J131" s="34">
        <f>IFERROR(__xludf.DUMMYFUNCTION("LEN(REGEXREPLACE(XLOOKUP($A131,Cards!$A$2:$A1000,Cards!$H$2:$H1000,""""),"",\s"",""""))"),5.0)</f>
        <v>5</v>
      </c>
      <c r="K131" s="34" t="str">
        <f t="shared" si="1"/>
        <v>     Unearth  Control   Empty-Crystal  Ambush   </v>
      </c>
      <c r="L131" s="34" t="str">
        <f>IFERROR(__xludf.DUMMYFUNCTION("IF(IF(L$1="""","""",REGEXMATCH(LOWER($E131),XLOOKUP(L$1,Metadata!$A$2:$A1000,Metadata!$B$2:$B1000))),L$1,"""")"),"")</f>
        <v/>
      </c>
      <c r="M131" s="34" t="str">
        <f>IFERROR(__xludf.DUMMYFUNCTION("IF(IF(M$1="""","""",REGEXMATCH(LOWER($E131),XLOOKUP(M$1,Metadata!$A$2:$A1000,Metadata!$B$2:$B1000))),M$1,"""")"),"")</f>
        <v/>
      </c>
      <c r="N131" s="34" t="str">
        <f>IFERROR(__xludf.DUMMYFUNCTION("IF(IF(N$1="""","""",REGEXMATCH(LOWER($E131),XLOOKUP(N$1,Metadata!$A$2:$A1000,Metadata!$B$2:$B1000))),N$1,"""")"),"")</f>
        <v/>
      </c>
      <c r="O131" s="34" t="str">
        <f>IFERROR(__xludf.DUMMYFUNCTION("IF(IF(O$1="""","""",REGEXMATCH(LOWER($E131),XLOOKUP(O$1,Metadata!$A$2:$A1000,Metadata!$B$2:$B1000))),O$1,"""")"),"")</f>
        <v/>
      </c>
      <c r="P131" s="34" t="str">
        <f>IFERROR(__xludf.DUMMYFUNCTION("IF(IF(P$1="""","""",REGEXMATCH(LOWER($E131),XLOOKUP(P$1,Metadata!$A$2:$A1000,Metadata!$B$2:$B1000))),P$1,"""")"),"")</f>
        <v/>
      </c>
      <c r="Q131" s="34" t="str">
        <f>IFERROR(__xludf.DUMMYFUNCTION("IF(IF(Q$1="""","""",REGEXMATCH(LOWER($E131),XLOOKUP(Q$1,Metadata!$A$2:$A1000,Metadata!$B$2:$B1000))),Q$1,"""")"),"Unearth")</f>
        <v>Unearth</v>
      </c>
      <c r="R131" s="34" t="str">
        <f>IFERROR(__xludf.DUMMYFUNCTION("IF(IF(R$1="""","""",REGEXMATCH(LOWER($E131),XLOOKUP(R$1,Metadata!$A$2:$A1000,Metadata!$B$2:$B1000))),R$1,"""")"),"")</f>
        <v/>
      </c>
      <c r="S131" s="34" t="str">
        <f>IFERROR(__xludf.DUMMYFUNCTION("IF(IF(S$1="""","""",REGEXMATCH(LOWER($E131),XLOOKUP(S$1,Metadata!$A$2:$A1000,Metadata!$B$2:$B1000))),S$1,"""")"),"Control")</f>
        <v>Control</v>
      </c>
      <c r="T131" s="34" t="str">
        <f>IFERROR(__xludf.DUMMYFUNCTION("IF(IF(T$1="""","""",REGEXMATCH(LOWER($E131),XLOOKUP(T$1,Metadata!$A$2:$A1000,Metadata!$B$2:$B1000))),T$1,"""")"),"")</f>
        <v/>
      </c>
      <c r="U131" s="34" t="str">
        <f>IFERROR(__xludf.DUMMYFUNCTION("IF(IF(U$1="""","""",REGEXMATCH(LOWER($E131),XLOOKUP(U$1,Metadata!$A$2:$A1000,Metadata!$B$2:$B1000))),U$1,"""")"),"")</f>
        <v/>
      </c>
      <c r="V131" s="34" t="str">
        <f>IFERROR(__xludf.DUMMYFUNCTION("IF(IF(V$1="""","""",REGEXMATCH(LOWER($E131),XLOOKUP(V$1,Metadata!$A$2:$A1000,Metadata!$B$2:$B1000))),V$1,"""")"),"Empty-Crystal")</f>
        <v>Empty-Crystal</v>
      </c>
      <c r="W131" s="34" t="str">
        <f>IFERROR(__xludf.DUMMYFUNCTION("IF(IF(W$1="""","""",REGEXMATCH(LOWER($E131),XLOOKUP(W$1,Metadata!$A$2:$A1000,Metadata!$B$2:$B1000))),W$1,"""")"),"")</f>
        <v/>
      </c>
      <c r="X131" s="34" t="str">
        <f>IFERROR(__xludf.DUMMYFUNCTION("IF(IF(X$1="""","""",REGEXMATCH(LOWER($E131),XLOOKUP(X$1,Metadata!$A$2:$A1000,Metadata!$B$2:$B1000))),X$1,"""")"),"Ambush")</f>
        <v>Ambush</v>
      </c>
      <c r="Y131" s="34" t="str">
        <f>IFERROR(__xludf.DUMMYFUNCTION("IF(IF(Y$1="""","""",REGEXMATCH(LOWER($E131),XLOOKUP(Y$1,Metadata!$A$2:$A1000,Metadata!$B$2:$B1000))),Y$1,"""")"),"")</f>
        <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I132">XLOOKUP($A132,Cards!$A$2:$A1000,Cards!$B$2:$I1000,"")</f>
        <v>Elemental</v>
      </c>
      <c r="C132" s="34">
        <v>1.0</v>
      </c>
      <c r="D132" s="34" t="s">
        <v>588</v>
      </c>
      <c r="E132" s="34" t="s">
        <v>882</v>
      </c>
      <c r="F132" s="34"/>
      <c r="G132" s="34">
        <v>3.0</v>
      </c>
      <c r="H132" s="34" t="s">
        <v>638</v>
      </c>
      <c r="I132" s="34" t="s">
        <v>70</v>
      </c>
      <c r="J132" s="34">
        <f>IFERROR(__xludf.DUMMYFUNCTION("LEN(REGEXREPLACE(XLOOKUP($A132,Cards!$A$2:$A1000,Cards!$H$2:$H1000,""""),"",\s"",""""))"),4.0)</f>
        <v>4</v>
      </c>
      <c r="K132" s="34" t="str">
        <f t="shared" si="1"/>
        <v>               </v>
      </c>
      <c r="L132" s="34" t="str">
        <f>IFERROR(__xludf.DUMMYFUNCTION("IF(IF(L$1="""","""",REGEXMATCH(LOWER($E132),XLOOKUP(L$1,Metadata!$A$2:$A1000,Metadata!$B$2:$B1000))),L$1,"""")"),"")</f>
        <v/>
      </c>
      <c r="M132" s="34" t="str">
        <f>IFERROR(__xludf.DUMMYFUNCTION("IF(IF(M$1="""","""",REGEXMATCH(LOWER($E132),XLOOKUP(M$1,Metadata!$A$2:$A1000,Metadata!$B$2:$B1000))),M$1,"""")"),"")</f>
        <v/>
      </c>
      <c r="N132" s="34" t="str">
        <f>IFERROR(__xludf.DUMMYFUNCTION("IF(IF(N$1="""","""",REGEXMATCH(LOWER($E132),XLOOKUP(N$1,Metadata!$A$2:$A1000,Metadata!$B$2:$B1000))),N$1,"""")"),"")</f>
        <v/>
      </c>
      <c r="O132" s="34" t="str">
        <f>IFERROR(__xludf.DUMMYFUNCTION("IF(IF(O$1="""","""",REGEXMATCH(LOWER($E132),XLOOKUP(O$1,Metadata!$A$2:$A1000,Metadata!$B$2:$B1000))),O$1,"""")"),"")</f>
        <v/>
      </c>
      <c r="P132" s="34" t="str">
        <f>IFERROR(__xludf.DUMMYFUNCTION("IF(IF(P$1="""","""",REGEXMATCH(LOWER($E132),XLOOKUP(P$1,Metadata!$A$2:$A1000,Metadata!$B$2:$B1000))),P$1,"""")"),"")</f>
        <v/>
      </c>
      <c r="Q132" s="34" t="str">
        <f>IFERROR(__xludf.DUMMYFUNCTION("IF(IF(Q$1="""","""",REGEXMATCH(LOWER($E132),XLOOKUP(Q$1,Metadata!$A$2:$A1000,Metadata!$B$2:$B1000))),Q$1,"""")"),"")</f>
        <v/>
      </c>
      <c r="R132" s="34" t="str">
        <f>IFERROR(__xludf.DUMMYFUNCTION("IF(IF(R$1="""","""",REGEXMATCH(LOWER($E132),XLOOKUP(R$1,Metadata!$A$2:$A1000,Metadata!$B$2:$B1000))),R$1,"""")"),"")</f>
        <v/>
      </c>
      <c r="S132" s="34" t="str">
        <f>IFERROR(__xludf.DUMMYFUNCTION("IF(IF(S$1="""","""",REGEXMATCH(LOWER($E132),XLOOKUP(S$1,Metadata!$A$2:$A1000,Metadata!$B$2:$B1000))),S$1,"""")"),"")</f>
        <v/>
      </c>
      <c r="T132" s="34" t="str">
        <f>IFERROR(__xludf.DUMMYFUNCTION("IF(IF(T$1="""","""",REGEXMATCH(LOWER($E132),XLOOKUP(T$1,Metadata!$A$2:$A1000,Metadata!$B$2:$B1000))),T$1,"""")"),"")</f>
        <v/>
      </c>
      <c r="U132" s="34" t="str">
        <f>IFERROR(__xludf.DUMMYFUNCTION("IF(IF(U$1="""","""",REGEXMATCH(LOWER($E132),XLOOKUP(U$1,Metadata!$A$2:$A1000,Metadata!$B$2:$B1000))),U$1,"""")"),"")</f>
        <v/>
      </c>
      <c r="V132" s="34" t="str">
        <f>IFERROR(__xludf.DUMMYFUNCTION("IF(IF(V$1="""","""",REGEXMATCH(LOWER($E132),XLOOKUP(V$1,Metadata!$A$2:$A1000,Metadata!$B$2:$B1000))),V$1,"""")"),"")</f>
        <v/>
      </c>
      <c r="W132" s="34" t="str">
        <f>IFERROR(__xludf.DUMMYFUNCTION("IF(IF(W$1="""","""",REGEXMATCH(LOWER($E132),XLOOKUP(W$1,Metadata!$A$2:$A1000,Metadata!$B$2:$B1000))),W$1,"""")"),"")</f>
        <v/>
      </c>
      <c r="X132" s="34" t="str">
        <f>IFERROR(__xludf.DUMMYFUNCTION("IF(IF(X$1="""","""",REGEXMATCH(LOWER($E132),XLOOKUP(X$1,Metadata!$A$2:$A1000,Metadata!$B$2:$B1000))),X$1,"""")"),"")</f>
        <v/>
      </c>
      <c r="Y132" s="34" t="str">
        <f>IFERROR(__xludf.DUMMYFUNCTION("IF(IF(Y$1="""","""",REGEXMATCH(LOWER($E132),XLOOKUP(Y$1,Metadata!$A$2:$A1000,Metadata!$B$2:$B1000))),Y$1,"""")"),"")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I133">XLOOKUP($A133,Cards!$A$2:$A1000,Cards!$B$2:$I1000,"")</f>
        <v>Elemental Mortal</v>
      </c>
      <c r="C133" s="34">
        <v>2.0</v>
      </c>
      <c r="D133" s="34" t="s">
        <v>335</v>
      </c>
      <c r="E133" s="34" t="s">
        <v>896</v>
      </c>
      <c r="F133" s="34" t="s">
        <v>897</v>
      </c>
      <c r="G133" s="34">
        <v>3.0</v>
      </c>
      <c r="H133" s="34" t="s">
        <v>898</v>
      </c>
      <c r="I133" s="34" t="s">
        <v>70</v>
      </c>
      <c r="J133" s="34">
        <f>IFERROR(__xludf.DUMMYFUNCTION("LEN(REGEXREPLACE(XLOOKUP($A133,Cards!$A$2:$A1000,Cards!$H$2:$H1000,""""),"",\s"",""""))"),4.0)</f>
        <v>4</v>
      </c>
      <c r="K133" s="34" t="str">
        <f t="shared" si="1"/>
        <v>           Move    </v>
      </c>
      <c r="L133" s="34" t="str">
        <f>IFERROR(__xludf.DUMMYFUNCTION("IF(IF(L$1="""","""",REGEXMATCH(LOWER($E133),XLOOKUP(L$1,Metadata!$A$2:$A1000,Metadata!$B$2:$B1000))),L$1,"""")"),"")</f>
        <v/>
      </c>
      <c r="M133" s="34" t="str">
        <f>IFERROR(__xludf.DUMMYFUNCTION("IF(IF(M$1="""","""",REGEXMATCH(LOWER($E133),XLOOKUP(M$1,Metadata!$A$2:$A1000,Metadata!$B$2:$B1000))),M$1,"""")"),"")</f>
        <v/>
      </c>
      <c r="N133" s="34" t="str">
        <f>IFERROR(__xludf.DUMMYFUNCTION("IF(IF(N$1="""","""",REGEXMATCH(LOWER($E133),XLOOKUP(N$1,Metadata!$A$2:$A1000,Metadata!$B$2:$B1000))),N$1,"""")"),"")</f>
        <v/>
      </c>
      <c r="O133" s="34" t="str">
        <f>IFERROR(__xludf.DUMMYFUNCTION("IF(IF(O$1="""","""",REGEXMATCH(LOWER($E133),XLOOKUP(O$1,Metadata!$A$2:$A1000,Metadata!$B$2:$B1000))),O$1,"""")"),"")</f>
        <v/>
      </c>
      <c r="P133" s="34" t="str">
        <f>IFERROR(__xludf.DUMMYFUNCTION("IF(IF(P$1="""","""",REGEXMATCH(LOWER($E133),XLOOKUP(P$1,Metadata!$A$2:$A1000,Metadata!$B$2:$B1000))),P$1,"""")"),"")</f>
        <v/>
      </c>
      <c r="Q133" s="34" t="str">
        <f>IFERROR(__xludf.DUMMYFUNCTION("IF(IF(Q$1="""","""",REGEXMATCH(LOWER($E133),XLOOKUP(Q$1,Metadata!$A$2:$A1000,Metadata!$B$2:$B1000))),Q$1,"""")"),"")</f>
        <v/>
      </c>
      <c r="R133" s="34" t="str">
        <f>IFERROR(__xludf.DUMMYFUNCTION("IF(IF(R$1="""","""",REGEXMATCH(LOWER($E133),XLOOKUP(R$1,Metadata!$A$2:$A1000,Metadata!$B$2:$B1000))),R$1,"""")"),"")</f>
        <v/>
      </c>
      <c r="S133" s="34" t="str">
        <f>IFERROR(__xludf.DUMMYFUNCTION("IF(IF(S$1="""","""",REGEXMATCH(LOWER($E133),XLOOKUP(S$1,Metadata!$A$2:$A1000,Metadata!$B$2:$B1000))),S$1,"""")"),"")</f>
        <v/>
      </c>
      <c r="T133" s="34" t="str">
        <f>IFERROR(__xludf.DUMMYFUNCTION("IF(IF(T$1="""","""",REGEXMATCH(LOWER($E133),XLOOKUP(T$1,Metadata!$A$2:$A1000,Metadata!$B$2:$B1000))),T$1,"""")"),"")</f>
        <v/>
      </c>
      <c r="U133" s="34" t="str">
        <f>IFERROR(__xludf.DUMMYFUNCTION("IF(IF(U$1="""","""",REGEXMATCH(LOWER($E133),XLOOKUP(U$1,Metadata!$A$2:$A1000,Metadata!$B$2:$B1000))),U$1,"""")"),"")</f>
        <v/>
      </c>
      <c r="V133" s="34" t="str">
        <f>IFERROR(__xludf.DUMMYFUNCTION("IF(IF(V$1="""","""",REGEXMATCH(LOWER($E133),XLOOKUP(V$1,Metadata!$A$2:$A1000,Metadata!$B$2:$B1000))),V$1,"""")"),"")</f>
        <v/>
      </c>
      <c r="W133" s="34" t="str">
        <f>IFERROR(__xludf.DUMMYFUNCTION("IF(IF(W$1="""","""",REGEXMATCH(LOWER($E133),XLOOKUP(W$1,Metadata!$A$2:$A1000,Metadata!$B$2:$B1000))),W$1,"""")"),"Move")</f>
        <v>Move</v>
      </c>
      <c r="X133" s="34" t="str">
        <f>IFERROR(__xludf.DUMMYFUNCTION("IF(IF(X$1="""","""",REGEXMATCH(LOWER($E133),XLOOKUP(X$1,Metadata!$A$2:$A1000,Metadata!$B$2:$B1000))),X$1,"""")"),"")</f>
        <v/>
      </c>
      <c r="Y133" s="34" t="str">
        <f>IFERROR(__xludf.DUMMYFUNCTION("IF(IF(Y$1="""","""",REGEXMATCH(LOWER($E133),XLOOKUP(Y$1,Metadata!$A$2:$A1000,Metadata!$B$2:$B1000))),Y$1,"""")"),"")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I134">XLOOKUP($A134,Cards!$A$2:$A1000,Cards!$B$2:$I1000,"")</f>
        <v>Elemental</v>
      </c>
      <c r="C134" s="34">
        <v>1.0</v>
      </c>
      <c r="D134" s="34" t="s">
        <v>447</v>
      </c>
      <c r="E134" s="34"/>
      <c r="F134" s="34" t="s">
        <v>900</v>
      </c>
      <c r="G134" s="34">
        <v>3.0</v>
      </c>
      <c r="H134" s="34" t="s">
        <v>586</v>
      </c>
      <c r="I134" s="34" t="s">
        <v>26</v>
      </c>
      <c r="J134" s="34">
        <f>IFERROR(__xludf.DUMMYFUNCTION("LEN(REGEXREPLACE(XLOOKUP($A134,Cards!$A$2:$A1000,Cards!$H$2:$H1000,""""),"",\s"",""""))"),2.0)</f>
        <v>2</v>
      </c>
      <c r="K134" s="34" t="str">
        <f t="shared" si="1"/>
        <v>               </v>
      </c>
      <c r="L134" s="34" t="str">
        <f>IFERROR(__xludf.DUMMYFUNCTION("IF(IF(L$1="""","""",REGEXMATCH(LOWER($E134),XLOOKUP(L$1,Metadata!$A$2:$A1000,Metadata!$B$2:$B1000))),L$1,"""")"),"")</f>
        <v/>
      </c>
      <c r="M134" s="34" t="str">
        <f>IFERROR(__xludf.DUMMYFUNCTION("IF(IF(M$1="""","""",REGEXMATCH(LOWER($E134),XLOOKUP(M$1,Metadata!$A$2:$A1000,Metadata!$B$2:$B1000))),M$1,"""")"),"")</f>
        <v/>
      </c>
      <c r="N134" s="34" t="str">
        <f>IFERROR(__xludf.DUMMYFUNCTION("IF(IF(N$1="""","""",REGEXMATCH(LOWER($E134),XLOOKUP(N$1,Metadata!$A$2:$A1000,Metadata!$B$2:$B1000))),N$1,"""")"),"")</f>
        <v/>
      </c>
      <c r="O134" s="34" t="str">
        <f>IFERROR(__xludf.DUMMYFUNCTION("IF(IF(O$1="""","""",REGEXMATCH(LOWER($E134),XLOOKUP(O$1,Metadata!$A$2:$A1000,Metadata!$B$2:$B1000))),O$1,"""")"),"")</f>
        <v/>
      </c>
      <c r="P134" s="34" t="str">
        <f>IFERROR(__xludf.DUMMYFUNCTION("IF(IF(P$1="""","""",REGEXMATCH(LOWER($E134),XLOOKUP(P$1,Metadata!$A$2:$A1000,Metadata!$B$2:$B1000))),P$1,"""")"),"")</f>
        <v/>
      </c>
      <c r="Q134" s="34" t="str">
        <f>IFERROR(__xludf.DUMMYFUNCTION("IF(IF(Q$1="""","""",REGEXMATCH(LOWER($E134),XLOOKUP(Q$1,Metadata!$A$2:$A1000,Metadata!$B$2:$B1000))),Q$1,"""")"),"")</f>
        <v/>
      </c>
      <c r="R134" s="34" t="str">
        <f>IFERROR(__xludf.DUMMYFUNCTION("IF(IF(R$1="""","""",REGEXMATCH(LOWER($E134),XLOOKUP(R$1,Metadata!$A$2:$A1000,Metadata!$B$2:$B1000))),R$1,"""")"),"")</f>
        <v/>
      </c>
      <c r="S134" s="34" t="str">
        <f>IFERROR(__xludf.DUMMYFUNCTION("IF(IF(S$1="""","""",REGEXMATCH(LOWER($E134),XLOOKUP(S$1,Metadata!$A$2:$A1000,Metadata!$B$2:$B1000))),S$1,"""")"),"")</f>
        <v/>
      </c>
      <c r="T134" s="34" t="str">
        <f>IFERROR(__xludf.DUMMYFUNCTION("IF(IF(T$1="""","""",REGEXMATCH(LOWER($E134),XLOOKUP(T$1,Metadata!$A$2:$A1000,Metadata!$B$2:$B1000))),T$1,"""")"),"")</f>
        <v/>
      </c>
      <c r="U134" s="34" t="str">
        <f>IFERROR(__xludf.DUMMYFUNCTION("IF(IF(U$1="""","""",REGEXMATCH(LOWER($E134),XLOOKUP(U$1,Metadata!$A$2:$A1000,Metadata!$B$2:$B1000))),U$1,"""")"),"")</f>
        <v/>
      </c>
      <c r="V134" s="34" t="str">
        <f>IFERROR(__xludf.DUMMYFUNCTION("IF(IF(V$1="""","""",REGEXMATCH(LOWER($E134),XLOOKUP(V$1,Metadata!$A$2:$A1000,Metadata!$B$2:$B1000))),V$1,"""")"),"")</f>
        <v/>
      </c>
      <c r="W134" s="34" t="str">
        <f>IFERROR(__xludf.DUMMYFUNCTION("IF(IF(W$1="""","""",REGEXMATCH(LOWER($E134),XLOOKUP(W$1,Metadata!$A$2:$A1000,Metadata!$B$2:$B1000))),W$1,"""")"),"")</f>
        <v/>
      </c>
      <c r="X134" s="34" t="str">
        <f>IFERROR(__xludf.DUMMYFUNCTION("IF(IF(X$1="""","""",REGEXMATCH(LOWER($E134),XLOOKUP(X$1,Metadata!$A$2:$A1000,Metadata!$B$2:$B1000))),X$1,"""")"),"")</f>
        <v/>
      </c>
      <c r="Y134" s="34" t="str">
        <f>IFERROR(__xludf.DUMMYFUNCTION("IF(IF(Y$1="""","""",REGEXMATCH(LOWER($E134),XLOOKUP(Y$1,Metadata!$A$2:$A1000,Metadata!$B$2:$B1000))),Y$1,"""")"),"")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I135">XLOOKUP($A135,Cards!$A$2:$A1000,Cards!$B$2:$I1000,"")</f>
        <v>Elemental Mortal</v>
      </c>
      <c r="C135" s="34">
        <v>2.0</v>
      </c>
      <c r="D135" s="34" t="s">
        <v>913</v>
      </c>
      <c r="E135" s="34" t="s">
        <v>914</v>
      </c>
      <c r="F135" s="34" t="s">
        <v>915</v>
      </c>
      <c r="G135" s="34">
        <v>6.0</v>
      </c>
      <c r="H135" s="34" t="s">
        <v>916</v>
      </c>
      <c r="I135" s="34" t="s">
        <v>32</v>
      </c>
      <c r="J135" s="34">
        <f>IFERROR(__xludf.DUMMYFUNCTION("LEN(REGEXREPLACE(XLOOKUP($A135,Cards!$A$2:$A1000,Cards!$H$2:$H1000,""""),"",\s"",""""))"),6.0)</f>
        <v>6</v>
      </c>
      <c r="K135" s="34" t="str">
        <f t="shared" si="1"/>
        <v>       Control  Aggro   Ambush   </v>
      </c>
      <c r="L135" s="34" t="str">
        <f>IFERROR(__xludf.DUMMYFUNCTION("IF(IF(L$1="""","""",REGEXMATCH(LOWER($E135),XLOOKUP(L$1,Metadata!$A$2:$A1000,Metadata!$B$2:$B1000))),L$1,"""")"),"")</f>
        <v/>
      </c>
      <c r="M135" s="34" t="str">
        <f>IFERROR(__xludf.DUMMYFUNCTION("IF(IF(M$1="""","""",REGEXMATCH(LOWER($E135),XLOOKUP(M$1,Metadata!$A$2:$A1000,Metadata!$B$2:$B1000))),M$1,"""")"),"")</f>
        <v/>
      </c>
      <c r="N135" s="34" t="str">
        <f>IFERROR(__xludf.DUMMYFUNCTION("IF(IF(N$1="""","""",REGEXMATCH(LOWER($E135),XLOOKUP(N$1,Metadata!$A$2:$A1000,Metadata!$B$2:$B1000))),N$1,"""")"),"")</f>
        <v/>
      </c>
      <c r="O135" s="34" t="str">
        <f>IFERROR(__xludf.DUMMYFUNCTION("IF(IF(O$1="""","""",REGEXMATCH(LOWER($E135),XLOOKUP(O$1,Metadata!$A$2:$A1000,Metadata!$B$2:$B1000))),O$1,"""")"),"")</f>
        <v/>
      </c>
      <c r="P135" s="34" t="str">
        <f>IFERROR(__xludf.DUMMYFUNCTION("IF(IF(P$1="""","""",REGEXMATCH(LOWER($E135),XLOOKUP(P$1,Metadata!$A$2:$A1000,Metadata!$B$2:$B1000))),P$1,"""")"),"")</f>
        <v/>
      </c>
      <c r="Q135" s="34" t="str">
        <f>IFERROR(__xludf.DUMMYFUNCTION("IF(IF(Q$1="""","""",REGEXMATCH(LOWER($E135),XLOOKUP(Q$1,Metadata!$A$2:$A1000,Metadata!$B$2:$B1000))),Q$1,"""")"),"")</f>
        <v/>
      </c>
      <c r="R135" s="34" t="str">
        <f>IFERROR(__xludf.DUMMYFUNCTION("IF(IF(R$1="""","""",REGEXMATCH(LOWER($E135),XLOOKUP(R$1,Metadata!$A$2:$A1000,Metadata!$B$2:$B1000))),R$1,"""")"),"")</f>
        <v/>
      </c>
      <c r="S135" s="34" t="str">
        <f>IFERROR(__xludf.DUMMYFUNCTION("IF(IF(S$1="""","""",REGEXMATCH(LOWER($E135),XLOOKUP(S$1,Metadata!$A$2:$A1000,Metadata!$B$2:$B1000))),S$1,"""")"),"Control")</f>
        <v>Control</v>
      </c>
      <c r="T135" s="34" t="str">
        <f>IFERROR(__xludf.DUMMYFUNCTION("IF(IF(T$1="""","""",REGEXMATCH(LOWER($E135),XLOOKUP(T$1,Metadata!$A$2:$A1000,Metadata!$B$2:$B1000))),T$1,"""")"),"")</f>
        <v/>
      </c>
      <c r="U135" s="34" t="str">
        <f>IFERROR(__xludf.DUMMYFUNCTION("IF(IF(U$1="""","""",REGEXMATCH(LOWER($E135),XLOOKUP(U$1,Metadata!$A$2:$A1000,Metadata!$B$2:$B1000))),U$1,"""")"),"Aggro")</f>
        <v>Aggro</v>
      </c>
      <c r="V135" s="34" t="str">
        <f>IFERROR(__xludf.DUMMYFUNCTION("IF(IF(V$1="""","""",REGEXMATCH(LOWER($E135),XLOOKUP(V$1,Metadata!$A$2:$A1000,Metadata!$B$2:$B1000))),V$1,"""")"),"")</f>
        <v/>
      </c>
      <c r="W135" s="34" t="str">
        <f>IFERROR(__xludf.DUMMYFUNCTION("IF(IF(W$1="""","""",REGEXMATCH(LOWER($E135),XLOOKUP(W$1,Metadata!$A$2:$A1000,Metadata!$B$2:$B1000))),W$1,"""")"),"")</f>
        <v/>
      </c>
      <c r="X135" s="34" t="str">
        <f>IFERROR(__xludf.DUMMYFUNCTION("IF(IF(X$1="""","""",REGEXMATCH(LOWER($E135),XLOOKUP(X$1,Metadata!$A$2:$A1000,Metadata!$B$2:$B1000))),X$1,"""")"),"Ambush")</f>
        <v>Ambush</v>
      </c>
      <c r="Y135" s="34" t="str">
        <f>IFERROR(__xludf.DUMMYFUNCTION("IF(IF(Y$1="""","""",REGEXMATCH(LOWER($E135),XLOOKUP(Y$1,Metadata!$A$2:$A1000,Metadata!$B$2:$B1000))),Y$1,"""")"),"")</f>
        <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I136">XLOOKUP($A136,Cards!$A$2:$A1000,Cards!$B$2:$I1000,"")</f>
        <v>Elemental Nature</v>
      </c>
      <c r="C136" s="34">
        <v>2.0</v>
      </c>
      <c r="D136" s="34" t="s">
        <v>919</v>
      </c>
      <c r="E136" s="34" t="s">
        <v>920</v>
      </c>
      <c r="F136" s="34" t="s">
        <v>921</v>
      </c>
      <c r="G136" s="34">
        <v>5.0</v>
      </c>
      <c r="H136" s="34" t="s">
        <v>922</v>
      </c>
      <c r="I136" s="34" t="s">
        <v>70</v>
      </c>
      <c r="J136" s="34">
        <f>IFERROR(__xludf.DUMMYFUNCTION("LEN(REGEXREPLACE(XLOOKUP($A136,Cards!$A$2:$A1000,Cards!$H$2:$H1000,""""),"",\s"",""""))"),4.0)</f>
        <v>4</v>
      </c>
      <c r="K136" s="34" t="str">
        <f t="shared" si="1"/>
        <v>      Ramp  Copy       </v>
      </c>
      <c r="L136" s="34" t="str">
        <f>IFERROR(__xludf.DUMMYFUNCTION("IF(IF(L$1="""","""",REGEXMATCH(LOWER($E136),XLOOKUP(L$1,Metadata!$A$2:$A1000,Metadata!$B$2:$B1000))),L$1,"""")"),"")</f>
        <v/>
      </c>
      <c r="M136" s="34" t="str">
        <f>IFERROR(__xludf.DUMMYFUNCTION("IF(IF(M$1="""","""",REGEXMATCH(LOWER($E136),XLOOKUP(M$1,Metadata!$A$2:$A1000,Metadata!$B$2:$B1000))),M$1,"""")"),"")</f>
        <v/>
      </c>
      <c r="N136" s="34" t="str">
        <f>IFERROR(__xludf.DUMMYFUNCTION("IF(IF(N$1="""","""",REGEXMATCH(LOWER($E136),XLOOKUP(N$1,Metadata!$A$2:$A1000,Metadata!$B$2:$B1000))),N$1,"""")"),"")</f>
        <v/>
      </c>
      <c r="O136" s="34" t="str">
        <f>IFERROR(__xludf.DUMMYFUNCTION("IF(IF(O$1="""","""",REGEXMATCH(LOWER($E136),XLOOKUP(O$1,Metadata!$A$2:$A1000,Metadata!$B$2:$B1000))),O$1,"""")"),"")</f>
        <v/>
      </c>
      <c r="P136" s="34" t="str">
        <f>IFERROR(__xludf.DUMMYFUNCTION("IF(IF(P$1="""","""",REGEXMATCH(LOWER($E136),XLOOKUP(P$1,Metadata!$A$2:$A1000,Metadata!$B$2:$B1000))),P$1,"""")"),"")</f>
        <v/>
      </c>
      <c r="Q136" s="34" t="str">
        <f>IFERROR(__xludf.DUMMYFUNCTION("IF(IF(Q$1="""","""",REGEXMATCH(LOWER($E136),XLOOKUP(Q$1,Metadata!$A$2:$A1000,Metadata!$B$2:$B1000))),Q$1,"""")"),"")</f>
        <v/>
      </c>
      <c r="R136" s="34" t="str">
        <f>IFERROR(__xludf.DUMMYFUNCTION("IF(IF(R$1="""","""",REGEXMATCH(LOWER($E136),XLOOKUP(R$1,Metadata!$A$2:$A1000,Metadata!$B$2:$B1000))),R$1,"""")"),"Ramp")</f>
        <v>Ramp</v>
      </c>
      <c r="S136" s="34" t="str">
        <f>IFERROR(__xludf.DUMMYFUNCTION("IF(IF(S$1="""","""",REGEXMATCH(LOWER($E136),XLOOKUP(S$1,Metadata!$A$2:$A1000,Metadata!$B$2:$B1000))),S$1,"""")"),"")</f>
        <v/>
      </c>
      <c r="T136" s="34" t="str">
        <f>IFERROR(__xludf.DUMMYFUNCTION("IF(IF(T$1="""","""",REGEXMATCH(LOWER($E136),XLOOKUP(T$1,Metadata!$A$2:$A1000,Metadata!$B$2:$B1000))),T$1,"""")"),"Copy")</f>
        <v>Copy</v>
      </c>
      <c r="U136" s="34" t="str">
        <f>IFERROR(__xludf.DUMMYFUNCTION("IF(IF(U$1="""","""",REGEXMATCH(LOWER($E136),XLOOKUP(U$1,Metadata!$A$2:$A1000,Metadata!$B$2:$B1000))),U$1,"""")"),"")</f>
        <v/>
      </c>
      <c r="V136" s="34" t="str">
        <f>IFERROR(__xludf.DUMMYFUNCTION("IF(IF(V$1="""","""",REGEXMATCH(LOWER($E136),XLOOKUP(V$1,Metadata!$A$2:$A1000,Metadata!$B$2:$B1000))),V$1,"""")"),"")</f>
        <v/>
      </c>
      <c r="W136" s="34" t="str">
        <f>IFERROR(__xludf.DUMMYFUNCTION("IF(IF(W$1="""","""",REGEXMATCH(LOWER($E136),XLOOKUP(W$1,Metadata!$A$2:$A1000,Metadata!$B$2:$B1000))),W$1,"""")"),"")</f>
        <v/>
      </c>
      <c r="X136" s="34" t="str">
        <f>IFERROR(__xludf.DUMMYFUNCTION("IF(IF(X$1="""","""",REGEXMATCH(LOWER($E136),XLOOKUP(X$1,Metadata!$A$2:$A1000,Metadata!$B$2:$B1000))),X$1,"""")"),"")</f>
        <v/>
      </c>
      <c r="Y136" s="34" t="str">
        <f>IFERROR(__xludf.DUMMYFUNCTION("IF(IF(Y$1="""","""",REGEXMATCH(LOWER($E136),XLOOKUP(Y$1,Metadata!$A$2:$A1000,Metadata!$B$2:$B1000))),Y$1,"""")"),"")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I137">XLOOKUP($A137,Cards!$A$2:$A1000,Cards!$B$2:$I1000,"")</f>
        <v>Elemental</v>
      </c>
      <c r="C137" s="34">
        <v>1.0</v>
      </c>
      <c r="D137" s="34" t="s">
        <v>408</v>
      </c>
      <c r="E137" s="34" t="s">
        <v>924</v>
      </c>
      <c r="F137" s="34" t="s">
        <v>925</v>
      </c>
      <c r="G137" s="34">
        <v>5.0</v>
      </c>
      <c r="H137" s="34" t="s">
        <v>571</v>
      </c>
      <c r="I137" s="34" t="s">
        <v>32</v>
      </c>
      <c r="J137" s="34">
        <f>IFERROR(__xludf.DUMMYFUNCTION("LEN(REGEXREPLACE(XLOOKUP($A137,Cards!$A$2:$A1000,Cards!$H$2:$H1000,""""),"",\s"",""""))"),6.0)</f>
        <v>6</v>
      </c>
      <c r="K137" s="34" t="str">
        <f t="shared" si="1"/>
        <v>           Move    </v>
      </c>
      <c r="L137" s="34" t="str">
        <f>IFERROR(__xludf.DUMMYFUNCTION("IF(IF(L$1="""","""",REGEXMATCH(LOWER($E137),XLOOKUP(L$1,Metadata!$A$2:$A1000,Metadata!$B$2:$B1000))),L$1,"""")"),"")</f>
        <v/>
      </c>
      <c r="M137" s="34" t="str">
        <f>IFERROR(__xludf.DUMMYFUNCTION("IF(IF(M$1="""","""",REGEXMATCH(LOWER($E137),XLOOKUP(M$1,Metadata!$A$2:$A1000,Metadata!$B$2:$B1000))),M$1,"""")"),"")</f>
        <v/>
      </c>
      <c r="N137" s="34" t="str">
        <f>IFERROR(__xludf.DUMMYFUNCTION("IF(IF(N$1="""","""",REGEXMATCH(LOWER($E137),XLOOKUP(N$1,Metadata!$A$2:$A1000,Metadata!$B$2:$B1000))),N$1,"""")"),"")</f>
        <v/>
      </c>
      <c r="O137" s="34" t="str">
        <f>IFERROR(__xludf.DUMMYFUNCTION("IF(IF(O$1="""","""",REGEXMATCH(LOWER($E137),XLOOKUP(O$1,Metadata!$A$2:$A1000,Metadata!$B$2:$B1000))),O$1,"""")"),"")</f>
        <v/>
      </c>
      <c r="P137" s="34" t="str">
        <f>IFERROR(__xludf.DUMMYFUNCTION("IF(IF(P$1="""","""",REGEXMATCH(LOWER($E137),XLOOKUP(P$1,Metadata!$A$2:$A1000,Metadata!$B$2:$B1000))),P$1,"""")"),"")</f>
        <v/>
      </c>
      <c r="Q137" s="34" t="str">
        <f>IFERROR(__xludf.DUMMYFUNCTION("IF(IF(Q$1="""","""",REGEXMATCH(LOWER($E137),XLOOKUP(Q$1,Metadata!$A$2:$A1000,Metadata!$B$2:$B1000))),Q$1,"""")"),"")</f>
        <v/>
      </c>
      <c r="R137" s="34" t="str">
        <f>IFERROR(__xludf.DUMMYFUNCTION("IF(IF(R$1="""","""",REGEXMATCH(LOWER($E137),XLOOKUP(R$1,Metadata!$A$2:$A1000,Metadata!$B$2:$B1000))),R$1,"""")"),"")</f>
        <v/>
      </c>
      <c r="S137" s="34" t="str">
        <f>IFERROR(__xludf.DUMMYFUNCTION("IF(IF(S$1="""","""",REGEXMATCH(LOWER($E137),XLOOKUP(S$1,Metadata!$A$2:$A1000,Metadata!$B$2:$B1000))),S$1,"""")"),"")</f>
        <v/>
      </c>
      <c r="T137" s="34" t="str">
        <f>IFERROR(__xludf.DUMMYFUNCTION("IF(IF(T$1="""","""",REGEXMATCH(LOWER($E137),XLOOKUP(T$1,Metadata!$A$2:$A1000,Metadata!$B$2:$B1000))),T$1,"""")"),"")</f>
        <v/>
      </c>
      <c r="U137" s="34" t="str">
        <f>IFERROR(__xludf.DUMMYFUNCTION("IF(IF(U$1="""","""",REGEXMATCH(LOWER($E137),XLOOKUP(U$1,Metadata!$A$2:$A1000,Metadata!$B$2:$B1000))),U$1,"""")"),"")</f>
        <v/>
      </c>
      <c r="V137" s="34" t="str">
        <f>IFERROR(__xludf.DUMMYFUNCTION("IF(IF(V$1="""","""",REGEXMATCH(LOWER($E137),XLOOKUP(V$1,Metadata!$A$2:$A1000,Metadata!$B$2:$B1000))),V$1,"""")"),"")</f>
        <v/>
      </c>
      <c r="W137" s="34" t="str">
        <f>IFERROR(__xludf.DUMMYFUNCTION("IF(IF(W$1="""","""",REGEXMATCH(LOWER($E137),XLOOKUP(W$1,Metadata!$A$2:$A1000,Metadata!$B$2:$B1000))),W$1,"""")"),"Move")</f>
        <v>Move</v>
      </c>
      <c r="X137" s="34" t="str">
        <f>IFERROR(__xludf.DUMMYFUNCTION("IF(IF(X$1="""","""",REGEXMATCH(LOWER($E137),XLOOKUP(X$1,Metadata!$A$2:$A1000,Metadata!$B$2:$B1000))),X$1,"""")"),"")</f>
        <v/>
      </c>
      <c r="Y137" s="34" t="str">
        <f>IFERROR(__xludf.DUMMYFUNCTION("IF(IF(Y$1="""","""",REGEXMATCH(LOWER($E137),XLOOKUP(Y$1,Metadata!$A$2:$A1000,Metadata!$B$2:$B1000))),Y$1,"""")"),"")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I138">XLOOKUP($A138,Cards!$A$2:$A1000,Cards!$B$2:$I1000,"")</f>
        <v>Elemental Nature</v>
      </c>
      <c r="C138" s="34">
        <v>0.0</v>
      </c>
      <c r="D138" s="34" t="s">
        <v>938</v>
      </c>
      <c r="E138" s="34" t="s">
        <v>939</v>
      </c>
      <c r="F138" s="34"/>
      <c r="G138" s="34">
        <v>8.0</v>
      </c>
      <c r="H138" s="34" t="s">
        <v>940</v>
      </c>
      <c r="I138" s="34" t="s">
        <v>70</v>
      </c>
      <c r="J138" s="34">
        <f>IFERROR(__xludf.DUMMYFUNCTION("LEN(REGEXREPLACE(XLOOKUP($A138,Cards!$A$2:$A1000,Cards!$H$2:$H1000,""""),"",\s"",""""))"),5.0)</f>
        <v>5</v>
      </c>
      <c r="K138" s="34" t="str">
        <f t="shared" si="1"/>
        <v>       Control     Ambush   </v>
      </c>
      <c r="L138" s="34" t="str">
        <f>IFERROR(__xludf.DUMMYFUNCTION("IF(IF(L$1="""","""",REGEXMATCH(LOWER($E138),XLOOKUP(L$1,Metadata!$A$2:$A1000,Metadata!$B$2:$B1000))),L$1,"""")"),"")</f>
        <v/>
      </c>
      <c r="M138" s="34" t="str">
        <f>IFERROR(__xludf.DUMMYFUNCTION("IF(IF(M$1="""","""",REGEXMATCH(LOWER($E138),XLOOKUP(M$1,Metadata!$A$2:$A1000,Metadata!$B$2:$B1000))),M$1,"""")"),"")</f>
        <v/>
      </c>
      <c r="N138" s="34" t="str">
        <f>IFERROR(__xludf.DUMMYFUNCTION("IF(IF(N$1="""","""",REGEXMATCH(LOWER($E138),XLOOKUP(N$1,Metadata!$A$2:$A1000,Metadata!$B$2:$B1000))),N$1,"""")"),"")</f>
        <v/>
      </c>
      <c r="O138" s="34" t="str">
        <f>IFERROR(__xludf.DUMMYFUNCTION("IF(IF(O$1="""","""",REGEXMATCH(LOWER($E138),XLOOKUP(O$1,Metadata!$A$2:$A1000,Metadata!$B$2:$B1000))),O$1,"""")"),"")</f>
        <v/>
      </c>
      <c r="P138" s="34" t="str">
        <f>IFERROR(__xludf.DUMMYFUNCTION("IF(IF(P$1="""","""",REGEXMATCH(LOWER($E138),XLOOKUP(P$1,Metadata!$A$2:$A1000,Metadata!$B$2:$B1000))),P$1,"""")"),"")</f>
        <v/>
      </c>
      <c r="Q138" s="34" t="str">
        <f>IFERROR(__xludf.DUMMYFUNCTION("IF(IF(Q$1="""","""",REGEXMATCH(LOWER($E138),XLOOKUP(Q$1,Metadata!$A$2:$A1000,Metadata!$B$2:$B1000))),Q$1,"""")"),"")</f>
        <v/>
      </c>
      <c r="R138" s="34" t="str">
        <f>IFERROR(__xludf.DUMMYFUNCTION("IF(IF(R$1="""","""",REGEXMATCH(LOWER($E138),XLOOKUP(R$1,Metadata!$A$2:$A1000,Metadata!$B$2:$B1000))),R$1,"""")"),"")</f>
        <v/>
      </c>
      <c r="S138" s="34" t="str">
        <f>IFERROR(__xludf.DUMMYFUNCTION("IF(IF(S$1="""","""",REGEXMATCH(LOWER($E138),XLOOKUP(S$1,Metadata!$A$2:$A1000,Metadata!$B$2:$B1000))),S$1,"""")"),"Control")</f>
        <v>Control</v>
      </c>
      <c r="T138" s="34" t="str">
        <f>IFERROR(__xludf.DUMMYFUNCTION("IF(IF(T$1="""","""",REGEXMATCH(LOWER($E138),XLOOKUP(T$1,Metadata!$A$2:$A1000,Metadata!$B$2:$B1000))),T$1,"""")"),"")</f>
        <v/>
      </c>
      <c r="U138" s="34" t="str">
        <f>IFERROR(__xludf.DUMMYFUNCTION("IF(IF(U$1="""","""",REGEXMATCH(LOWER($E138),XLOOKUP(U$1,Metadata!$A$2:$A1000,Metadata!$B$2:$B1000))),U$1,"""")"),"")</f>
        <v/>
      </c>
      <c r="V138" s="34" t="str">
        <f>IFERROR(__xludf.DUMMYFUNCTION("IF(IF(V$1="""","""",REGEXMATCH(LOWER($E138),XLOOKUP(V$1,Metadata!$A$2:$A1000,Metadata!$B$2:$B1000))),V$1,"""")"),"")</f>
        <v/>
      </c>
      <c r="W138" s="34" t="str">
        <f>IFERROR(__xludf.DUMMYFUNCTION("IF(IF(W$1="""","""",REGEXMATCH(LOWER($E138),XLOOKUP(W$1,Metadata!$A$2:$A1000,Metadata!$B$2:$B1000))),W$1,"""")"),"")</f>
        <v/>
      </c>
      <c r="X138" s="34" t="str">
        <f>IFERROR(__xludf.DUMMYFUNCTION("IF(IF(X$1="""","""",REGEXMATCH(LOWER($E138),XLOOKUP(X$1,Metadata!$A$2:$A1000,Metadata!$B$2:$B1000))),X$1,"""")"),"Ambush")</f>
        <v>Ambush</v>
      </c>
      <c r="Y138" s="34" t="str">
        <f>IFERROR(__xludf.DUMMYFUNCTION("IF(IF(Y$1="""","""",REGEXMATCH(LOWER($E138),XLOOKUP(Y$1,Metadata!$A$2:$A1000,Metadata!$B$2:$B1000))),Y$1,"""")"),"")</f>
        <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I139">XLOOKUP($A139,Cards!$A$2:$A1000,Cards!$B$2:$I1000,"")</f>
        <v>Elemental Nature</v>
      </c>
      <c r="C139" s="34">
        <v>2.0</v>
      </c>
      <c r="D139" s="34" t="s">
        <v>149</v>
      </c>
      <c r="E139" s="34" t="s">
        <v>942</v>
      </c>
      <c r="F139" s="34" t="s">
        <v>943</v>
      </c>
      <c r="G139" s="34">
        <v>4.0</v>
      </c>
      <c r="H139" s="34" t="s">
        <v>944</v>
      </c>
      <c r="I139" s="34" t="s">
        <v>70</v>
      </c>
      <c r="J139" s="34">
        <f>IFERROR(__xludf.DUMMYFUNCTION("LEN(REGEXREPLACE(XLOOKUP($A139,Cards!$A$2:$A1000,Cards!$H$2:$H1000,""""),"",\s"",""""))"),5.0)</f>
        <v>5</v>
      </c>
      <c r="K139" s="34" t="str">
        <f t="shared" si="1"/>
        <v>               </v>
      </c>
      <c r="L139" s="34" t="str">
        <f>IFERROR(__xludf.DUMMYFUNCTION("IF(IF(L$1="""","""",REGEXMATCH(LOWER($E139),XLOOKUP(L$1,Metadata!$A$2:$A1000,Metadata!$B$2:$B1000))),L$1,"""")"),"")</f>
        <v/>
      </c>
      <c r="M139" s="34" t="str">
        <f>IFERROR(__xludf.DUMMYFUNCTION("IF(IF(M$1="""","""",REGEXMATCH(LOWER($E139),XLOOKUP(M$1,Metadata!$A$2:$A1000,Metadata!$B$2:$B1000))),M$1,"""")"),"")</f>
        <v/>
      </c>
      <c r="N139" s="34" t="str">
        <f>IFERROR(__xludf.DUMMYFUNCTION("IF(IF(N$1="""","""",REGEXMATCH(LOWER($E139),XLOOKUP(N$1,Metadata!$A$2:$A1000,Metadata!$B$2:$B1000))),N$1,"""")"),"")</f>
        <v/>
      </c>
      <c r="O139" s="34" t="str">
        <f>IFERROR(__xludf.DUMMYFUNCTION("IF(IF(O$1="""","""",REGEXMATCH(LOWER($E139),XLOOKUP(O$1,Metadata!$A$2:$A1000,Metadata!$B$2:$B1000))),O$1,"""")"),"")</f>
        <v/>
      </c>
      <c r="P139" s="34" t="str">
        <f>IFERROR(__xludf.DUMMYFUNCTION("IF(IF(P$1="""","""",REGEXMATCH(LOWER($E139),XLOOKUP(P$1,Metadata!$A$2:$A1000,Metadata!$B$2:$B1000))),P$1,"""")"),"")</f>
        <v/>
      </c>
      <c r="Q139" s="34" t="str">
        <f>IFERROR(__xludf.DUMMYFUNCTION("IF(IF(Q$1="""","""",REGEXMATCH(LOWER($E139),XLOOKUP(Q$1,Metadata!$A$2:$A1000,Metadata!$B$2:$B1000))),Q$1,"""")"),"")</f>
        <v/>
      </c>
      <c r="R139" s="34" t="str">
        <f>IFERROR(__xludf.DUMMYFUNCTION("IF(IF(R$1="""","""",REGEXMATCH(LOWER($E139),XLOOKUP(R$1,Metadata!$A$2:$A1000,Metadata!$B$2:$B1000))),R$1,"""")"),"")</f>
        <v/>
      </c>
      <c r="S139" s="34" t="str">
        <f>IFERROR(__xludf.DUMMYFUNCTION("IF(IF(S$1="""","""",REGEXMATCH(LOWER($E139),XLOOKUP(S$1,Metadata!$A$2:$A1000,Metadata!$B$2:$B1000))),S$1,"""")"),"")</f>
        <v/>
      </c>
      <c r="T139" s="34" t="str">
        <f>IFERROR(__xludf.DUMMYFUNCTION("IF(IF(T$1="""","""",REGEXMATCH(LOWER($E139),XLOOKUP(T$1,Metadata!$A$2:$A1000,Metadata!$B$2:$B1000))),T$1,"""")"),"")</f>
        <v/>
      </c>
      <c r="U139" s="34" t="str">
        <f>IFERROR(__xludf.DUMMYFUNCTION("IF(IF(U$1="""","""",REGEXMATCH(LOWER($E139),XLOOKUP(U$1,Metadata!$A$2:$A1000,Metadata!$B$2:$B1000))),U$1,"""")"),"")</f>
        <v/>
      </c>
      <c r="V139" s="34" t="str">
        <f>IFERROR(__xludf.DUMMYFUNCTION("IF(IF(V$1="""","""",REGEXMATCH(LOWER($E139),XLOOKUP(V$1,Metadata!$A$2:$A1000,Metadata!$B$2:$B1000))),V$1,"""")"),"")</f>
        <v/>
      </c>
      <c r="W139" s="34" t="str">
        <f>IFERROR(__xludf.DUMMYFUNCTION("IF(IF(W$1="""","""",REGEXMATCH(LOWER($E139),XLOOKUP(W$1,Metadata!$A$2:$A1000,Metadata!$B$2:$B1000))),W$1,"""")"),"")</f>
        <v/>
      </c>
      <c r="X139" s="34" t="str">
        <f>IFERROR(__xludf.DUMMYFUNCTION("IF(IF(X$1="""","""",REGEXMATCH(LOWER($E139),XLOOKUP(X$1,Metadata!$A$2:$A1000,Metadata!$B$2:$B1000))),X$1,"""")"),"")</f>
        <v/>
      </c>
      <c r="Y139" s="34" t="str">
        <f>IFERROR(__xludf.DUMMYFUNCTION("IF(IF(Y$1="""","""",REGEXMATCH(LOWER($E139),XLOOKUP(Y$1,Metadata!$A$2:$A1000,Metadata!$B$2:$B1000))),Y$1,"""")"),"")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I140">XLOOKUP($A140,Cards!$A$2:$A1000,Cards!$B$2:$I1000,"")</f>
        <v>Elemental</v>
      </c>
      <c r="C140" s="34">
        <v>1.0</v>
      </c>
      <c r="D140" s="34" t="s">
        <v>792</v>
      </c>
      <c r="E140" s="34" t="s">
        <v>946</v>
      </c>
      <c r="F140" s="34" t="s">
        <v>947</v>
      </c>
      <c r="G140" s="34">
        <v>4.0</v>
      </c>
      <c r="H140" s="34" t="s">
        <v>526</v>
      </c>
      <c r="I140" s="34" t="s">
        <v>32</v>
      </c>
      <c r="J140" s="34">
        <f>IFERROR(__xludf.DUMMYFUNCTION("LEN(REGEXREPLACE(XLOOKUP($A140,Cards!$A$2:$A1000,Cards!$H$2:$H1000,""""),"",\s"",""""))"),5.0)</f>
        <v>5</v>
      </c>
      <c r="K140" s="34" t="str">
        <f t="shared" si="1"/>
        <v>               </v>
      </c>
      <c r="L140" s="34" t="str">
        <f>IFERROR(__xludf.DUMMYFUNCTION("IF(IF(L$1="""","""",REGEXMATCH(LOWER($E140),XLOOKUP(L$1,Metadata!$A$2:$A1000,Metadata!$B$2:$B1000))),L$1,"""")"),"")</f>
        <v/>
      </c>
      <c r="M140" s="34" t="str">
        <f>IFERROR(__xludf.DUMMYFUNCTION("IF(IF(M$1="""","""",REGEXMATCH(LOWER($E140),XLOOKUP(M$1,Metadata!$A$2:$A1000,Metadata!$B$2:$B1000))),M$1,"""")"),"")</f>
        <v/>
      </c>
      <c r="N140" s="34" t="str">
        <f>IFERROR(__xludf.DUMMYFUNCTION("IF(IF(N$1="""","""",REGEXMATCH(LOWER($E140),XLOOKUP(N$1,Metadata!$A$2:$A1000,Metadata!$B$2:$B1000))),N$1,"""")"),"")</f>
        <v/>
      </c>
      <c r="O140" s="34" t="str">
        <f>IFERROR(__xludf.DUMMYFUNCTION("IF(IF(O$1="""","""",REGEXMATCH(LOWER($E140),XLOOKUP(O$1,Metadata!$A$2:$A1000,Metadata!$B$2:$B1000))),O$1,"""")"),"")</f>
        <v/>
      </c>
      <c r="P140" s="34" t="str">
        <f>IFERROR(__xludf.DUMMYFUNCTION("IF(IF(P$1="""","""",REGEXMATCH(LOWER($E140),XLOOKUP(P$1,Metadata!$A$2:$A1000,Metadata!$B$2:$B1000))),P$1,"""")"),"")</f>
        <v/>
      </c>
      <c r="Q140" s="34" t="str">
        <f>IFERROR(__xludf.DUMMYFUNCTION("IF(IF(Q$1="""","""",REGEXMATCH(LOWER($E140),XLOOKUP(Q$1,Metadata!$A$2:$A1000,Metadata!$B$2:$B1000))),Q$1,"""")"),"")</f>
        <v/>
      </c>
      <c r="R140" s="34" t="str">
        <f>IFERROR(__xludf.DUMMYFUNCTION("IF(IF(R$1="""","""",REGEXMATCH(LOWER($E140),XLOOKUP(R$1,Metadata!$A$2:$A1000,Metadata!$B$2:$B1000))),R$1,"""")"),"")</f>
        <v/>
      </c>
      <c r="S140" s="34" t="str">
        <f>IFERROR(__xludf.DUMMYFUNCTION("IF(IF(S$1="""","""",REGEXMATCH(LOWER($E140),XLOOKUP(S$1,Metadata!$A$2:$A1000,Metadata!$B$2:$B1000))),S$1,"""")"),"")</f>
        <v/>
      </c>
      <c r="T140" s="34" t="str">
        <f>IFERROR(__xludf.DUMMYFUNCTION("IF(IF(T$1="""","""",REGEXMATCH(LOWER($E140),XLOOKUP(T$1,Metadata!$A$2:$A1000,Metadata!$B$2:$B1000))),T$1,"""")"),"")</f>
        <v/>
      </c>
      <c r="U140" s="34" t="str">
        <f>IFERROR(__xludf.DUMMYFUNCTION("IF(IF(U$1="""","""",REGEXMATCH(LOWER($E140),XLOOKUP(U$1,Metadata!$A$2:$A1000,Metadata!$B$2:$B1000))),U$1,"""")"),"")</f>
        <v/>
      </c>
      <c r="V140" s="34" t="str">
        <f>IFERROR(__xludf.DUMMYFUNCTION("IF(IF(V$1="""","""",REGEXMATCH(LOWER($E140),XLOOKUP(V$1,Metadata!$A$2:$A1000,Metadata!$B$2:$B1000))),V$1,"""")"),"")</f>
        <v/>
      </c>
      <c r="W140" s="34" t="str">
        <f>IFERROR(__xludf.DUMMYFUNCTION("IF(IF(W$1="""","""",REGEXMATCH(LOWER($E140),XLOOKUP(W$1,Metadata!$A$2:$A1000,Metadata!$B$2:$B1000))),W$1,"""")"),"")</f>
        <v/>
      </c>
      <c r="X140" s="34" t="str">
        <f>IFERROR(__xludf.DUMMYFUNCTION("IF(IF(X$1="""","""",REGEXMATCH(LOWER($E140),XLOOKUP(X$1,Metadata!$A$2:$A1000,Metadata!$B$2:$B1000))),X$1,"""")"),"")</f>
        <v/>
      </c>
      <c r="Y140" s="34" t="str">
        <f>IFERROR(__xludf.DUMMYFUNCTION("IF(IF(Y$1="""","""",REGEXMATCH(LOWER($E140),XLOOKUP(Y$1,Metadata!$A$2:$A1000,Metadata!$B$2:$B1000))),Y$1,"""")"),"")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I141">XLOOKUP($A141,Cards!$A$2:$A1000,Cards!$B$2:$I1000,"")</f>
        <v>Elemental Nature</v>
      </c>
      <c r="C141" s="34">
        <v>2.0</v>
      </c>
      <c r="D141" s="34" t="s">
        <v>938</v>
      </c>
      <c r="E141" s="34" t="s">
        <v>960</v>
      </c>
      <c r="F141" s="34" t="s">
        <v>961</v>
      </c>
      <c r="G141" s="34">
        <v>5.0</v>
      </c>
      <c r="H141" s="34" t="s">
        <v>944</v>
      </c>
      <c r="I141" s="34" t="s">
        <v>70</v>
      </c>
      <c r="J141" s="34">
        <f>IFERROR(__xludf.DUMMYFUNCTION("LEN(REGEXREPLACE(XLOOKUP($A141,Cards!$A$2:$A1000,Cards!$H$2:$H1000,""""),"",\s"",""""))"),5.0)</f>
        <v>5</v>
      </c>
      <c r="K141" s="34" t="str">
        <f t="shared" si="1"/>
        <v>           Move    </v>
      </c>
      <c r="L141" s="34" t="str">
        <f>IFERROR(__xludf.DUMMYFUNCTION("IF(IF(L$1="""","""",REGEXMATCH(LOWER($E141),XLOOKUP(L$1,Metadata!$A$2:$A1000,Metadata!$B$2:$B1000))),L$1,"""")"),"")</f>
        <v/>
      </c>
      <c r="M141" s="34" t="str">
        <f>IFERROR(__xludf.DUMMYFUNCTION("IF(IF(M$1="""","""",REGEXMATCH(LOWER($E141),XLOOKUP(M$1,Metadata!$A$2:$A1000,Metadata!$B$2:$B1000))),M$1,"""")"),"")</f>
        <v/>
      </c>
      <c r="N141" s="34" t="str">
        <f>IFERROR(__xludf.DUMMYFUNCTION("IF(IF(N$1="""","""",REGEXMATCH(LOWER($E141),XLOOKUP(N$1,Metadata!$A$2:$A1000,Metadata!$B$2:$B1000))),N$1,"""")"),"")</f>
        <v/>
      </c>
      <c r="O141" s="34" t="str">
        <f>IFERROR(__xludf.DUMMYFUNCTION("IF(IF(O$1="""","""",REGEXMATCH(LOWER($E141),XLOOKUP(O$1,Metadata!$A$2:$A1000,Metadata!$B$2:$B1000))),O$1,"""")"),"")</f>
        <v/>
      </c>
      <c r="P141" s="34" t="str">
        <f>IFERROR(__xludf.DUMMYFUNCTION("IF(IF(P$1="""","""",REGEXMATCH(LOWER($E141),XLOOKUP(P$1,Metadata!$A$2:$A1000,Metadata!$B$2:$B1000))),P$1,"""")"),"")</f>
        <v/>
      </c>
      <c r="Q141" s="34" t="str">
        <f>IFERROR(__xludf.DUMMYFUNCTION("IF(IF(Q$1="""","""",REGEXMATCH(LOWER($E141),XLOOKUP(Q$1,Metadata!$A$2:$A1000,Metadata!$B$2:$B1000))),Q$1,"""")"),"")</f>
        <v/>
      </c>
      <c r="R141" s="34" t="str">
        <f>IFERROR(__xludf.DUMMYFUNCTION("IF(IF(R$1="""","""",REGEXMATCH(LOWER($E141),XLOOKUP(R$1,Metadata!$A$2:$A1000,Metadata!$B$2:$B1000))),R$1,"""")"),"")</f>
        <v/>
      </c>
      <c r="S141" s="34" t="str">
        <f>IFERROR(__xludf.DUMMYFUNCTION("IF(IF(S$1="""","""",REGEXMATCH(LOWER($E141),XLOOKUP(S$1,Metadata!$A$2:$A1000,Metadata!$B$2:$B1000))),S$1,"""")"),"")</f>
        <v/>
      </c>
      <c r="T141" s="34" t="str">
        <f>IFERROR(__xludf.DUMMYFUNCTION("IF(IF(T$1="""","""",REGEXMATCH(LOWER($E141),XLOOKUP(T$1,Metadata!$A$2:$A1000,Metadata!$B$2:$B1000))),T$1,"""")"),"")</f>
        <v/>
      </c>
      <c r="U141" s="34" t="str">
        <f>IFERROR(__xludf.DUMMYFUNCTION("IF(IF(U$1="""","""",REGEXMATCH(LOWER($E141),XLOOKUP(U$1,Metadata!$A$2:$A1000,Metadata!$B$2:$B1000))),U$1,"""")"),"")</f>
        <v/>
      </c>
      <c r="V141" s="34" t="str">
        <f>IFERROR(__xludf.DUMMYFUNCTION("IF(IF(V$1="""","""",REGEXMATCH(LOWER($E141),XLOOKUP(V$1,Metadata!$A$2:$A1000,Metadata!$B$2:$B1000))),V$1,"""")"),"")</f>
        <v/>
      </c>
      <c r="W141" s="34" t="str">
        <f>IFERROR(__xludf.DUMMYFUNCTION("IF(IF(W$1="""","""",REGEXMATCH(LOWER($E141),XLOOKUP(W$1,Metadata!$A$2:$A1000,Metadata!$B$2:$B1000))),W$1,"""")"),"Move")</f>
        <v>Move</v>
      </c>
      <c r="X141" s="34" t="str">
        <f>IFERROR(__xludf.DUMMYFUNCTION("IF(IF(X$1="""","""",REGEXMATCH(LOWER($E141),XLOOKUP(X$1,Metadata!$A$2:$A1000,Metadata!$B$2:$B1000))),X$1,"""")"),"")</f>
        <v/>
      </c>
      <c r="Y141" s="34" t="str">
        <f>IFERROR(__xludf.DUMMYFUNCTION("IF(IF(Y$1="""","""",REGEXMATCH(LOWER($E141),XLOOKUP(Y$1,Metadata!$A$2:$A1000,Metadata!$B$2:$B1000))),Y$1,"""")"),"")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I142">XLOOKUP($A142,Cards!$A$2:$A1000,Cards!$B$2:$I1000,"")</f>
        <v>Elemental</v>
      </c>
      <c r="C142" s="34">
        <v>1.0</v>
      </c>
      <c r="D142" s="34" t="s">
        <v>519</v>
      </c>
      <c r="E142" s="34"/>
      <c r="F142" s="34"/>
      <c r="G142" s="34">
        <v>3.0</v>
      </c>
      <c r="H142" s="34" t="s">
        <v>421</v>
      </c>
      <c r="I142" s="34" t="s">
        <v>26</v>
      </c>
      <c r="J142" s="34">
        <f>IFERROR(__xludf.DUMMYFUNCTION("LEN(REGEXREPLACE(XLOOKUP($A142,Cards!$A$2:$A1000,Cards!$H$2:$H1000,""""),"",\s"",""""))"),3.0)</f>
        <v>3</v>
      </c>
      <c r="K142" s="34" t="str">
        <f t="shared" si="1"/>
        <v>               </v>
      </c>
      <c r="L142" s="34" t="str">
        <f>IFERROR(__xludf.DUMMYFUNCTION("IF(IF(L$1="""","""",REGEXMATCH(LOWER($E142),XLOOKUP(L$1,Metadata!$A$2:$A1000,Metadata!$B$2:$B1000))),L$1,"""")"),"")</f>
        <v/>
      </c>
      <c r="M142" s="34" t="str">
        <f>IFERROR(__xludf.DUMMYFUNCTION("IF(IF(M$1="""","""",REGEXMATCH(LOWER($E142),XLOOKUP(M$1,Metadata!$A$2:$A1000,Metadata!$B$2:$B1000))),M$1,"""")"),"")</f>
        <v/>
      </c>
      <c r="N142" s="34" t="str">
        <f>IFERROR(__xludf.DUMMYFUNCTION("IF(IF(N$1="""","""",REGEXMATCH(LOWER($E142),XLOOKUP(N$1,Metadata!$A$2:$A1000,Metadata!$B$2:$B1000))),N$1,"""")"),"")</f>
        <v/>
      </c>
      <c r="O142" s="34" t="str">
        <f>IFERROR(__xludf.DUMMYFUNCTION("IF(IF(O$1="""","""",REGEXMATCH(LOWER($E142),XLOOKUP(O$1,Metadata!$A$2:$A1000,Metadata!$B$2:$B1000))),O$1,"""")"),"")</f>
        <v/>
      </c>
      <c r="P142" s="34" t="str">
        <f>IFERROR(__xludf.DUMMYFUNCTION("IF(IF(P$1="""","""",REGEXMATCH(LOWER($E142),XLOOKUP(P$1,Metadata!$A$2:$A1000,Metadata!$B$2:$B1000))),P$1,"""")"),"")</f>
        <v/>
      </c>
      <c r="Q142" s="34" t="str">
        <f>IFERROR(__xludf.DUMMYFUNCTION("IF(IF(Q$1="""","""",REGEXMATCH(LOWER($E142),XLOOKUP(Q$1,Metadata!$A$2:$A1000,Metadata!$B$2:$B1000))),Q$1,"""")"),"")</f>
        <v/>
      </c>
      <c r="R142" s="34" t="str">
        <f>IFERROR(__xludf.DUMMYFUNCTION("IF(IF(R$1="""","""",REGEXMATCH(LOWER($E142),XLOOKUP(R$1,Metadata!$A$2:$A1000,Metadata!$B$2:$B1000))),R$1,"""")"),"")</f>
        <v/>
      </c>
      <c r="S142" s="34" t="str">
        <f>IFERROR(__xludf.DUMMYFUNCTION("IF(IF(S$1="""","""",REGEXMATCH(LOWER($E142),XLOOKUP(S$1,Metadata!$A$2:$A1000,Metadata!$B$2:$B1000))),S$1,"""")"),"")</f>
        <v/>
      </c>
      <c r="T142" s="34" t="str">
        <f>IFERROR(__xludf.DUMMYFUNCTION("IF(IF(T$1="""","""",REGEXMATCH(LOWER($E142),XLOOKUP(T$1,Metadata!$A$2:$A1000,Metadata!$B$2:$B1000))),T$1,"""")"),"")</f>
        <v/>
      </c>
      <c r="U142" s="34" t="str">
        <f>IFERROR(__xludf.DUMMYFUNCTION("IF(IF(U$1="""","""",REGEXMATCH(LOWER($E142),XLOOKUP(U$1,Metadata!$A$2:$A1000,Metadata!$B$2:$B1000))),U$1,"""")"),"")</f>
        <v/>
      </c>
      <c r="V142" s="34" t="str">
        <f>IFERROR(__xludf.DUMMYFUNCTION("IF(IF(V$1="""","""",REGEXMATCH(LOWER($E142),XLOOKUP(V$1,Metadata!$A$2:$A1000,Metadata!$B$2:$B1000))),V$1,"""")"),"")</f>
        <v/>
      </c>
      <c r="W142" s="34" t="str">
        <f>IFERROR(__xludf.DUMMYFUNCTION("IF(IF(W$1="""","""",REGEXMATCH(LOWER($E142),XLOOKUP(W$1,Metadata!$A$2:$A1000,Metadata!$B$2:$B1000))),W$1,"""")"),"")</f>
        <v/>
      </c>
      <c r="X142" s="34" t="str">
        <f>IFERROR(__xludf.DUMMYFUNCTION("IF(IF(X$1="""","""",REGEXMATCH(LOWER($E142),XLOOKUP(X$1,Metadata!$A$2:$A1000,Metadata!$B$2:$B1000))),X$1,"""")"),"")</f>
        <v/>
      </c>
      <c r="Y142" s="34" t="str">
        <f>IFERROR(__xludf.DUMMYFUNCTION("IF(IF(Y$1="""","""",REGEXMATCH(LOWER($E142),XLOOKUP(Y$1,Metadata!$A$2:$A1000,Metadata!$B$2:$B1000))),Y$1,"""")"),"")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I143">XLOOKUP($A143,Cards!$A$2:$A1000,Cards!$B$2:$I1000,"")</f>
        <v>Elemental Void</v>
      </c>
      <c r="C143" s="34">
        <v>2.0</v>
      </c>
      <c r="D143" s="34" t="s">
        <v>539</v>
      </c>
      <c r="E143" s="34" t="s">
        <v>965</v>
      </c>
      <c r="F143" s="34" t="s">
        <v>663</v>
      </c>
      <c r="G143" s="34">
        <v>0.0</v>
      </c>
      <c r="H143" s="34" t="s">
        <v>966</v>
      </c>
      <c r="I143" s="34" t="s">
        <v>70</v>
      </c>
      <c r="J143" s="34">
        <f>IFERROR(__xludf.DUMMYFUNCTION("LEN(REGEXREPLACE(XLOOKUP($A143,Cards!$A$2:$A1000,Cards!$H$2:$H1000,""""),"",\s"",""""))"),2.0)</f>
        <v>2</v>
      </c>
      <c r="K143" s="34" t="str">
        <f t="shared" si="1"/>
        <v>               </v>
      </c>
      <c r="L143" s="34" t="str">
        <f>IFERROR(__xludf.DUMMYFUNCTION("IF(IF(L$1="""","""",REGEXMATCH(LOWER($E143),XLOOKUP(L$1,Metadata!$A$2:$A1000,Metadata!$B$2:$B1000))),L$1,"""")"),"")</f>
        <v/>
      </c>
      <c r="M143" s="34" t="str">
        <f>IFERROR(__xludf.DUMMYFUNCTION("IF(IF(M$1="""","""",REGEXMATCH(LOWER($E143),XLOOKUP(M$1,Metadata!$A$2:$A1000,Metadata!$B$2:$B1000))),M$1,"""")"),"")</f>
        <v/>
      </c>
      <c r="N143" s="34" t="str">
        <f>IFERROR(__xludf.DUMMYFUNCTION("IF(IF(N$1="""","""",REGEXMATCH(LOWER($E143),XLOOKUP(N$1,Metadata!$A$2:$A1000,Metadata!$B$2:$B1000))),N$1,"""")"),"")</f>
        <v/>
      </c>
      <c r="O143" s="34" t="str">
        <f>IFERROR(__xludf.DUMMYFUNCTION("IF(IF(O$1="""","""",REGEXMATCH(LOWER($E143),XLOOKUP(O$1,Metadata!$A$2:$A1000,Metadata!$B$2:$B1000))),O$1,"""")"),"")</f>
        <v/>
      </c>
      <c r="P143" s="34" t="str">
        <f>IFERROR(__xludf.DUMMYFUNCTION("IF(IF(P$1="""","""",REGEXMATCH(LOWER($E143),XLOOKUP(P$1,Metadata!$A$2:$A1000,Metadata!$B$2:$B1000))),P$1,"""")"),"")</f>
        <v/>
      </c>
      <c r="Q143" s="34" t="str">
        <f>IFERROR(__xludf.DUMMYFUNCTION("IF(IF(Q$1="""","""",REGEXMATCH(LOWER($E143),XLOOKUP(Q$1,Metadata!$A$2:$A1000,Metadata!$B$2:$B1000))),Q$1,"""")"),"")</f>
        <v/>
      </c>
      <c r="R143" s="34" t="str">
        <f>IFERROR(__xludf.DUMMYFUNCTION("IF(IF(R$1="""","""",REGEXMATCH(LOWER($E143),XLOOKUP(R$1,Metadata!$A$2:$A1000,Metadata!$B$2:$B1000))),R$1,"""")"),"")</f>
        <v/>
      </c>
      <c r="S143" s="34" t="str">
        <f>IFERROR(__xludf.DUMMYFUNCTION("IF(IF(S$1="""","""",REGEXMATCH(LOWER($E143),XLOOKUP(S$1,Metadata!$A$2:$A1000,Metadata!$B$2:$B1000))),S$1,"""")"),"")</f>
        <v/>
      </c>
      <c r="T143" s="34" t="str">
        <f>IFERROR(__xludf.DUMMYFUNCTION("IF(IF(T$1="""","""",REGEXMATCH(LOWER($E143),XLOOKUP(T$1,Metadata!$A$2:$A1000,Metadata!$B$2:$B1000))),T$1,"""")"),"")</f>
        <v/>
      </c>
      <c r="U143" s="34" t="str">
        <f>IFERROR(__xludf.DUMMYFUNCTION("IF(IF(U$1="""","""",REGEXMATCH(LOWER($E143),XLOOKUP(U$1,Metadata!$A$2:$A1000,Metadata!$B$2:$B1000))),U$1,"""")"),"")</f>
        <v/>
      </c>
      <c r="V143" s="34" t="str">
        <f>IFERROR(__xludf.DUMMYFUNCTION("IF(IF(V$1="""","""",REGEXMATCH(LOWER($E143),XLOOKUP(V$1,Metadata!$A$2:$A1000,Metadata!$B$2:$B1000))),V$1,"""")"),"")</f>
        <v/>
      </c>
      <c r="W143" s="34" t="str">
        <f>IFERROR(__xludf.DUMMYFUNCTION("IF(IF(W$1="""","""",REGEXMATCH(LOWER($E143),XLOOKUP(W$1,Metadata!$A$2:$A1000,Metadata!$B$2:$B1000))),W$1,"""")"),"")</f>
        <v/>
      </c>
      <c r="X143" s="34" t="str">
        <f>IFERROR(__xludf.DUMMYFUNCTION("IF(IF(X$1="""","""",REGEXMATCH(LOWER($E143),XLOOKUP(X$1,Metadata!$A$2:$A1000,Metadata!$B$2:$B1000))),X$1,"""")"),"")</f>
        <v/>
      </c>
      <c r="Y143" s="34" t="str">
        <f>IFERROR(__xludf.DUMMYFUNCTION("IF(IF(Y$1="""","""",REGEXMATCH(LOWER($E143),XLOOKUP(Y$1,Metadata!$A$2:$A1000,Metadata!$B$2:$B1000))),Y$1,"""")"),"")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I144">XLOOKUP($A144,Cards!$A$2:$A1000,Cards!$B$2:$I1000,"")</f>
        <v>Elemental Void</v>
      </c>
      <c r="C144" s="34">
        <v>2.0</v>
      </c>
      <c r="D144" s="34" t="s">
        <v>968</v>
      </c>
      <c r="E144" s="34" t="s">
        <v>969</v>
      </c>
      <c r="F144" s="34" t="s">
        <v>970</v>
      </c>
      <c r="G144" s="34">
        <v>3.0</v>
      </c>
      <c r="H144" s="34" t="s">
        <v>971</v>
      </c>
      <c r="I144" s="34" t="s">
        <v>70</v>
      </c>
      <c r="J144" s="34">
        <f>IFERROR(__xludf.DUMMYFUNCTION("LEN(REGEXREPLACE(XLOOKUP($A144,Cards!$A$2:$A1000,Cards!$H$2:$H1000,""""),"",\s"",""""))"),5.0)</f>
        <v>5</v>
      </c>
      <c r="K144" s="34" t="str">
        <f t="shared" si="1"/>
        <v>     Unearth       Ambush   </v>
      </c>
      <c r="L144" s="34" t="str">
        <f>IFERROR(__xludf.DUMMYFUNCTION("IF(IF(L$1="""","""",REGEXMATCH(LOWER($E144),XLOOKUP(L$1,Metadata!$A$2:$A1000,Metadata!$B$2:$B1000))),L$1,"""")"),"")</f>
        <v/>
      </c>
      <c r="M144" s="34" t="str">
        <f>IFERROR(__xludf.DUMMYFUNCTION("IF(IF(M$1="""","""",REGEXMATCH(LOWER($E144),XLOOKUP(M$1,Metadata!$A$2:$A1000,Metadata!$B$2:$B1000))),M$1,"""")"),"")</f>
        <v/>
      </c>
      <c r="N144" s="34" t="str">
        <f>IFERROR(__xludf.DUMMYFUNCTION("IF(IF(N$1="""","""",REGEXMATCH(LOWER($E144),XLOOKUP(N$1,Metadata!$A$2:$A1000,Metadata!$B$2:$B1000))),N$1,"""")"),"")</f>
        <v/>
      </c>
      <c r="O144" s="34" t="str">
        <f>IFERROR(__xludf.DUMMYFUNCTION("IF(IF(O$1="""","""",REGEXMATCH(LOWER($E144),XLOOKUP(O$1,Metadata!$A$2:$A1000,Metadata!$B$2:$B1000))),O$1,"""")"),"")</f>
        <v/>
      </c>
      <c r="P144" s="34" t="str">
        <f>IFERROR(__xludf.DUMMYFUNCTION("IF(IF(P$1="""","""",REGEXMATCH(LOWER($E144),XLOOKUP(P$1,Metadata!$A$2:$A1000,Metadata!$B$2:$B1000))),P$1,"""")"),"")</f>
        <v/>
      </c>
      <c r="Q144" s="34" t="str">
        <f>IFERROR(__xludf.DUMMYFUNCTION("IF(IF(Q$1="""","""",REGEXMATCH(LOWER($E144),XLOOKUP(Q$1,Metadata!$A$2:$A1000,Metadata!$B$2:$B1000))),Q$1,"""")"),"Unearth")</f>
        <v>Unearth</v>
      </c>
      <c r="R144" s="34" t="str">
        <f>IFERROR(__xludf.DUMMYFUNCTION("IF(IF(R$1="""","""",REGEXMATCH(LOWER($E144),XLOOKUP(R$1,Metadata!$A$2:$A1000,Metadata!$B$2:$B1000))),R$1,"""")"),"")</f>
        <v/>
      </c>
      <c r="S144" s="34" t="str">
        <f>IFERROR(__xludf.DUMMYFUNCTION("IF(IF(S$1="""","""",REGEXMATCH(LOWER($E144),XLOOKUP(S$1,Metadata!$A$2:$A1000,Metadata!$B$2:$B1000))),S$1,"""")"),"")</f>
        <v/>
      </c>
      <c r="T144" s="34" t="str">
        <f>IFERROR(__xludf.DUMMYFUNCTION("IF(IF(T$1="""","""",REGEXMATCH(LOWER($E144),XLOOKUP(T$1,Metadata!$A$2:$A1000,Metadata!$B$2:$B1000))),T$1,"""")"),"")</f>
        <v/>
      </c>
      <c r="U144" s="34" t="str">
        <f>IFERROR(__xludf.DUMMYFUNCTION("IF(IF(U$1="""","""",REGEXMATCH(LOWER($E144),XLOOKUP(U$1,Metadata!$A$2:$A1000,Metadata!$B$2:$B1000))),U$1,"""")"),"")</f>
        <v/>
      </c>
      <c r="V144" s="34" t="str">
        <f>IFERROR(__xludf.DUMMYFUNCTION("IF(IF(V$1="""","""",REGEXMATCH(LOWER($E144),XLOOKUP(V$1,Metadata!$A$2:$A1000,Metadata!$B$2:$B1000))),V$1,"""")"),"")</f>
        <v/>
      </c>
      <c r="W144" s="34" t="str">
        <f>IFERROR(__xludf.DUMMYFUNCTION("IF(IF(W$1="""","""",REGEXMATCH(LOWER($E144),XLOOKUP(W$1,Metadata!$A$2:$A1000,Metadata!$B$2:$B1000))),W$1,"""")"),"")</f>
        <v/>
      </c>
      <c r="X144" s="34" t="str">
        <f>IFERROR(__xludf.DUMMYFUNCTION("IF(IF(X$1="""","""",REGEXMATCH(LOWER($E144),XLOOKUP(X$1,Metadata!$A$2:$A1000,Metadata!$B$2:$B1000))),X$1,"""")"),"Ambush")</f>
        <v>Ambush</v>
      </c>
      <c r="Y144" s="34" t="str">
        <f>IFERROR(__xludf.DUMMYFUNCTION("IF(IF(Y$1="""","""",REGEXMATCH(LOWER($E144),XLOOKUP(Y$1,Metadata!$A$2:$A1000,Metadata!$B$2:$B1000))),Y$1,"""")"),"")</f>
        <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I145">XLOOKUP($A145,Cards!$A$2:$A1000,Cards!$B$2:$I1000,"")</f>
        <v>Elemental Void</v>
      </c>
      <c r="C145" s="34">
        <v>0.0</v>
      </c>
      <c r="D145" s="34" t="s">
        <v>651</v>
      </c>
      <c r="E145" s="34" t="s">
        <v>973</v>
      </c>
      <c r="F145" s="34" t="s">
        <v>974</v>
      </c>
      <c r="G145" s="34">
        <v>7.0</v>
      </c>
      <c r="H145" s="34" t="s">
        <v>975</v>
      </c>
      <c r="I145" s="34" t="s">
        <v>70</v>
      </c>
      <c r="J145" s="34">
        <f>IFERROR(__xludf.DUMMYFUNCTION("LEN(REGEXREPLACE(XLOOKUP($A145,Cards!$A$2:$A1000,Cards!$H$2:$H1000,""""),"",\s"",""""))"),6.0)</f>
        <v>6</v>
      </c>
      <c r="K145" s="34" t="str">
        <f t="shared" si="1"/>
        <v>       Control   Empty-Crystal  Ambush   </v>
      </c>
      <c r="L145" s="34" t="str">
        <f>IFERROR(__xludf.DUMMYFUNCTION("IF(IF(L$1="""","""",REGEXMATCH(LOWER($E145),XLOOKUP(L$1,Metadata!$A$2:$A1000,Metadata!$B$2:$B1000))),L$1,"""")"),"")</f>
        <v/>
      </c>
      <c r="M145" s="34" t="str">
        <f>IFERROR(__xludf.DUMMYFUNCTION("IF(IF(M$1="""","""",REGEXMATCH(LOWER($E145),XLOOKUP(M$1,Metadata!$A$2:$A1000,Metadata!$B$2:$B1000))),M$1,"""")"),"")</f>
        <v/>
      </c>
      <c r="N145" s="34" t="str">
        <f>IFERROR(__xludf.DUMMYFUNCTION("IF(IF(N$1="""","""",REGEXMATCH(LOWER($E145),XLOOKUP(N$1,Metadata!$A$2:$A1000,Metadata!$B$2:$B1000))),N$1,"""")"),"")</f>
        <v/>
      </c>
      <c r="O145" s="34" t="str">
        <f>IFERROR(__xludf.DUMMYFUNCTION("IF(IF(O$1="""","""",REGEXMATCH(LOWER($E145),XLOOKUP(O$1,Metadata!$A$2:$A1000,Metadata!$B$2:$B1000))),O$1,"""")"),"")</f>
        <v/>
      </c>
      <c r="P145" s="34" t="str">
        <f>IFERROR(__xludf.DUMMYFUNCTION("IF(IF(P$1="""","""",REGEXMATCH(LOWER($E145),XLOOKUP(P$1,Metadata!$A$2:$A1000,Metadata!$B$2:$B1000))),P$1,"""")"),"")</f>
        <v/>
      </c>
      <c r="Q145" s="34" t="str">
        <f>IFERROR(__xludf.DUMMYFUNCTION("IF(IF(Q$1="""","""",REGEXMATCH(LOWER($E145),XLOOKUP(Q$1,Metadata!$A$2:$A1000,Metadata!$B$2:$B1000))),Q$1,"""")"),"")</f>
        <v/>
      </c>
      <c r="R145" s="34" t="str">
        <f>IFERROR(__xludf.DUMMYFUNCTION("IF(IF(R$1="""","""",REGEXMATCH(LOWER($E145),XLOOKUP(R$1,Metadata!$A$2:$A1000,Metadata!$B$2:$B1000))),R$1,"""")"),"")</f>
        <v/>
      </c>
      <c r="S145" s="34" t="str">
        <f>IFERROR(__xludf.DUMMYFUNCTION("IF(IF(S$1="""","""",REGEXMATCH(LOWER($E145),XLOOKUP(S$1,Metadata!$A$2:$A1000,Metadata!$B$2:$B1000))),S$1,"""")"),"Control")</f>
        <v>Control</v>
      </c>
      <c r="T145" s="34" t="str">
        <f>IFERROR(__xludf.DUMMYFUNCTION("IF(IF(T$1="""","""",REGEXMATCH(LOWER($E145),XLOOKUP(T$1,Metadata!$A$2:$A1000,Metadata!$B$2:$B1000))),T$1,"""")"),"")</f>
        <v/>
      </c>
      <c r="U145" s="34" t="str">
        <f>IFERROR(__xludf.DUMMYFUNCTION("IF(IF(U$1="""","""",REGEXMATCH(LOWER($E145),XLOOKUP(U$1,Metadata!$A$2:$A1000,Metadata!$B$2:$B1000))),U$1,"""")"),"")</f>
        <v/>
      </c>
      <c r="V145" s="34" t="str">
        <f>IFERROR(__xludf.DUMMYFUNCTION("IF(IF(V$1="""","""",REGEXMATCH(LOWER($E145),XLOOKUP(V$1,Metadata!$A$2:$A1000,Metadata!$B$2:$B1000))),V$1,"""")"),"Empty-Crystal")</f>
        <v>Empty-Crystal</v>
      </c>
      <c r="W145" s="34" t="str">
        <f>IFERROR(__xludf.DUMMYFUNCTION("IF(IF(W$1="""","""",REGEXMATCH(LOWER($E145),XLOOKUP(W$1,Metadata!$A$2:$A1000,Metadata!$B$2:$B1000))),W$1,"""")"),"")</f>
        <v/>
      </c>
      <c r="X145" s="34" t="str">
        <f>IFERROR(__xludf.DUMMYFUNCTION("IF(IF(X$1="""","""",REGEXMATCH(LOWER($E145),XLOOKUP(X$1,Metadata!$A$2:$A1000,Metadata!$B$2:$B1000))),X$1,"""")"),"Ambush")</f>
        <v>Ambush</v>
      </c>
      <c r="Y145" s="34" t="str">
        <f>IFERROR(__xludf.DUMMYFUNCTION("IF(IF(Y$1="""","""",REGEXMATCH(LOWER($E145),XLOOKUP(Y$1,Metadata!$A$2:$A1000,Metadata!$B$2:$B1000))),Y$1,"""")"),"")</f>
        <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I146">XLOOKUP($A146,Cards!$A$2:$A1000,Cards!$B$2:$I1000,"")</f>
        <v>Elemental</v>
      </c>
      <c r="C146" s="34">
        <v>1.0</v>
      </c>
      <c r="D146" s="34" t="s">
        <v>977</v>
      </c>
      <c r="E146" s="34"/>
      <c r="F146" s="34"/>
      <c r="G146" s="34">
        <v>4.0</v>
      </c>
      <c r="H146" s="34" t="s">
        <v>638</v>
      </c>
      <c r="I146" s="34" t="s">
        <v>26</v>
      </c>
      <c r="J146" s="34">
        <f>IFERROR(__xludf.DUMMYFUNCTION("LEN(REGEXREPLACE(XLOOKUP($A146,Cards!$A$2:$A1000,Cards!$H$2:$H1000,""""),"",\s"",""""))"),4.0)</f>
        <v>4</v>
      </c>
      <c r="K146" s="34" t="str">
        <f t="shared" si="1"/>
        <v>               </v>
      </c>
      <c r="L146" s="34" t="str">
        <f>IFERROR(__xludf.DUMMYFUNCTION("IF(IF(L$1="""","""",REGEXMATCH(LOWER($E146),XLOOKUP(L$1,Metadata!$A$2:$A1000,Metadata!$B$2:$B1000))),L$1,"""")"),"")</f>
        <v/>
      </c>
      <c r="M146" s="34" t="str">
        <f>IFERROR(__xludf.DUMMYFUNCTION("IF(IF(M$1="""","""",REGEXMATCH(LOWER($E146),XLOOKUP(M$1,Metadata!$A$2:$A1000,Metadata!$B$2:$B1000))),M$1,"""")"),"")</f>
        <v/>
      </c>
      <c r="N146" s="34" t="str">
        <f>IFERROR(__xludf.DUMMYFUNCTION("IF(IF(N$1="""","""",REGEXMATCH(LOWER($E146),XLOOKUP(N$1,Metadata!$A$2:$A1000,Metadata!$B$2:$B1000))),N$1,"""")"),"")</f>
        <v/>
      </c>
      <c r="O146" s="34" t="str">
        <f>IFERROR(__xludf.DUMMYFUNCTION("IF(IF(O$1="""","""",REGEXMATCH(LOWER($E146),XLOOKUP(O$1,Metadata!$A$2:$A1000,Metadata!$B$2:$B1000))),O$1,"""")"),"")</f>
        <v/>
      </c>
      <c r="P146" s="34" t="str">
        <f>IFERROR(__xludf.DUMMYFUNCTION("IF(IF(P$1="""","""",REGEXMATCH(LOWER($E146),XLOOKUP(P$1,Metadata!$A$2:$A1000,Metadata!$B$2:$B1000))),P$1,"""")"),"")</f>
        <v/>
      </c>
      <c r="Q146" s="34" t="str">
        <f>IFERROR(__xludf.DUMMYFUNCTION("IF(IF(Q$1="""","""",REGEXMATCH(LOWER($E146),XLOOKUP(Q$1,Metadata!$A$2:$A1000,Metadata!$B$2:$B1000))),Q$1,"""")"),"")</f>
        <v/>
      </c>
      <c r="R146" s="34" t="str">
        <f>IFERROR(__xludf.DUMMYFUNCTION("IF(IF(R$1="""","""",REGEXMATCH(LOWER($E146),XLOOKUP(R$1,Metadata!$A$2:$A1000,Metadata!$B$2:$B1000))),R$1,"""")"),"")</f>
        <v/>
      </c>
      <c r="S146" s="34" t="str">
        <f>IFERROR(__xludf.DUMMYFUNCTION("IF(IF(S$1="""","""",REGEXMATCH(LOWER($E146),XLOOKUP(S$1,Metadata!$A$2:$A1000,Metadata!$B$2:$B1000))),S$1,"""")"),"")</f>
        <v/>
      </c>
      <c r="T146" s="34" t="str">
        <f>IFERROR(__xludf.DUMMYFUNCTION("IF(IF(T$1="""","""",REGEXMATCH(LOWER($E146),XLOOKUP(T$1,Metadata!$A$2:$A1000,Metadata!$B$2:$B1000))),T$1,"""")"),"")</f>
        <v/>
      </c>
      <c r="U146" s="34" t="str">
        <f>IFERROR(__xludf.DUMMYFUNCTION("IF(IF(U$1="""","""",REGEXMATCH(LOWER($E146),XLOOKUP(U$1,Metadata!$A$2:$A1000,Metadata!$B$2:$B1000))),U$1,"""")"),"")</f>
        <v/>
      </c>
      <c r="V146" s="34" t="str">
        <f>IFERROR(__xludf.DUMMYFUNCTION("IF(IF(V$1="""","""",REGEXMATCH(LOWER($E146),XLOOKUP(V$1,Metadata!$A$2:$A1000,Metadata!$B$2:$B1000))),V$1,"""")"),"")</f>
        <v/>
      </c>
      <c r="W146" s="34" t="str">
        <f>IFERROR(__xludf.DUMMYFUNCTION("IF(IF(W$1="""","""",REGEXMATCH(LOWER($E146),XLOOKUP(W$1,Metadata!$A$2:$A1000,Metadata!$B$2:$B1000))),W$1,"""")"),"")</f>
        <v/>
      </c>
      <c r="X146" s="34" t="str">
        <f>IFERROR(__xludf.DUMMYFUNCTION("IF(IF(X$1="""","""",REGEXMATCH(LOWER($E146),XLOOKUP(X$1,Metadata!$A$2:$A1000,Metadata!$B$2:$B1000))),X$1,"""")"),"")</f>
        <v/>
      </c>
      <c r="Y146" s="34" t="str">
        <f>IFERROR(__xludf.DUMMYFUNCTION("IF(IF(Y$1="""","""",REGEXMATCH(LOWER($E146),XLOOKUP(Y$1,Metadata!$A$2:$A1000,Metadata!$B$2:$B1000))),Y$1,"""")"),"")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I147">XLOOKUP($A147,Cards!$A$2:$A1000,Cards!$B$2:$I1000,"")</f>
        <v>Elemental Void</v>
      </c>
      <c r="C147" s="34">
        <v>2.0</v>
      </c>
      <c r="D147" s="34" t="s">
        <v>979</v>
      </c>
      <c r="E147" s="34" t="s">
        <v>980</v>
      </c>
      <c r="F147" s="34" t="s">
        <v>981</v>
      </c>
      <c r="G147" s="34">
        <v>4.0</v>
      </c>
      <c r="H147" s="34" t="s">
        <v>971</v>
      </c>
      <c r="I147" s="34" t="s">
        <v>70</v>
      </c>
      <c r="J147" s="34">
        <f>IFERROR(__xludf.DUMMYFUNCTION("LEN(REGEXREPLACE(XLOOKUP($A147,Cards!$A$2:$A1000,Cards!$H$2:$H1000,""""),"",\s"",""""))"),5.0)</f>
        <v>5</v>
      </c>
      <c r="K147" s="34" t="str">
        <f t="shared" si="1"/>
        <v>               </v>
      </c>
      <c r="L147" s="34" t="str">
        <f>IFERROR(__xludf.DUMMYFUNCTION("IF(IF(L$1="""","""",REGEXMATCH(LOWER($E147),XLOOKUP(L$1,Metadata!$A$2:$A1000,Metadata!$B$2:$B1000))),L$1,"""")"),"")</f>
        <v/>
      </c>
      <c r="M147" s="34" t="str">
        <f>IFERROR(__xludf.DUMMYFUNCTION("IF(IF(M$1="""","""",REGEXMATCH(LOWER($E147),XLOOKUP(M$1,Metadata!$A$2:$A1000,Metadata!$B$2:$B1000))),M$1,"""")"),"")</f>
        <v/>
      </c>
      <c r="N147" s="34" t="str">
        <f>IFERROR(__xludf.DUMMYFUNCTION("IF(IF(N$1="""","""",REGEXMATCH(LOWER($E147),XLOOKUP(N$1,Metadata!$A$2:$A1000,Metadata!$B$2:$B1000))),N$1,"""")"),"")</f>
        <v/>
      </c>
      <c r="O147" s="34" t="str">
        <f>IFERROR(__xludf.DUMMYFUNCTION("IF(IF(O$1="""","""",REGEXMATCH(LOWER($E147),XLOOKUP(O$1,Metadata!$A$2:$A1000,Metadata!$B$2:$B1000))),O$1,"""")"),"")</f>
        <v/>
      </c>
      <c r="P147" s="34" t="str">
        <f>IFERROR(__xludf.DUMMYFUNCTION("IF(IF(P$1="""","""",REGEXMATCH(LOWER($E147),XLOOKUP(P$1,Metadata!$A$2:$A1000,Metadata!$B$2:$B1000))),P$1,"""")"),"")</f>
        <v/>
      </c>
      <c r="Q147" s="34" t="str">
        <f>IFERROR(__xludf.DUMMYFUNCTION("IF(IF(Q$1="""","""",REGEXMATCH(LOWER($E147),XLOOKUP(Q$1,Metadata!$A$2:$A1000,Metadata!$B$2:$B1000))),Q$1,"""")"),"")</f>
        <v/>
      </c>
      <c r="R147" s="34" t="str">
        <f>IFERROR(__xludf.DUMMYFUNCTION("IF(IF(R$1="""","""",REGEXMATCH(LOWER($E147),XLOOKUP(R$1,Metadata!$A$2:$A1000,Metadata!$B$2:$B1000))),R$1,"""")"),"")</f>
        <v/>
      </c>
      <c r="S147" s="34" t="str">
        <f>IFERROR(__xludf.DUMMYFUNCTION("IF(IF(S$1="""","""",REGEXMATCH(LOWER($E147),XLOOKUP(S$1,Metadata!$A$2:$A1000,Metadata!$B$2:$B1000))),S$1,"""")"),"")</f>
        <v/>
      </c>
      <c r="T147" s="34" t="str">
        <f>IFERROR(__xludf.DUMMYFUNCTION("IF(IF(T$1="""","""",REGEXMATCH(LOWER($E147),XLOOKUP(T$1,Metadata!$A$2:$A1000,Metadata!$B$2:$B1000))),T$1,"""")"),"")</f>
        <v/>
      </c>
      <c r="U147" s="34" t="str">
        <f>IFERROR(__xludf.DUMMYFUNCTION("IF(IF(U$1="""","""",REGEXMATCH(LOWER($E147),XLOOKUP(U$1,Metadata!$A$2:$A1000,Metadata!$B$2:$B1000))),U$1,"""")"),"")</f>
        <v/>
      </c>
      <c r="V147" s="34" t="str">
        <f>IFERROR(__xludf.DUMMYFUNCTION("IF(IF(V$1="""","""",REGEXMATCH(LOWER($E147),XLOOKUP(V$1,Metadata!$A$2:$A1000,Metadata!$B$2:$B1000))),V$1,"""")"),"")</f>
        <v/>
      </c>
      <c r="W147" s="34" t="str">
        <f>IFERROR(__xludf.DUMMYFUNCTION("IF(IF(W$1="""","""",REGEXMATCH(LOWER($E147),XLOOKUP(W$1,Metadata!$A$2:$A1000,Metadata!$B$2:$B1000))),W$1,"""")"),"")</f>
        <v/>
      </c>
      <c r="X147" s="34" t="str">
        <f>IFERROR(__xludf.DUMMYFUNCTION("IF(IF(X$1="""","""",REGEXMATCH(LOWER($E147),XLOOKUP(X$1,Metadata!$A$2:$A1000,Metadata!$B$2:$B1000))),X$1,"""")"),"")</f>
        <v/>
      </c>
      <c r="Y147" s="34" t="str">
        <f>IFERROR(__xludf.DUMMYFUNCTION("IF(IF(Y$1="""","""",REGEXMATCH(LOWER($E147),XLOOKUP(Y$1,Metadata!$A$2:$A1000,Metadata!$B$2:$B1000))),Y$1,"""")"),"")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I148">XLOOKUP($A148,Cards!$A$2:$A1000,Cards!$B$2:$I1000,"")</f>
        <v>Elemental</v>
      </c>
      <c r="C148" s="34">
        <v>1.0</v>
      </c>
      <c r="D148" s="34" t="s">
        <v>588</v>
      </c>
      <c r="E148" s="34" t="s">
        <v>983</v>
      </c>
      <c r="F148" s="34" t="s">
        <v>984</v>
      </c>
      <c r="G148" s="34">
        <v>7.0</v>
      </c>
      <c r="H148" s="34" t="s">
        <v>985</v>
      </c>
      <c r="I148" s="34" t="s">
        <v>32</v>
      </c>
      <c r="J148" s="34">
        <f>IFERROR(__xludf.DUMMYFUNCTION("LEN(REGEXREPLACE(XLOOKUP($A148,Cards!$A$2:$A1000,Cards!$H$2:$H1000,""""),"",\s"",""""))"),6.0)</f>
        <v>6</v>
      </c>
      <c r="K148" s="34" t="str">
        <f t="shared" si="1"/>
        <v>        Copy       </v>
      </c>
      <c r="L148" s="34" t="str">
        <f>IFERROR(__xludf.DUMMYFUNCTION("IF(IF(L$1="""","""",REGEXMATCH(LOWER($E148),XLOOKUP(L$1,Metadata!$A$2:$A1000,Metadata!$B$2:$B1000))),L$1,"""")"),"")</f>
        <v/>
      </c>
      <c r="M148" s="34" t="str">
        <f>IFERROR(__xludf.DUMMYFUNCTION("IF(IF(M$1="""","""",REGEXMATCH(LOWER($E148),XLOOKUP(M$1,Metadata!$A$2:$A1000,Metadata!$B$2:$B1000))),M$1,"""")"),"")</f>
        <v/>
      </c>
      <c r="N148" s="34" t="str">
        <f>IFERROR(__xludf.DUMMYFUNCTION("IF(IF(N$1="""","""",REGEXMATCH(LOWER($E148),XLOOKUP(N$1,Metadata!$A$2:$A1000,Metadata!$B$2:$B1000))),N$1,"""")"),"")</f>
        <v/>
      </c>
      <c r="O148" s="34" t="str">
        <f>IFERROR(__xludf.DUMMYFUNCTION("IF(IF(O$1="""","""",REGEXMATCH(LOWER($E148),XLOOKUP(O$1,Metadata!$A$2:$A1000,Metadata!$B$2:$B1000))),O$1,"""")"),"")</f>
        <v/>
      </c>
      <c r="P148" s="34" t="str">
        <f>IFERROR(__xludf.DUMMYFUNCTION("IF(IF(P$1="""","""",REGEXMATCH(LOWER($E148),XLOOKUP(P$1,Metadata!$A$2:$A1000,Metadata!$B$2:$B1000))),P$1,"""")"),"")</f>
        <v/>
      </c>
      <c r="Q148" s="34" t="str">
        <f>IFERROR(__xludf.DUMMYFUNCTION("IF(IF(Q$1="""","""",REGEXMATCH(LOWER($E148),XLOOKUP(Q$1,Metadata!$A$2:$A1000,Metadata!$B$2:$B1000))),Q$1,"""")"),"")</f>
        <v/>
      </c>
      <c r="R148" s="34" t="str">
        <f>IFERROR(__xludf.DUMMYFUNCTION("IF(IF(R$1="""","""",REGEXMATCH(LOWER($E148),XLOOKUP(R$1,Metadata!$A$2:$A1000,Metadata!$B$2:$B1000))),R$1,"""")"),"")</f>
        <v/>
      </c>
      <c r="S148" s="34" t="str">
        <f>IFERROR(__xludf.DUMMYFUNCTION("IF(IF(S$1="""","""",REGEXMATCH(LOWER($E148),XLOOKUP(S$1,Metadata!$A$2:$A1000,Metadata!$B$2:$B1000))),S$1,"""")"),"")</f>
        <v/>
      </c>
      <c r="T148" s="34" t="str">
        <f>IFERROR(__xludf.DUMMYFUNCTION("IF(IF(T$1="""","""",REGEXMATCH(LOWER($E148),XLOOKUP(T$1,Metadata!$A$2:$A1000,Metadata!$B$2:$B1000))),T$1,"""")"),"Copy")</f>
        <v>Copy</v>
      </c>
      <c r="U148" s="34" t="str">
        <f>IFERROR(__xludf.DUMMYFUNCTION("IF(IF(U$1="""","""",REGEXMATCH(LOWER($E148),XLOOKUP(U$1,Metadata!$A$2:$A1000,Metadata!$B$2:$B1000))),U$1,"""")"),"")</f>
        <v/>
      </c>
      <c r="V148" s="34" t="str">
        <f>IFERROR(__xludf.DUMMYFUNCTION("IF(IF(V$1="""","""",REGEXMATCH(LOWER($E148),XLOOKUP(V$1,Metadata!$A$2:$A1000,Metadata!$B$2:$B1000))),V$1,"""")"),"")</f>
        <v/>
      </c>
      <c r="W148" s="34" t="str">
        <f>IFERROR(__xludf.DUMMYFUNCTION("IF(IF(W$1="""","""",REGEXMATCH(LOWER($E148),XLOOKUP(W$1,Metadata!$A$2:$A1000,Metadata!$B$2:$B1000))),W$1,"""")"),"")</f>
        <v/>
      </c>
      <c r="X148" s="34" t="str">
        <f>IFERROR(__xludf.DUMMYFUNCTION("IF(IF(X$1="""","""",REGEXMATCH(LOWER($E148),XLOOKUP(X$1,Metadata!$A$2:$A1000,Metadata!$B$2:$B1000))),X$1,"""")"),"")</f>
        <v/>
      </c>
      <c r="Y148" s="34" t="str">
        <f>IFERROR(__xludf.DUMMYFUNCTION("IF(IF(Y$1="""","""",REGEXMATCH(LOWER($E148),XLOOKUP(Y$1,Metadata!$A$2:$A1000,Metadata!$B$2:$B1000))),Y$1,"""")"),"")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I149">XLOOKUP($A149,Cards!$A$2:$A1000,Cards!$B$2:$I1000,"")</f>
        <v>Elemental Void</v>
      </c>
      <c r="C149" s="34">
        <v>2.0</v>
      </c>
      <c r="D149" s="34" t="s">
        <v>998</v>
      </c>
      <c r="E149" s="34" t="s">
        <v>999</v>
      </c>
      <c r="F149" s="34" t="s">
        <v>1000</v>
      </c>
      <c r="G149" s="34">
        <v>5.0</v>
      </c>
      <c r="H149" s="34" t="s">
        <v>971</v>
      </c>
      <c r="I149" s="34" t="s">
        <v>70</v>
      </c>
      <c r="J149" s="34">
        <f>IFERROR(__xludf.DUMMYFUNCTION("LEN(REGEXREPLACE(XLOOKUP($A149,Cards!$A$2:$A1000,Cards!$H$2:$H1000,""""),"",\s"",""""))"),5.0)</f>
        <v>5</v>
      </c>
      <c r="K149" s="34" t="str">
        <f t="shared" si="1"/>
        <v>         Aggro      </v>
      </c>
      <c r="L149" s="34" t="str">
        <f>IFERROR(__xludf.DUMMYFUNCTION("IF(IF(L$1="""","""",REGEXMATCH(LOWER($E149),XLOOKUP(L$1,Metadata!$A$2:$A1000,Metadata!$B$2:$B1000))),L$1,"""")"),"")</f>
        <v/>
      </c>
      <c r="M149" s="34" t="str">
        <f>IFERROR(__xludf.DUMMYFUNCTION("IF(IF(M$1="""","""",REGEXMATCH(LOWER($E149),XLOOKUP(M$1,Metadata!$A$2:$A1000,Metadata!$B$2:$B1000))),M$1,"""")"),"")</f>
        <v/>
      </c>
      <c r="N149" s="34" t="str">
        <f>IFERROR(__xludf.DUMMYFUNCTION("IF(IF(N$1="""","""",REGEXMATCH(LOWER($E149),XLOOKUP(N$1,Metadata!$A$2:$A1000,Metadata!$B$2:$B1000))),N$1,"""")"),"")</f>
        <v/>
      </c>
      <c r="O149" s="34" t="str">
        <f>IFERROR(__xludf.DUMMYFUNCTION("IF(IF(O$1="""","""",REGEXMATCH(LOWER($E149),XLOOKUP(O$1,Metadata!$A$2:$A1000,Metadata!$B$2:$B1000))),O$1,"""")"),"")</f>
        <v/>
      </c>
      <c r="P149" s="34" t="str">
        <f>IFERROR(__xludf.DUMMYFUNCTION("IF(IF(P$1="""","""",REGEXMATCH(LOWER($E149),XLOOKUP(P$1,Metadata!$A$2:$A1000,Metadata!$B$2:$B1000))),P$1,"""")"),"")</f>
        <v/>
      </c>
      <c r="Q149" s="34" t="str">
        <f>IFERROR(__xludf.DUMMYFUNCTION("IF(IF(Q$1="""","""",REGEXMATCH(LOWER($E149),XLOOKUP(Q$1,Metadata!$A$2:$A1000,Metadata!$B$2:$B1000))),Q$1,"""")"),"")</f>
        <v/>
      </c>
      <c r="R149" s="34" t="str">
        <f>IFERROR(__xludf.DUMMYFUNCTION("IF(IF(R$1="""","""",REGEXMATCH(LOWER($E149),XLOOKUP(R$1,Metadata!$A$2:$A1000,Metadata!$B$2:$B1000))),R$1,"""")"),"")</f>
        <v/>
      </c>
      <c r="S149" s="34" t="str">
        <f>IFERROR(__xludf.DUMMYFUNCTION("IF(IF(S$1="""","""",REGEXMATCH(LOWER($E149),XLOOKUP(S$1,Metadata!$A$2:$A1000,Metadata!$B$2:$B1000))),S$1,"""")"),"")</f>
        <v/>
      </c>
      <c r="T149" s="34" t="str">
        <f>IFERROR(__xludf.DUMMYFUNCTION("IF(IF(T$1="""","""",REGEXMATCH(LOWER($E149),XLOOKUP(T$1,Metadata!$A$2:$A1000,Metadata!$B$2:$B1000))),T$1,"""")"),"")</f>
        <v/>
      </c>
      <c r="U149" s="34" t="str">
        <f>IFERROR(__xludf.DUMMYFUNCTION("IF(IF(U$1="""","""",REGEXMATCH(LOWER($E149),XLOOKUP(U$1,Metadata!$A$2:$A1000,Metadata!$B$2:$B1000))),U$1,"""")"),"Aggro")</f>
        <v>Aggro</v>
      </c>
      <c r="V149" s="34" t="str">
        <f>IFERROR(__xludf.DUMMYFUNCTION("IF(IF(V$1="""","""",REGEXMATCH(LOWER($E149),XLOOKUP(V$1,Metadata!$A$2:$A1000,Metadata!$B$2:$B1000))),V$1,"""")"),"")</f>
        <v/>
      </c>
      <c r="W149" s="34" t="str">
        <f>IFERROR(__xludf.DUMMYFUNCTION("IF(IF(W$1="""","""",REGEXMATCH(LOWER($E149),XLOOKUP(W$1,Metadata!$A$2:$A1000,Metadata!$B$2:$B1000))),W$1,"""")"),"")</f>
        <v/>
      </c>
      <c r="X149" s="34" t="str">
        <f>IFERROR(__xludf.DUMMYFUNCTION("IF(IF(X$1="""","""",REGEXMATCH(LOWER($E149),XLOOKUP(X$1,Metadata!$A$2:$A1000,Metadata!$B$2:$B1000))),X$1,"""")"),"")</f>
        <v/>
      </c>
      <c r="Y149" s="34" t="str">
        <f>IFERROR(__xludf.DUMMYFUNCTION("IF(IF(Y$1="""","""",REGEXMATCH(LOWER($E149),XLOOKUP(Y$1,Metadata!$A$2:$A1000,Metadata!$B$2:$B1000))),Y$1,"""")"),"")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I150">XLOOKUP($A150,Cards!$A$2:$A1000,Cards!$B$2:$I1000,"")</f>
        <v>Elemental</v>
      </c>
      <c r="C150" s="34">
        <v>1.0</v>
      </c>
      <c r="D150" s="34" t="s">
        <v>408</v>
      </c>
      <c r="E150" s="34"/>
      <c r="F150" s="34" t="s">
        <v>1002</v>
      </c>
      <c r="G150" s="34">
        <v>5.0</v>
      </c>
      <c r="H150" s="34" t="s">
        <v>522</v>
      </c>
      <c r="I150" s="34" t="s">
        <v>26</v>
      </c>
      <c r="J150" s="34">
        <f>IFERROR(__xludf.DUMMYFUNCTION("LEN(REGEXREPLACE(XLOOKUP($A150,Cards!$A$2:$A1000,Cards!$H$2:$H1000,""""),"",\s"",""""))"),4.0)</f>
        <v>4</v>
      </c>
      <c r="K150" s="34" t="str">
        <f t="shared" si="1"/>
        <v>               </v>
      </c>
      <c r="L150" s="34" t="str">
        <f>IFERROR(__xludf.DUMMYFUNCTION("IF(IF(L$1="""","""",REGEXMATCH(LOWER($E150),XLOOKUP(L$1,Metadata!$A$2:$A1000,Metadata!$B$2:$B1000))),L$1,"""")"),"")</f>
        <v/>
      </c>
      <c r="M150" s="34" t="str">
        <f>IFERROR(__xludf.DUMMYFUNCTION("IF(IF(M$1="""","""",REGEXMATCH(LOWER($E150),XLOOKUP(M$1,Metadata!$A$2:$A1000,Metadata!$B$2:$B1000))),M$1,"""")"),"")</f>
        <v/>
      </c>
      <c r="N150" s="34" t="str">
        <f>IFERROR(__xludf.DUMMYFUNCTION("IF(IF(N$1="""","""",REGEXMATCH(LOWER($E150),XLOOKUP(N$1,Metadata!$A$2:$A1000,Metadata!$B$2:$B1000))),N$1,"""")"),"")</f>
        <v/>
      </c>
      <c r="O150" s="34" t="str">
        <f>IFERROR(__xludf.DUMMYFUNCTION("IF(IF(O$1="""","""",REGEXMATCH(LOWER($E150),XLOOKUP(O$1,Metadata!$A$2:$A1000,Metadata!$B$2:$B1000))),O$1,"""")"),"")</f>
        <v/>
      </c>
      <c r="P150" s="34" t="str">
        <f>IFERROR(__xludf.DUMMYFUNCTION("IF(IF(P$1="""","""",REGEXMATCH(LOWER($E150),XLOOKUP(P$1,Metadata!$A$2:$A1000,Metadata!$B$2:$B1000))),P$1,"""")"),"")</f>
        <v/>
      </c>
      <c r="Q150" s="34" t="str">
        <f>IFERROR(__xludf.DUMMYFUNCTION("IF(IF(Q$1="""","""",REGEXMATCH(LOWER($E150),XLOOKUP(Q$1,Metadata!$A$2:$A1000,Metadata!$B$2:$B1000))),Q$1,"""")"),"")</f>
        <v/>
      </c>
      <c r="R150" s="34" t="str">
        <f>IFERROR(__xludf.DUMMYFUNCTION("IF(IF(R$1="""","""",REGEXMATCH(LOWER($E150),XLOOKUP(R$1,Metadata!$A$2:$A1000,Metadata!$B$2:$B1000))),R$1,"""")"),"")</f>
        <v/>
      </c>
      <c r="S150" s="34" t="str">
        <f>IFERROR(__xludf.DUMMYFUNCTION("IF(IF(S$1="""","""",REGEXMATCH(LOWER($E150),XLOOKUP(S$1,Metadata!$A$2:$A1000,Metadata!$B$2:$B1000))),S$1,"""")"),"")</f>
        <v/>
      </c>
      <c r="T150" s="34" t="str">
        <f>IFERROR(__xludf.DUMMYFUNCTION("IF(IF(T$1="""","""",REGEXMATCH(LOWER($E150),XLOOKUP(T$1,Metadata!$A$2:$A1000,Metadata!$B$2:$B1000))),T$1,"""")"),"")</f>
        <v/>
      </c>
      <c r="U150" s="34" t="str">
        <f>IFERROR(__xludf.DUMMYFUNCTION("IF(IF(U$1="""","""",REGEXMATCH(LOWER($E150),XLOOKUP(U$1,Metadata!$A$2:$A1000,Metadata!$B$2:$B1000))),U$1,"""")"),"")</f>
        <v/>
      </c>
      <c r="V150" s="34" t="str">
        <f>IFERROR(__xludf.DUMMYFUNCTION("IF(IF(V$1="""","""",REGEXMATCH(LOWER($E150),XLOOKUP(V$1,Metadata!$A$2:$A1000,Metadata!$B$2:$B1000))),V$1,"""")"),"")</f>
        <v/>
      </c>
      <c r="W150" s="34" t="str">
        <f>IFERROR(__xludf.DUMMYFUNCTION("IF(IF(W$1="""","""",REGEXMATCH(LOWER($E150),XLOOKUP(W$1,Metadata!$A$2:$A1000,Metadata!$B$2:$B1000))),W$1,"""")"),"")</f>
        <v/>
      </c>
      <c r="X150" s="34" t="str">
        <f>IFERROR(__xludf.DUMMYFUNCTION("IF(IF(X$1="""","""",REGEXMATCH(LOWER($E150),XLOOKUP(X$1,Metadata!$A$2:$A1000,Metadata!$B$2:$B1000))),X$1,"""")"),"")</f>
        <v/>
      </c>
      <c r="Y150" s="34" t="str">
        <f>IFERROR(__xludf.DUMMYFUNCTION("IF(IF(Y$1="""","""",REGEXMATCH(LOWER($E150),XLOOKUP(Y$1,Metadata!$A$2:$A1000,Metadata!$B$2:$B1000))),Y$1,"""")"),"")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I151">XLOOKUP($A151,Cards!$A$2:$A1000,Cards!$B$2:$I1000,"")</f>
        <v>Elemental</v>
      </c>
      <c r="C151" s="34">
        <v>1.0</v>
      </c>
      <c r="D151" s="34" t="s">
        <v>433</v>
      </c>
      <c r="E151" s="34"/>
      <c r="F151" s="34" t="s">
        <v>1015</v>
      </c>
      <c r="G151" s="34">
        <v>9.0</v>
      </c>
      <c r="H151" s="34" t="s">
        <v>1016</v>
      </c>
      <c r="I151" s="34" t="s">
        <v>26</v>
      </c>
      <c r="J151" s="34">
        <f>IFERROR(__xludf.DUMMYFUNCTION("LEN(REGEXREPLACE(XLOOKUP($A151,Cards!$A$2:$A1000,Cards!$H$2:$H1000,""""),"",\s"",""""))"),7.0)</f>
        <v>7</v>
      </c>
      <c r="K151" s="34" t="str">
        <f t="shared" si="1"/>
        <v>               </v>
      </c>
      <c r="L151" s="34" t="str">
        <f>IFERROR(__xludf.DUMMYFUNCTION("IF(IF(L$1="""","""",REGEXMATCH(LOWER($E151),XLOOKUP(L$1,Metadata!$A$2:$A1000,Metadata!$B$2:$B1000))),L$1,"""")"),"")</f>
        <v/>
      </c>
      <c r="M151" s="34" t="str">
        <f>IFERROR(__xludf.DUMMYFUNCTION("IF(IF(M$1="""","""",REGEXMATCH(LOWER($E151),XLOOKUP(M$1,Metadata!$A$2:$A1000,Metadata!$B$2:$B1000))),M$1,"""")"),"")</f>
        <v/>
      </c>
      <c r="N151" s="34" t="str">
        <f>IFERROR(__xludf.DUMMYFUNCTION("IF(IF(N$1="""","""",REGEXMATCH(LOWER($E151),XLOOKUP(N$1,Metadata!$A$2:$A1000,Metadata!$B$2:$B1000))),N$1,"""")"),"")</f>
        <v/>
      </c>
      <c r="O151" s="34" t="str">
        <f>IFERROR(__xludf.DUMMYFUNCTION("IF(IF(O$1="""","""",REGEXMATCH(LOWER($E151),XLOOKUP(O$1,Metadata!$A$2:$A1000,Metadata!$B$2:$B1000))),O$1,"""")"),"")</f>
        <v/>
      </c>
      <c r="P151" s="34" t="str">
        <f>IFERROR(__xludf.DUMMYFUNCTION("IF(IF(P$1="""","""",REGEXMATCH(LOWER($E151),XLOOKUP(P$1,Metadata!$A$2:$A1000,Metadata!$B$2:$B1000))),P$1,"""")"),"")</f>
        <v/>
      </c>
      <c r="Q151" s="34" t="str">
        <f>IFERROR(__xludf.DUMMYFUNCTION("IF(IF(Q$1="""","""",REGEXMATCH(LOWER($E151),XLOOKUP(Q$1,Metadata!$A$2:$A1000,Metadata!$B$2:$B1000))),Q$1,"""")"),"")</f>
        <v/>
      </c>
      <c r="R151" s="34" t="str">
        <f>IFERROR(__xludf.DUMMYFUNCTION("IF(IF(R$1="""","""",REGEXMATCH(LOWER($E151),XLOOKUP(R$1,Metadata!$A$2:$A1000,Metadata!$B$2:$B1000))),R$1,"""")"),"")</f>
        <v/>
      </c>
      <c r="S151" s="34" t="str">
        <f>IFERROR(__xludf.DUMMYFUNCTION("IF(IF(S$1="""","""",REGEXMATCH(LOWER($E151),XLOOKUP(S$1,Metadata!$A$2:$A1000,Metadata!$B$2:$B1000))),S$1,"""")"),"")</f>
        <v/>
      </c>
      <c r="T151" s="34" t="str">
        <f>IFERROR(__xludf.DUMMYFUNCTION("IF(IF(T$1="""","""",REGEXMATCH(LOWER($E151),XLOOKUP(T$1,Metadata!$A$2:$A1000,Metadata!$B$2:$B1000))),T$1,"""")"),"")</f>
        <v/>
      </c>
      <c r="U151" s="34" t="str">
        <f>IFERROR(__xludf.DUMMYFUNCTION("IF(IF(U$1="""","""",REGEXMATCH(LOWER($E151),XLOOKUP(U$1,Metadata!$A$2:$A1000,Metadata!$B$2:$B1000))),U$1,"""")"),"")</f>
        <v/>
      </c>
      <c r="V151" s="34" t="str">
        <f>IFERROR(__xludf.DUMMYFUNCTION("IF(IF(V$1="""","""",REGEXMATCH(LOWER($E151),XLOOKUP(V$1,Metadata!$A$2:$A1000,Metadata!$B$2:$B1000))),V$1,"""")"),"")</f>
        <v/>
      </c>
      <c r="W151" s="34" t="str">
        <f>IFERROR(__xludf.DUMMYFUNCTION("IF(IF(W$1="""","""",REGEXMATCH(LOWER($E151),XLOOKUP(W$1,Metadata!$A$2:$A1000,Metadata!$B$2:$B1000))),W$1,"""")"),"")</f>
        <v/>
      </c>
      <c r="X151" s="34" t="str">
        <f>IFERROR(__xludf.DUMMYFUNCTION("IF(IF(X$1="""","""",REGEXMATCH(LOWER($E151),XLOOKUP(X$1,Metadata!$A$2:$A1000,Metadata!$B$2:$B1000))),X$1,"""")"),"")</f>
        <v/>
      </c>
      <c r="Y151" s="34" t="str">
        <f>IFERROR(__xludf.DUMMYFUNCTION("IF(IF(Y$1="""","""",REGEXMATCH(LOWER($E151),XLOOKUP(Y$1,Metadata!$A$2:$A1000,Metadata!$B$2:$B1000))),Y$1,"""")"),"")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I152">XLOOKUP($A152,Cards!$A$2:$A1000,Cards!$B$2:$I1000,"")</f>
        <v>Elemental</v>
      </c>
      <c r="C152" s="34">
        <v>1.0</v>
      </c>
      <c r="D152" s="34" t="s">
        <v>1029</v>
      </c>
      <c r="E152" s="34" t="s">
        <v>1030</v>
      </c>
      <c r="F152" s="34" t="s">
        <v>1031</v>
      </c>
      <c r="G152" s="34">
        <v>3.0</v>
      </c>
      <c r="H152" s="34" t="s">
        <v>526</v>
      </c>
      <c r="I152" s="34" t="s">
        <v>32</v>
      </c>
      <c r="J152" s="34">
        <f>IFERROR(__xludf.DUMMYFUNCTION("LEN(REGEXREPLACE(XLOOKUP($A152,Cards!$A$2:$A1000,Cards!$H$2:$H1000,""""),"",\s"",""""))"),5.0)</f>
        <v>5</v>
      </c>
      <c r="K152" s="34" t="str">
        <f t="shared" si="1"/>
        <v>               </v>
      </c>
      <c r="L152" s="34" t="str">
        <f>IFERROR(__xludf.DUMMYFUNCTION("IF(IF(L$1="""","""",REGEXMATCH(LOWER($E152),XLOOKUP(L$1,Metadata!$A$2:$A1000,Metadata!$B$2:$B1000))),L$1,"""")"),"")</f>
        <v/>
      </c>
      <c r="M152" s="34" t="str">
        <f>IFERROR(__xludf.DUMMYFUNCTION("IF(IF(M$1="""","""",REGEXMATCH(LOWER($E152),XLOOKUP(M$1,Metadata!$A$2:$A1000,Metadata!$B$2:$B1000))),M$1,"""")"),"")</f>
        <v/>
      </c>
      <c r="N152" s="34" t="str">
        <f>IFERROR(__xludf.DUMMYFUNCTION("IF(IF(N$1="""","""",REGEXMATCH(LOWER($E152),XLOOKUP(N$1,Metadata!$A$2:$A1000,Metadata!$B$2:$B1000))),N$1,"""")"),"")</f>
        <v/>
      </c>
      <c r="O152" s="34" t="str">
        <f>IFERROR(__xludf.DUMMYFUNCTION("IF(IF(O$1="""","""",REGEXMATCH(LOWER($E152),XLOOKUP(O$1,Metadata!$A$2:$A1000,Metadata!$B$2:$B1000))),O$1,"""")"),"")</f>
        <v/>
      </c>
      <c r="P152" s="34" t="str">
        <f>IFERROR(__xludf.DUMMYFUNCTION("IF(IF(P$1="""","""",REGEXMATCH(LOWER($E152),XLOOKUP(P$1,Metadata!$A$2:$A1000,Metadata!$B$2:$B1000))),P$1,"""")"),"")</f>
        <v/>
      </c>
      <c r="Q152" s="34" t="str">
        <f>IFERROR(__xludf.DUMMYFUNCTION("IF(IF(Q$1="""","""",REGEXMATCH(LOWER($E152),XLOOKUP(Q$1,Metadata!$A$2:$A1000,Metadata!$B$2:$B1000))),Q$1,"""")"),"")</f>
        <v/>
      </c>
      <c r="R152" s="34" t="str">
        <f>IFERROR(__xludf.DUMMYFUNCTION("IF(IF(R$1="""","""",REGEXMATCH(LOWER($E152),XLOOKUP(R$1,Metadata!$A$2:$A1000,Metadata!$B$2:$B1000))),R$1,"""")"),"")</f>
        <v/>
      </c>
      <c r="S152" s="34" t="str">
        <f>IFERROR(__xludf.DUMMYFUNCTION("IF(IF(S$1="""","""",REGEXMATCH(LOWER($E152),XLOOKUP(S$1,Metadata!$A$2:$A1000,Metadata!$B$2:$B1000))),S$1,"""")"),"")</f>
        <v/>
      </c>
      <c r="T152" s="34" t="str">
        <f>IFERROR(__xludf.DUMMYFUNCTION("IF(IF(T$1="""","""",REGEXMATCH(LOWER($E152),XLOOKUP(T$1,Metadata!$A$2:$A1000,Metadata!$B$2:$B1000))),T$1,"""")"),"")</f>
        <v/>
      </c>
      <c r="U152" s="34" t="str">
        <f>IFERROR(__xludf.DUMMYFUNCTION("IF(IF(U$1="""","""",REGEXMATCH(LOWER($E152),XLOOKUP(U$1,Metadata!$A$2:$A1000,Metadata!$B$2:$B1000))),U$1,"""")"),"")</f>
        <v/>
      </c>
      <c r="V152" s="34" t="str">
        <f>IFERROR(__xludf.DUMMYFUNCTION("IF(IF(V$1="""","""",REGEXMATCH(LOWER($E152),XLOOKUP(V$1,Metadata!$A$2:$A1000,Metadata!$B$2:$B1000))),V$1,"""")"),"")</f>
        <v/>
      </c>
      <c r="W152" s="34" t="str">
        <f>IFERROR(__xludf.DUMMYFUNCTION("IF(IF(W$1="""","""",REGEXMATCH(LOWER($E152),XLOOKUP(W$1,Metadata!$A$2:$A1000,Metadata!$B$2:$B1000))),W$1,"""")"),"")</f>
        <v/>
      </c>
      <c r="X152" s="34" t="str">
        <f>IFERROR(__xludf.DUMMYFUNCTION("IF(IF(X$1="""","""",REGEXMATCH(LOWER($E152),XLOOKUP(X$1,Metadata!$A$2:$A1000,Metadata!$B$2:$B1000))),X$1,"""")"),"")</f>
        <v/>
      </c>
      <c r="Y152" s="34" t="str">
        <f>IFERROR(__xludf.DUMMYFUNCTION("IF(IF(Y$1="""","""",REGEXMATCH(LOWER($E152),XLOOKUP(Y$1,Metadata!$A$2:$A1000,Metadata!$B$2:$B1000))),Y$1,"""")"),"")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I153">XLOOKUP($A153,Cards!$A$2:$A1000,Cards!$B$2:$I1000,"")</f>
        <v>Mortal</v>
      </c>
      <c r="C153" s="34">
        <v>2.0</v>
      </c>
      <c r="D153" s="34" t="s">
        <v>37</v>
      </c>
      <c r="E153" s="34" t="s">
        <v>1040</v>
      </c>
      <c r="F153" s="34" t="s">
        <v>1041</v>
      </c>
      <c r="G153" s="34">
        <v>2.0</v>
      </c>
      <c r="H153" s="34" t="s">
        <v>1042</v>
      </c>
      <c r="I153" s="34" t="s">
        <v>70</v>
      </c>
      <c r="J153" s="34">
        <f>IFERROR(__xludf.DUMMYFUNCTION("LEN(REGEXREPLACE(XLOOKUP($A153,Cards!$A$2:$A1000,Cards!$H$2:$H1000,""""),"",\s"",""""))"),3.0)</f>
        <v>3</v>
      </c>
      <c r="K153" s="34" t="str">
        <f t="shared" si="1"/>
        <v>               </v>
      </c>
      <c r="L153" s="34" t="str">
        <f>IFERROR(__xludf.DUMMYFUNCTION("IF(IF(L$1="""","""",REGEXMATCH(LOWER($E153),XLOOKUP(L$1,Metadata!$A$2:$A1000,Metadata!$B$2:$B1000))),L$1,"""")"),"")</f>
        <v/>
      </c>
      <c r="M153" s="34" t="str">
        <f>IFERROR(__xludf.DUMMYFUNCTION("IF(IF(M$1="""","""",REGEXMATCH(LOWER($E153),XLOOKUP(M$1,Metadata!$A$2:$A1000,Metadata!$B$2:$B1000))),M$1,"""")"),"")</f>
        <v/>
      </c>
      <c r="N153" s="34" t="str">
        <f>IFERROR(__xludf.DUMMYFUNCTION("IF(IF(N$1="""","""",REGEXMATCH(LOWER($E153),XLOOKUP(N$1,Metadata!$A$2:$A1000,Metadata!$B$2:$B1000))),N$1,"""")"),"")</f>
        <v/>
      </c>
      <c r="O153" s="34" t="str">
        <f>IFERROR(__xludf.DUMMYFUNCTION("IF(IF(O$1="""","""",REGEXMATCH(LOWER($E153),XLOOKUP(O$1,Metadata!$A$2:$A1000,Metadata!$B$2:$B1000))),O$1,"""")"),"")</f>
        <v/>
      </c>
      <c r="P153" s="34" t="str">
        <f>IFERROR(__xludf.DUMMYFUNCTION("IF(IF(P$1="""","""",REGEXMATCH(LOWER($E153),XLOOKUP(P$1,Metadata!$A$2:$A1000,Metadata!$B$2:$B1000))),P$1,"""")"),"")</f>
        <v/>
      </c>
      <c r="Q153" s="34" t="str">
        <f>IFERROR(__xludf.DUMMYFUNCTION("IF(IF(Q$1="""","""",REGEXMATCH(LOWER($E153),XLOOKUP(Q$1,Metadata!$A$2:$A1000,Metadata!$B$2:$B1000))),Q$1,"""")"),"")</f>
        <v/>
      </c>
      <c r="R153" s="34" t="str">
        <f>IFERROR(__xludf.DUMMYFUNCTION("IF(IF(R$1="""","""",REGEXMATCH(LOWER($E153),XLOOKUP(R$1,Metadata!$A$2:$A1000,Metadata!$B$2:$B1000))),R$1,"""")"),"")</f>
        <v/>
      </c>
      <c r="S153" s="34" t="str">
        <f>IFERROR(__xludf.DUMMYFUNCTION("IF(IF(S$1="""","""",REGEXMATCH(LOWER($E153),XLOOKUP(S$1,Metadata!$A$2:$A1000,Metadata!$B$2:$B1000))),S$1,"""")"),"")</f>
        <v/>
      </c>
      <c r="T153" s="34" t="str">
        <f>IFERROR(__xludf.DUMMYFUNCTION("IF(IF(T$1="""","""",REGEXMATCH(LOWER($E153),XLOOKUP(T$1,Metadata!$A$2:$A1000,Metadata!$B$2:$B1000))),T$1,"""")"),"")</f>
        <v/>
      </c>
      <c r="U153" s="34" t="str">
        <f>IFERROR(__xludf.DUMMYFUNCTION("IF(IF(U$1="""","""",REGEXMATCH(LOWER($E153),XLOOKUP(U$1,Metadata!$A$2:$A1000,Metadata!$B$2:$B1000))),U$1,"""")"),"")</f>
        <v/>
      </c>
      <c r="V153" s="34" t="str">
        <f>IFERROR(__xludf.DUMMYFUNCTION("IF(IF(V$1="""","""",REGEXMATCH(LOWER($E153),XLOOKUP(V$1,Metadata!$A$2:$A1000,Metadata!$B$2:$B1000))),V$1,"""")"),"")</f>
        <v/>
      </c>
      <c r="W153" s="34" t="str">
        <f>IFERROR(__xludf.DUMMYFUNCTION("IF(IF(W$1="""","""",REGEXMATCH(LOWER($E153),XLOOKUP(W$1,Metadata!$A$2:$A1000,Metadata!$B$2:$B1000))),W$1,"""")"),"")</f>
        <v/>
      </c>
      <c r="X153" s="34" t="str">
        <f>IFERROR(__xludf.DUMMYFUNCTION("IF(IF(X$1="""","""",REGEXMATCH(LOWER($E153),XLOOKUP(X$1,Metadata!$A$2:$A1000,Metadata!$B$2:$B1000))),X$1,"""")"),"")</f>
        <v/>
      </c>
      <c r="Y153" s="34" t="str">
        <f>IFERROR(__xludf.DUMMYFUNCTION("IF(IF(Y$1="""","""",REGEXMATCH(LOWER($E153),XLOOKUP(Y$1,Metadata!$A$2:$A1000,Metadata!$B$2:$B1000))),Y$1,"""")"),"")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I154">XLOOKUP($A154,Cards!$A$2:$A1000,Cards!$B$2:$I1000,"")</f>
        <v>Elemental</v>
      </c>
      <c r="C154" s="34">
        <v>1.0</v>
      </c>
      <c r="D154" s="34" t="s">
        <v>433</v>
      </c>
      <c r="E154" s="34" t="s">
        <v>1044</v>
      </c>
      <c r="F154" s="34" t="s">
        <v>1045</v>
      </c>
      <c r="G154" s="34">
        <v>4.0</v>
      </c>
      <c r="H154" s="34" t="s">
        <v>517</v>
      </c>
      <c r="I154" s="34" t="s">
        <v>32</v>
      </c>
      <c r="J154" s="34">
        <f>IFERROR(__xludf.DUMMYFUNCTION("LEN(REGEXREPLACE(XLOOKUP($A154,Cards!$A$2:$A1000,Cards!$H$2:$H1000,""""),"",\s"",""""))"),3.0)</f>
        <v>3</v>
      </c>
      <c r="K154" s="34" t="str">
        <f t="shared" si="1"/>
        <v>               </v>
      </c>
      <c r="L154" s="34" t="str">
        <f>IFERROR(__xludf.DUMMYFUNCTION("IF(IF(L$1="""","""",REGEXMATCH(LOWER($E154),XLOOKUP(L$1,Metadata!$A$2:$A1000,Metadata!$B$2:$B1000))),L$1,"""")"),"")</f>
        <v/>
      </c>
      <c r="M154" s="34" t="str">
        <f>IFERROR(__xludf.DUMMYFUNCTION("IF(IF(M$1="""","""",REGEXMATCH(LOWER($E154),XLOOKUP(M$1,Metadata!$A$2:$A1000,Metadata!$B$2:$B1000))),M$1,"""")"),"")</f>
        <v/>
      </c>
      <c r="N154" s="34" t="str">
        <f>IFERROR(__xludf.DUMMYFUNCTION("IF(IF(N$1="""","""",REGEXMATCH(LOWER($E154),XLOOKUP(N$1,Metadata!$A$2:$A1000,Metadata!$B$2:$B1000))),N$1,"""")"),"")</f>
        <v/>
      </c>
      <c r="O154" s="34" t="str">
        <f>IFERROR(__xludf.DUMMYFUNCTION("IF(IF(O$1="""","""",REGEXMATCH(LOWER($E154),XLOOKUP(O$1,Metadata!$A$2:$A1000,Metadata!$B$2:$B1000))),O$1,"""")"),"")</f>
        <v/>
      </c>
      <c r="P154" s="34" t="str">
        <f>IFERROR(__xludf.DUMMYFUNCTION("IF(IF(P$1="""","""",REGEXMATCH(LOWER($E154),XLOOKUP(P$1,Metadata!$A$2:$A1000,Metadata!$B$2:$B1000))),P$1,"""")"),"")</f>
        <v/>
      </c>
      <c r="Q154" s="34" t="str">
        <f>IFERROR(__xludf.DUMMYFUNCTION("IF(IF(Q$1="""","""",REGEXMATCH(LOWER($E154),XLOOKUP(Q$1,Metadata!$A$2:$A1000,Metadata!$B$2:$B1000))),Q$1,"""")"),"")</f>
        <v/>
      </c>
      <c r="R154" s="34" t="str">
        <f>IFERROR(__xludf.DUMMYFUNCTION("IF(IF(R$1="""","""",REGEXMATCH(LOWER($E154),XLOOKUP(R$1,Metadata!$A$2:$A1000,Metadata!$B$2:$B1000))),R$1,"""")"),"")</f>
        <v/>
      </c>
      <c r="S154" s="34" t="str">
        <f>IFERROR(__xludf.DUMMYFUNCTION("IF(IF(S$1="""","""",REGEXMATCH(LOWER($E154),XLOOKUP(S$1,Metadata!$A$2:$A1000,Metadata!$B$2:$B1000))),S$1,"""")"),"")</f>
        <v/>
      </c>
      <c r="T154" s="34" t="str">
        <f>IFERROR(__xludf.DUMMYFUNCTION("IF(IF(T$1="""","""",REGEXMATCH(LOWER($E154),XLOOKUP(T$1,Metadata!$A$2:$A1000,Metadata!$B$2:$B1000))),T$1,"""")"),"")</f>
        <v/>
      </c>
      <c r="U154" s="34" t="str">
        <f>IFERROR(__xludf.DUMMYFUNCTION("IF(IF(U$1="""","""",REGEXMATCH(LOWER($E154),XLOOKUP(U$1,Metadata!$A$2:$A1000,Metadata!$B$2:$B1000))),U$1,"""")"),"")</f>
        <v/>
      </c>
      <c r="V154" s="34" t="str">
        <f>IFERROR(__xludf.DUMMYFUNCTION("IF(IF(V$1="""","""",REGEXMATCH(LOWER($E154),XLOOKUP(V$1,Metadata!$A$2:$A1000,Metadata!$B$2:$B1000))),V$1,"""")"),"")</f>
        <v/>
      </c>
      <c r="W154" s="34" t="str">
        <f>IFERROR(__xludf.DUMMYFUNCTION("IF(IF(W$1="""","""",REGEXMATCH(LOWER($E154),XLOOKUP(W$1,Metadata!$A$2:$A1000,Metadata!$B$2:$B1000))),W$1,"""")"),"")</f>
        <v/>
      </c>
      <c r="X154" s="34" t="str">
        <f>IFERROR(__xludf.DUMMYFUNCTION("IF(IF(X$1="""","""",REGEXMATCH(LOWER($E154),XLOOKUP(X$1,Metadata!$A$2:$A1000,Metadata!$B$2:$B1000))),X$1,"""")"),"")</f>
        <v/>
      </c>
      <c r="Y154" s="34" t="str">
        <f>IFERROR(__xludf.DUMMYFUNCTION("IF(IF(Y$1="""","""",REGEXMATCH(LOWER($E154),XLOOKUP(Y$1,Metadata!$A$2:$A1000,Metadata!$B$2:$B1000))),Y$1,"""")"),"")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I155">XLOOKUP($A155,Cards!$A$2:$A1000,Cards!$B$2:$I1000,"")</f>
        <v>Elemental</v>
      </c>
      <c r="C155" s="34">
        <v>1.0</v>
      </c>
      <c r="D155" s="34" t="s">
        <v>433</v>
      </c>
      <c r="E155" s="34" t="s">
        <v>1047</v>
      </c>
      <c r="F155" s="34" t="s">
        <v>1048</v>
      </c>
      <c r="G155" s="34">
        <v>6.0</v>
      </c>
      <c r="H155" s="34" t="s">
        <v>872</v>
      </c>
      <c r="I155" s="34" t="s">
        <v>32</v>
      </c>
      <c r="J155" s="34">
        <f>IFERROR(__xludf.DUMMYFUNCTION("LEN(REGEXREPLACE(XLOOKUP($A155,Cards!$A$2:$A1000,Cards!$H$2:$H1000,""""),"",\s"",""""))"),5.0)</f>
        <v>5</v>
      </c>
      <c r="K155" s="34" t="str">
        <f t="shared" si="1"/>
        <v>       Control     Ambush   </v>
      </c>
      <c r="L155" s="34" t="str">
        <f>IFERROR(__xludf.DUMMYFUNCTION("IF(IF(L$1="""","""",REGEXMATCH(LOWER($E155),XLOOKUP(L$1,Metadata!$A$2:$A1000,Metadata!$B$2:$B1000))),L$1,"""")"),"")</f>
        <v/>
      </c>
      <c r="M155" s="34" t="str">
        <f>IFERROR(__xludf.DUMMYFUNCTION("IF(IF(M$1="""","""",REGEXMATCH(LOWER($E155),XLOOKUP(M$1,Metadata!$A$2:$A1000,Metadata!$B$2:$B1000))),M$1,"""")"),"")</f>
        <v/>
      </c>
      <c r="N155" s="34" t="str">
        <f>IFERROR(__xludf.DUMMYFUNCTION("IF(IF(N$1="""","""",REGEXMATCH(LOWER($E155),XLOOKUP(N$1,Metadata!$A$2:$A1000,Metadata!$B$2:$B1000))),N$1,"""")"),"")</f>
        <v/>
      </c>
      <c r="O155" s="34" t="str">
        <f>IFERROR(__xludf.DUMMYFUNCTION("IF(IF(O$1="""","""",REGEXMATCH(LOWER($E155),XLOOKUP(O$1,Metadata!$A$2:$A1000,Metadata!$B$2:$B1000))),O$1,"""")"),"")</f>
        <v/>
      </c>
      <c r="P155" s="34" t="str">
        <f>IFERROR(__xludf.DUMMYFUNCTION("IF(IF(P$1="""","""",REGEXMATCH(LOWER($E155),XLOOKUP(P$1,Metadata!$A$2:$A1000,Metadata!$B$2:$B1000))),P$1,"""")"),"")</f>
        <v/>
      </c>
      <c r="Q155" s="34" t="str">
        <f>IFERROR(__xludf.DUMMYFUNCTION("IF(IF(Q$1="""","""",REGEXMATCH(LOWER($E155),XLOOKUP(Q$1,Metadata!$A$2:$A1000,Metadata!$B$2:$B1000))),Q$1,"""")"),"")</f>
        <v/>
      </c>
      <c r="R155" s="34" t="str">
        <f>IFERROR(__xludf.DUMMYFUNCTION("IF(IF(R$1="""","""",REGEXMATCH(LOWER($E155),XLOOKUP(R$1,Metadata!$A$2:$A1000,Metadata!$B$2:$B1000))),R$1,"""")"),"")</f>
        <v/>
      </c>
      <c r="S155" s="34" t="str">
        <f>IFERROR(__xludf.DUMMYFUNCTION("IF(IF(S$1="""","""",REGEXMATCH(LOWER($E155),XLOOKUP(S$1,Metadata!$A$2:$A1000,Metadata!$B$2:$B1000))),S$1,"""")"),"Control")</f>
        <v>Control</v>
      </c>
      <c r="T155" s="34" t="str">
        <f>IFERROR(__xludf.DUMMYFUNCTION("IF(IF(T$1="""","""",REGEXMATCH(LOWER($E155),XLOOKUP(T$1,Metadata!$A$2:$A1000,Metadata!$B$2:$B1000))),T$1,"""")"),"")</f>
        <v/>
      </c>
      <c r="U155" s="34" t="str">
        <f>IFERROR(__xludf.DUMMYFUNCTION("IF(IF(U$1="""","""",REGEXMATCH(LOWER($E155),XLOOKUP(U$1,Metadata!$A$2:$A1000,Metadata!$B$2:$B1000))),U$1,"""")"),"")</f>
        <v/>
      </c>
      <c r="V155" s="34" t="str">
        <f>IFERROR(__xludf.DUMMYFUNCTION("IF(IF(V$1="""","""",REGEXMATCH(LOWER($E155),XLOOKUP(V$1,Metadata!$A$2:$A1000,Metadata!$B$2:$B1000))),V$1,"""")"),"")</f>
        <v/>
      </c>
      <c r="W155" s="34" t="str">
        <f>IFERROR(__xludf.DUMMYFUNCTION("IF(IF(W$1="""","""",REGEXMATCH(LOWER($E155),XLOOKUP(W$1,Metadata!$A$2:$A1000,Metadata!$B$2:$B1000))),W$1,"""")"),"")</f>
        <v/>
      </c>
      <c r="X155" s="34" t="str">
        <f>IFERROR(__xludf.DUMMYFUNCTION("IF(IF(X$1="""","""",REGEXMATCH(LOWER($E155),XLOOKUP(X$1,Metadata!$A$2:$A1000,Metadata!$B$2:$B1000))),X$1,"""")"),"Ambush")</f>
        <v>Ambush</v>
      </c>
      <c r="Y155" s="34" t="str">
        <f>IFERROR(__xludf.DUMMYFUNCTION("IF(IF(Y$1="""","""",REGEXMATCH(LOWER($E155),XLOOKUP(Y$1,Metadata!$A$2:$A1000,Metadata!$B$2:$B1000))),Y$1,"""")"),"")</f>
        <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I156">XLOOKUP($A156,Cards!$A$2:$A1000,Cards!$B$2:$I1000,"")</f>
        <v>Mortal</v>
      </c>
      <c r="C156" s="34">
        <v>2.0</v>
      </c>
      <c r="D156" s="34" t="s">
        <v>696</v>
      </c>
      <c r="E156" s="34" t="s">
        <v>1050</v>
      </c>
      <c r="F156" s="34" t="s">
        <v>697</v>
      </c>
      <c r="G156" s="34">
        <v>2.0</v>
      </c>
      <c r="H156" s="34" t="s">
        <v>1051</v>
      </c>
      <c r="I156" s="34" t="s">
        <v>26</v>
      </c>
      <c r="J156" s="34">
        <f>IFERROR(__xludf.DUMMYFUNCTION("LEN(REGEXREPLACE(XLOOKUP($A156,Cards!$A$2:$A1000,Cards!$H$2:$H1000,""""),"",\s"",""""))"),2.0)</f>
        <v>2</v>
      </c>
      <c r="K156" s="34" t="str">
        <f t="shared" si="1"/>
        <v>  Mortal             </v>
      </c>
      <c r="L156" s="34" t="str">
        <f>IFERROR(__xludf.DUMMYFUNCTION("IF(IF(L$1="""","""",REGEXMATCH(LOWER($E156),XLOOKUP(L$1,Metadata!$A$2:$A1000,Metadata!$B$2:$B1000))),L$1,"""")"),"")</f>
        <v/>
      </c>
      <c r="M156" s="34" t="str">
        <f>IFERROR(__xludf.DUMMYFUNCTION("IF(IF(M$1="""","""",REGEXMATCH(LOWER($E156),XLOOKUP(M$1,Metadata!$A$2:$A1000,Metadata!$B$2:$B1000))),M$1,"""")"),"")</f>
        <v/>
      </c>
      <c r="N156" s="34" t="str">
        <f>IFERROR(__xludf.DUMMYFUNCTION("IF(IF(N$1="""","""",REGEXMATCH(LOWER($E156),XLOOKUP(N$1,Metadata!$A$2:$A1000,Metadata!$B$2:$B1000))),N$1,"""")"),"Mortal")</f>
        <v>Mortal</v>
      </c>
      <c r="O156" s="34" t="str">
        <f>IFERROR(__xludf.DUMMYFUNCTION("IF(IF(O$1="""","""",REGEXMATCH(LOWER($E156),XLOOKUP(O$1,Metadata!$A$2:$A1000,Metadata!$B$2:$B1000))),O$1,"""")"),"")</f>
        <v/>
      </c>
      <c r="P156" s="34" t="str">
        <f>IFERROR(__xludf.DUMMYFUNCTION("IF(IF(P$1="""","""",REGEXMATCH(LOWER($E156),XLOOKUP(P$1,Metadata!$A$2:$A1000,Metadata!$B$2:$B1000))),P$1,"""")"),"")</f>
        <v/>
      </c>
      <c r="Q156" s="34" t="str">
        <f>IFERROR(__xludf.DUMMYFUNCTION("IF(IF(Q$1="""","""",REGEXMATCH(LOWER($E156),XLOOKUP(Q$1,Metadata!$A$2:$A1000,Metadata!$B$2:$B1000))),Q$1,"""")"),"")</f>
        <v/>
      </c>
      <c r="R156" s="34" t="str">
        <f>IFERROR(__xludf.DUMMYFUNCTION("IF(IF(R$1="""","""",REGEXMATCH(LOWER($E156),XLOOKUP(R$1,Metadata!$A$2:$A1000,Metadata!$B$2:$B1000))),R$1,"""")"),"")</f>
        <v/>
      </c>
      <c r="S156" s="34" t="str">
        <f>IFERROR(__xludf.DUMMYFUNCTION("IF(IF(S$1="""","""",REGEXMATCH(LOWER($E156),XLOOKUP(S$1,Metadata!$A$2:$A1000,Metadata!$B$2:$B1000))),S$1,"""")"),"")</f>
        <v/>
      </c>
      <c r="T156" s="34" t="str">
        <f>IFERROR(__xludf.DUMMYFUNCTION("IF(IF(T$1="""","""",REGEXMATCH(LOWER($E156),XLOOKUP(T$1,Metadata!$A$2:$A1000,Metadata!$B$2:$B1000))),T$1,"""")"),"")</f>
        <v/>
      </c>
      <c r="U156" s="34" t="str">
        <f>IFERROR(__xludf.DUMMYFUNCTION("IF(IF(U$1="""","""",REGEXMATCH(LOWER($E156),XLOOKUP(U$1,Metadata!$A$2:$A1000,Metadata!$B$2:$B1000))),U$1,"""")"),"")</f>
        <v/>
      </c>
      <c r="V156" s="34" t="str">
        <f>IFERROR(__xludf.DUMMYFUNCTION("IF(IF(V$1="""","""",REGEXMATCH(LOWER($E156),XLOOKUP(V$1,Metadata!$A$2:$A1000,Metadata!$B$2:$B1000))),V$1,"""")"),"")</f>
        <v/>
      </c>
      <c r="W156" s="34" t="str">
        <f>IFERROR(__xludf.DUMMYFUNCTION("IF(IF(W$1="""","""",REGEXMATCH(LOWER($E156),XLOOKUP(W$1,Metadata!$A$2:$A1000,Metadata!$B$2:$B1000))),W$1,"""")"),"")</f>
        <v/>
      </c>
      <c r="X156" s="34" t="str">
        <f>IFERROR(__xludf.DUMMYFUNCTION("IF(IF(X$1="""","""",REGEXMATCH(LOWER($E156),XLOOKUP(X$1,Metadata!$A$2:$A1000,Metadata!$B$2:$B1000))),X$1,"""")"),"")</f>
        <v/>
      </c>
      <c r="Y156" s="34" t="str">
        <f>IFERROR(__xludf.DUMMYFUNCTION("IF(IF(Y$1="""","""",REGEXMATCH(LOWER($E156),XLOOKUP(Y$1,Metadata!$A$2:$A1000,Metadata!$B$2:$B1000))),Y$1,"""")"),"")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I157">XLOOKUP($A157,Cards!$A$2:$A1000,Cards!$B$2:$I1000,"")</f>
        <v>Elemental</v>
      </c>
      <c r="C157" s="34">
        <v>1.0</v>
      </c>
      <c r="D157" s="34" t="s">
        <v>1053</v>
      </c>
      <c r="E157" s="34" t="s">
        <v>1054</v>
      </c>
      <c r="F157" s="34"/>
      <c r="G157" s="34">
        <v>3.0</v>
      </c>
      <c r="H157" s="34" t="s">
        <v>421</v>
      </c>
      <c r="I157" s="34" t="s">
        <v>32</v>
      </c>
      <c r="J157" s="34">
        <f>IFERROR(__xludf.DUMMYFUNCTION("LEN(REGEXREPLACE(XLOOKUP($A157,Cards!$A$2:$A1000,Cards!$H$2:$H1000,""""),"",\s"",""""))"),3.0)</f>
        <v>3</v>
      </c>
      <c r="K157" s="34" t="str">
        <f t="shared" si="1"/>
        <v>         Aggro      </v>
      </c>
      <c r="L157" s="34" t="str">
        <f>IFERROR(__xludf.DUMMYFUNCTION("IF(IF(L$1="""","""",REGEXMATCH(LOWER($E157),XLOOKUP(L$1,Metadata!$A$2:$A1000,Metadata!$B$2:$B1000))),L$1,"""")"),"")</f>
        <v/>
      </c>
      <c r="M157" s="34" t="str">
        <f>IFERROR(__xludf.DUMMYFUNCTION("IF(IF(M$1="""","""",REGEXMATCH(LOWER($E157),XLOOKUP(M$1,Metadata!$A$2:$A1000,Metadata!$B$2:$B1000))),M$1,"""")"),"")</f>
        <v/>
      </c>
      <c r="N157" s="34" t="str">
        <f>IFERROR(__xludf.DUMMYFUNCTION("IF(IF(N$1="""","""",REGEXMATCH(LOWER($E157),XLOOKUP(N$1,Metadata!$A$2:$A1000,Metadata!$B$2:$B1000))),N$1,"""")"),"")</f>
        <v/>
      </c>
      <c r="O157" s="34" t="str">
        <f>IFERROR(__xludf.DUMMYFUNCTION("IF(IF(O$1="""","""",REGEXMATCH(LOWER($E157),XLOOKUP(O$1,Metadata!$A$2:$A1000,Metadata!$B$2:$B1000))),O$1,"""")"),"")</f>
        <v/>
      </c>
      <c r="P157" s="34" t="str">
        <f>IFERROR(__xludf.DUMMYFUNCTION("IF(IF(P$1="""","""",REGEXMATCH(LOWER($E157),XLOOKUP(P$1,Metadata!$A$2:$A1000,Metadata!$B$2:$B1000))),P$1,"""")"),"")</f>
        <v/>
      </c>
      <c r="Q157" s="34" t="str">
        <f>IFERROR(__xludf.DUMMYFUNCTION("IF(IF(Q$1="""","""",REGEXMATCH(LOWER($E157),XLOOKUP(Q$1,Metadata!$A$2:$A1000,Metadata!$B$2:$B1000))),Q$1,"""")"),"")</f>
        <v/>
      </c>
      <c r="R157" s="34" t="str">
        <f>IFERROR(__xludf.DUMMYFUNCTION("IF(IF(R$1="""","""",REGEXMATCH(LOWER($E157),XLOOKUP(R$1,Metadata!$A$2:$A1000,Metadata!$B$2:$B1000))),R$1,"""")"),"")</f>
        <v/>
      </c>
      <c r="S157" s="34" t="str">
        <f>IFERROR(__xludf.DUMMYFUNCTION("IF(IF(S$1="""","""",REGEXMATCH(LOWER($E157),XLOOKUP(S$1,Metadata!$A$2:$A1000,Metadata!$B$2:$B1000))),S$1,"""")"),"")</f>
        <v/>
      </c>
      <c r="T157" s="34" t="str">
        <f>IFERROR(__xludf.DUMMYFUNCTION("IF(IF(T$1="""","""",REGEXMATCH(LOWER($E157),XLOOKUP(T$1,Metadata!$A$2:$A1000,Metadata!$B$2:$B1000))),T$1,"""")"),"")</f>
        <v/>
      </c>
      <c r="U157" s="34" t="str">
        <f>IFERROR(__xludf.DUMMYFUNCTION("IF(IF(U$1="""","""",REGEXMATCH(LOWER($E157),XLOOKUP(U$1,Metadata!$A$2:$A1000,Metadata!$B$2:$B1000))),U$1,"""")"),"Aggro")</f>
        <v>Aggro</v>
      </c>
      <c r="V157" s="34" t="str">
        <f>IFERROR(__xludf.DUMMYFUNCTION("IF(IF(V$1="""","""",REGEXMATCH(LOWER($E157),XLOOKUP(V$1,Metadata!$A$2:$A1000,Metadata!$B$2:$B1000))),V$1,"""")"),"")</f>
        <v/>
      </c>
      <c r="W157" s="34" t="str">
        <f>IFERROR(__xludf.DUMMYFUNCTION("IF(IF(W$1="""","""",REGEXMATCH(LOWER($E157),XLOOKUP(W$1,Metadata!$A$2:$A1000,Metadata!$B$2:$B1000))),W$1,"""")"),"")</f>
        <v/>
      </c>
      <c r="X157" s="34" t="str">
        <f>IFERROR(__xludf.DUMMYFUNCTION("IF(IF(X$1="""","""",REGEXMATCH(LOWER($E157),XLOOKUP(X$1,Metadata!$A$2:$A1000,Metadata!$B$2:$B1000))),X$1,"""")"),"")</f>
        <v/>
      </c>
      <c r="Y157" s="34" t="str">
        <f>IFERROR(__xludf.DUMMYFUNCTION("IF(IF(Y$1="""","""",REGEXMATCH(LOWER($E157),XLOOKUP(Y$1,Metadata!$A$2:$A1000,Metadata!$B$2:$B1000))),Y$1,"""")"),"")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I158">XLOOKUP($A158,Cards!$A$2:$A1000,Cards!$B$2:$I1000,"")</f>
        <v>Elemental</v>
      </c>
      <c r="C158" s="34">
        <v>1.0</v>
      </c>
      <c r="D158" s="34" t="s">
        <v>1056</v>
      </c>
      <c r="E158" s="34"/>
      <c r="F158" s="34"/>
      <c r="G158" s="34">
        <v>1.0</v>
      </c>
      <c r="H158" s="34" t="s">
        <v>439</v>
      </c>
      <c r="I158" s="34" t="s">
        <v>26</v>
      </c>
      <c r="J158" s="34">
        <f>IFERROR(__xludf.DUMMYFUNCTION("LEN(REGEXREPLACE(XLOOKUP($A158,Cards!$A$2:$A1000,Cards!$H$2:$H1000,""""),"",\s"",""""))"),1.0)</f>
        <v>1</v>
      </c>
      <c r="K158" s="34" t="str">
        <f t="shared" si="1"/>
        <v>               </v>
      </c>
      <c r="L158" s="34" t="str">
        <f>IFERROR(__xludf.DUMMYFUNCTION("IF(IF(L$1="""","""",REGEXMATCH(LOWER($E158),XLOOKUP(L$1,Metadata!$A$2:$A1000,Metadata!$B$2:$B1000))),L$1,"""")"),"")</f>
        <v/>
      </c>
      <c r="M158" s="34" t="str">
        <f>IFERROR(__xludf.DUMMYFUNCTION("IF(IF(M$1="""","""",REGEXMATCH(LOWER($E158),XLOOKUP(M$1,Metadata!$A$2:$A1000,Metadata!$B$2:$B1000))),M$1,"""")"),"")</f>
        <v/>
      </c>
      <c r="N158" s="34" t="str">
        <f>IFERROR(__xludf.DUMMYFUNCTION("IF(IF(N$1="""","""",REGEXMATCH(LOWER($E158),XLOOKUP(N$1,Metadata!$A$2:$A1000,Metadata!$B$2:$B1000))),N$1,"""")"),"")</f>
        <v/>
      </c>
      <c r="O158" s="34" t="str">
        <f>IFERROR(__xludf.DUMMYFUNCTION("IF(IF(O$1="""","""",REGEXMATCH(LOWER($E158),XLOOKUP(O$1,Metadata!$A$2:$A1000,Metadata!$B$2:$B1000))),O$1,"""")"),"")</f>
        <v/>
      </c>
      <c r="P158" s="34" t="str">
        <f>IFERROR(__xludf.DUMMYFUNCTION("IF(IF(P$1="""","""",REGEXMATCH(LOWER($E158),XLOOKUP(P$1,Metadata!$A$2:$A1000,Metadata!$B$2:$B1000))),P$1,"""")"),"")</f>
        <v/>
      </c>
      <c r="Q158" s="34" t="str">
        <f>IFERROR(__xludf.DUMMYFUNCTION("IF(IF(Q$1="""","""",REGEXMATCH(LOWER($E158),XLOOKUP(Q$1,Metadata!$A$2:$A1000,Metadata!$B$2:$B1000))),Q$1,"""")"),"")</f>
        <v/>
      </c>
      <c r="R158" s="34" t="str">
        <f>IFERROR(__xludf.DUMMYFUNCTION("IF(IF(R$1="""","""",REGEXMATCH(LOWER($E158),XLOOKUP(R$1,Metadata!$A$2:$A1000,Metadata!$B$2:$B1000))),R$1,"""")"),"")</f>
        <v/>
      </c>
      <c r="S158" s="34" t="str">
        <f>IFERROR(__xludf.DUMMYFUNCTION("IF(IF(S$1="""","""",REGEXMATCH(LOWER($E158),XLOOKUP(S$1,Metadata!$A$2:$A1000,Metadata!$B$2:$B1000))),S$1,"""")"),"")</f>
        <v/>
      </c>
      <c r="T158" s="34" t="str">
        <f>IFERROR(__xludf.DUMMYFUNCTION("IF(IF(T$1="""","""",REGEXMATCH(LOWER($E158),XLOOKUP(T$1,Metadata!$A$2:$A1000,Metadata!$B$2:$B1000))),T$1,"""")"),"")</f>
        <v/>
      </c>
      <c r="U158" s="34" t="str">
        <f>IFERROR(__xludf.DUMMYFUNCTION("IF(IF(U$1="""","""",REGEXMATCH(LOWER($E158),XLOOKUP(U$1,Metadata!$A$2:$A1000,Metadata!$B$2:$B1000))),U$1,"""")"),"")</f>
        <v/>
      </c>
      <c r="V158" s="34" t="str">
        <f>IFERROR(__xludf.DUMMYFUNCTION("IF(IF(V$1="""","""",REGEXMATCH(LOWER($E158),XLOOKUP(V$1,Metadata!$A$2:$A1000,Metadata!$B$2:$B1000))),V$1,"""")"),"")</f>
        <v/>
      </c>
      <c r="W158" s="34" t="str">
        <f>IFERROR(__xludf.DUMMYFUNCTION("IF(IF(W$1="""","""",REGEXMATCH(LOWER($E158),XLOOKUP(W$1,Metadata!$A$2:$A1000,Metadata!$B$2:$B1000))),W$1,"""")"),"")</f>
        <v/>
      </c>
      <c r="X158" s="34" t="str">
        <f>IFERROR(__xludf.DUMMYFUNCTION("IF(IF(X$1="""","""",REGEXMATCH(LOWER($E158),XLOOKUP(X$1,Metadata!$A$2:$A1000,Metadata!$B$2:$B1000))),X$1,"""")"),"")</f>
        <v/>
      </c>
      <c r="Y158" s="34" t="str">
        <f>IFERROR(__xludf.DUMMYFUNCTION("IF(IF(Y$1="""","""",REGEXMATCH(LOWER($E158),XLOOKUP(Y$1,Metadata!$A$2:$A1000,Metadata!$B$2:$B1000))),Y$1,"""")"),"")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I159">XLOOKUP($A159,Cards!$A$2:$A1000,Cards!$B$2:$I1000,"")</f>
        <v>Elemental</v>
      </c>
      <c r="C159" s="34">
        <v>1.0</v>
      </c>
      <c r="D159" s="34" t="s">
        <v>433</v>
      </c>
      <c r="E159" s="202" t="s">
        <v>1058</v>
      </c>
      <c r="F159" s="34" t="s">
        <v>1059</v>
      </c>
      <c r="G159" s="34">
        <v>1.0</v>
      </c>
      <c r="H159" s="34" t="s">
        <v>1060</v>
      </c>
      <c r="I159" s="34" t="s">
        <v>26</v>
      </c>
      <c r="J159" s="34">
        <f>IFERROR(__xludf.DUMMYFUNCTION("LEN(REGEXREPLACE(XLOOKUP($A159,Cards!$A$2:$A1000,Cards!$H$2:$H1000,""""),"",\s"",""""))"),2.0)</f>
        <v>2</v>
      </c>
      <c r="K159" s="34" t="str">
        <f t="shared" si="1"/>
        <v>     Unearth       Ambush   </v>
      </c>
      <c r="L159" s="34" t="str">
        <f>IFERROR(__xludf.DUMMYFUNCTION("IF(IF(L$1="""","""",REGEXMATCH(LOWER($E159),XLOOKUP(L$1,Metadata!$A$2:$A1000,Metadata!$B$2:$B1000))),L$1,"""")"),"")</f>
        <v/>
      </c>
      <c r="M159" s="34" t="str">
        <f>IFERROR(__xludf.DUMMYFUNCTION("IF(IF(M$1="""","""",REGEXMATCH(LOWER($E159),XLOOKUP(M$1,Metadata!$A$2:$A1000,Metadata!$B$2:$B1000))),M$1,"""")"),"")</f>
        <v/>
      </c>
      <c r="N159" s="34" t="str">
        <f>IFERROR(__xludf.DUMMYFUNCTION("IF(IF(N$1="""","""",REGEXMATCH(LOWER($E159),XLOOKUP(N$1,Metadata!$A$2:$A1000,Metadata!$B$2:$B1000))),N$1,"""")"),"")</f>
        <v/>
      </c>
      <c r="O159" s="34" t="str">
        <f>IFERROR(__xludf.DUMMYFUNCTION("IF(IF(O$1="""","""",REGEXMATCH(LOWER($E159),XLOOKUP(O$1,Metadata!$A$2:$A1000,Metadata!$B$2:$B1000))),O$1,"""")"),"")</f>
        <v/>
      </c>
      <c r="P159" s="34" t="str">
        <f>IFERROR(__xludf.DUMMYFUNCTION("IF(IF(P$1="""","""",REGEXMATCH(LOWER($E159),XLOOKUP(P$1,Metadata!$A$2:$A1000,Metadata!$B$2:$B1000))),P$1,"""")"),"")</f>
        <v/>
      </c>
      <c r="Q159" s="34" t="str">
        <f>IFERROR(__xludf.DUMMYFUNCTION("IF(IF(Q$1="""","""",REGEXMATCH(LOWER($E159),XLOOKUP(Q$1,Metadata!$A$2:$A1000,Metadata!$B$2:$B1000))),Q$1,"""")"),"Unearth")</f>
        <v>Unearth</v>
      </c>
      <c r="R159" s="34" t="str">
        <f>IFERROR(__xludf.DUMMYFUNCTION("IF(IF(R$1="""","""",REGEXMATCH(LOWER($E159),XLOOKUP(R$1,Metadata!$A$2:$A1000,Metadata!$B$2:$B1000))),R$1,"""")"),"")</f>
        <v/>
      </c>
      <c r="S159" s="34" t="str">
        <f>IFERROR(__xludf.DUMMYFUNCTION("IF(IF(S$1="""","""",REGEXMATCH(LOWER($E159),XLOOKUP(S$1,Metadata!$A$2:$A1000,Metadata!$B$2:$B1000))),S$1,"""")"),"")</f>
        <v/>
      </c>
      <c r="T159" s="34" t="str">
        <f>IFERROR(__xludf.DUMMYFUNCTION("IF(IF(T$1="""","""",REGEXMATCH(LOWER($E159),XLOOKUP(T$1,Metadata!$A$2:$A1000,Metadata!$B$2:$B1000))),T$1,"""")"),"")</f>
        <v/>
      </c>
      <c r="U159" s="34" t="str">
        <f>IFERROR(__xludf.DUMMYFUNCTION("IF(IF(U$1="""","""",REGEXMATCH(LOWER($E159),XLOOKUP(U$1,Metadata!$A$2:$A1000,Metadata!$B$2:$B1000))),U$1,"""")"),"")</f>
        <v/>
      </c>
      <c r="V159" s="34" t="str">
        <f>IFERROR(__xludf.DUMMYFUNCTION("IF(IF(V$1="""","""",REGEXMATCH(LOWER($E159),XLOOKUP(V$1,Metadata!$A$2:$A1000,Metadata!$B$2:$B1000))),V$1,"""")"),"")</f>
        <v/>
      </c>
      <c r="W159" s="34" t="str">
        <f>IFERROR(__xludf.DUMMYFUNCTION("IF(IF(W$1="""","""",REGEXMATCH(LOWER($E159),XLOOKUP(W$1,Metadata!$A$2:$A1000,Metadata!$B$2:$B1000))),W$1,"""")"),"")</f>
        <v/>
      </c>
      <c r="X159" s="34" t="str">
        <f>IFERROR(__xludf.DUMMYFUNCTION("IF(IF(X$1="""","""",REGEXMATCH(LOWER($E159),XLOOKUP(X$1,Metadata!$A$2:$A1000,Metadata!$B$2:$B1000))),X$1,"""")"),"Ambush")</f>
        <v>Ambush</v>
      </c>
      <c r="Y159" s="34" t="str">
        <f>IFERROR(__xludf.DUMMYFUNCTION("IF(IF(Y$1="""","""",REGEXMATCH(LOWER($E159),XLOOKUP(Y$1,Metadata!$A$2:$A1000,Metadata!$B$2:$B1000))),Y$1,"""")"),"")</f>
        <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I160">XLOOKUP($A160,Cards!$A$2:$A1000,Cards!$B$2:$I1000,"")</f>
        <v>Mortal</v>
      </c>
      <c r="C160" s="34">
        <v>2.0</v>
      </c>
      <c r="D160" s="34" t="s">
        <v>1062</v>
      </c>
      <c r="E160" s="34" t="s">
        <v>1063</v>
      </c>
      <c r="F160" s="34" t="s">
        <v>1064</v>
      </c>
      <c r="G160" s="34">
        <v>4.0</v>
      </c>
      <c r="H160" s="34" t="s">
        <v>443</v>
      </c>
      <c r="I160" s="34" t="s">
        <v>32</v>
      </c>
      <c r="J160" s="34">
        <f>IFERROR(__xludf.DUMMYFUNCTION("LEN(REGEXREPLACE(XLOOKUP($A160,Cards!$A$2:$A1000,Cards!$H$2:$H1000,""""),"",\s"",""""))"),5.0)</f>
        <v>5</v>
      </c>
      <c r="K160" s="34" t="str">
        <f t="shared" si="1"/>
        <v>               </v>
      </c>
      <c r="L160" s="34" t="str">
        <f>IFERROR(__xludf.DUMMYFUNCTION("IF(IF(L$1="""","""",REGEXMATCH(LOWER($E160),XLOOKUP(L$1,Metadata!$A$2:$A1000,Metadata!$B$2:$B1000))),L$1,"""")"),"")</f>
        <v/>
      </c>
      <c r="M160" s="34" t="str">
        <f>IFERROR(__xludf.DUMMYFUNCTION("IF(IF(M$1="""","""",REGEXMATCH(LOWER($E160),XLOOKUP(M$1,Metadata!$A$2:$A1000,Metadata!$B$2:$B1000))),M$1,"""")"),"")</f>
        <v/>
      </c>
      <c r="N160" s="34" t="str">
        <f>IFERROR(__xludf.DUMMYFUNCTION("IF(IF(N$1="""","""",REGEXMATCH(LOWER($E160),XLOOKUP(N$1,Metadata!$A$2:$A1000,Metadata!$B$2:$B1000))),N$1,"""")"),"")</f>
        <v/>
      </c>
      <c r="O160" s="34" t="str">
        <f>IFERROR(__xludf.DUMMYFUNCTION("IF(IF(O$1="""","""",REGEXMATCH(LOWER($E160),XLOOKUP(O$1,Metadata!$A$2:$A1000,Metadata!$B$2:$B1000))),O$1,"""")"),"")</f>
        <v/>
      </c>
      <c r="P160" s="34" t="str">
        <f>IFERROR(__xludf.DUMMYFUNCTION("IF(IF(P$1="""","""",REGEXMATCH(LOWER($E160),XLOOKUP(P$1,Metadata!$A$2:$A1000,Metadata!$B$2:$B1000))),P$1,"""")"),"")</f>
        <v/>
      </c>
      <c r="Q160" s="34" t="str">
        <f>IFERROR(__xludf.DUMMYFUNCTION("IF(IF(Q$1="""","""",REGEXMATCH(LOWER($E160),XLOOKUP(Q$1,Metadata!$A$2:$A1000,Metadata!$B$2:$B1000))),Q$1,"""")"),"")</f>
        <v/>
      </c>
      <c r="R160" s="34" t="str">
        <f>IFERROR(__xludf.DUMMYFUNCTION("IF(IF(R$1="""","""",REGEXMATCH(LOWER($E160),XLOOKUP(R$1,Metadata!$A$2:$A1000,Metadata!$B$2:$B1000))),R$1,"""")"),"")</f>
        <v/>
      </c>
      <c r="S160" s="34" t="str">
        <f>IFERROR(__xludf.DUMMYFUNCTION("IF(IF(S$1="""","""",REGEXMATCH(LOWER($E160),XLOOKUP(S$1,Metadata!$A$2:$A1000,Metadata!$B$2:$B1000))),S$1,"""")"),"")</f>
        <v/>
      </c>
      <c r="T160" s="34" t="str">
        <f>IFERROR(__xludf.DUMMYFUNCTION("IF(IF(T$1="""","""",REGEXMATCH(LOWER($E160),XLOOKUP(T$1,Metadata!$A$2:$A1000,Metadata!$B$2:$B1000))),T$1,"""")"),"")</f>
        <v/>
      </c>
      <c r="U160" s="34" t="str">
        <f>IFERROR(__xludf.DUMMYFUNCTION("IF(IF(U$1="""","""",REGEXMATCH(LOWER($E160),XLOOKUP(U$1,Metadata!$A$2:$A1000,Metadata!$B$2:$B1000))),U$1,"""")"),"")</f>
        <v/>
      </c>
      <c r="V160" s="34" t="str">
        <f>IFERROR(__xludf.DUMMYFUNCTION("IF(IF(V$1="""","""",REGEXMATCH(LOWER($E160),XLOOKUP(V$1,Metadata!$A$2:$A1000,Metadata!$B$2:$B1000))),V$1,"""")"),"")</f>
        <v/>
      </c>
      <c r="W160" s="34" t="str">
        <f>IFERROR(__xludf.DUMMYFUNCTION("IF(IF(W$1="""","""",REGEXMATCH(LOWER($E160),XLOOKUP(W$1,Metadata!$A$2:$A1000,Metadata!$B$2:$B1000))),W$1,"""")"),"")</f>
        <v/>
      </c>
      <c r="X160" s="34" t="str">
        <f>IFERROR(__xludf.DUMMYFUNCTION("IF(IF(X$1="""","""",REGEXMATCH(LOWER($E160),XLOOKUP(X$1,Metadata!$A$2:$A1000,Metadata!$B$2:$B1000))),X$1,"""")"),"")</f>
        <v/>
      </c>
      <c r="Y160" s="34" t="str">
        <f>IFERROR(__xludf.DUMMYFUNCTION("IF(IF(Y$1="""","""",REGEXMATCH(LOWER($E160),XLOOKUP(Y$1,Metadata!$A$2:$A1000,Metadata!$B$2:$B1000))),Y$1,"""")"),"")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I161">XLOOKUP($A161,Cards!$A$2:$A1000,Cards!$B$2:$I1000,"")</f>
        <v>Elemental Mortal</v>
      </c>
      <c r="C161" s="34">
        <v>1.0</v>
      </c>
      <c r="D161" s="34" t="s">
        <v>1066</v>
      </c>
      <c r="E161" s="34" t="s">
        <v>1067</v>
      </c>
      <c r="F161" s="34" t="s">
        <v>1068</v>
      </c>
      <c r="G161" s="34">
        <v>2.0</v>
      </c>
      <c r="H161" s="34" t="s">
        <v>898</v>
      </c>
      <c r="I161" s="34" t="s">
        <v>70</v>
      </c>
      <c r="J161" s="34">
        <f>IFERROR(__xludf.DUMMYFUNCTION("LEN(REGEXREPLACE(XLOOKUP($A161,Cards!$A$2:$A1000,Cards!$H$2:$H1000,""""),"",\s"",""""))"),4.0)</f>
        <v>4</v>
      </c>
      <c r="K161" s="34" t="str">
        <f t="shared" si="1"/>
        <v>        Copy       </v>
      </c>
      <c r="L161" s="34" t="str">
        <f>IFERROR(__xludf.DUMMYFUNCTION("IF(IF(L$1="""","""",REGEXMATCH(LOWER($E161),XLOOKUP(L$1,Metadata!$A$2:$A1000,Metadata!$B$2:$B1000))),L$1,"""")"),"")</f>
        <v/>
      </c>
      <c r="M161" s="34" t="str">
        <f>IFERROR(__xludf.DUMMYFUNCTION("IF(IF(M$1="""","""",REGEXMATCH(LOWER($E161),XLOOKUP(M$1,Metadata!$A$2:$A1000,Metadata!$B$2:$B1000))),M$1,"""")"),"")</f>
        <v/>
      </c>
      <c r="N161" s="34" t="str">
        <f>IFERROR(__xludf.DUMMYFUNCTION("IF(IF(N$1="""","""",REGEXMATCH(LOWER($E161),XLOOKUP(N$1,Metadata!$A$2:$A1000,Metadata!$B$2:$B1000))),N$1,"""")"),"")</f>
        <v/>
      </c>
      <c r="O161" s="34" t="str">
        <f>IFERROR(__xludf.DUMMYFUNCTION("IF(IF(O$1="""","""",REGEXMATCH(LOWER($E161),XLOOKUP(O$1,Metadata!$A$2:$A1000,Metadata!$B$2:$B1000))),O$1,"""")"),"")</f>
        <v/>
      </c>
      <c r="P161" s="34" t="str">
        <f>IFERROR(__xludf.DUMMYFUNCTION("IF(IF(P$1="""","""",REGEXMATCH(LOWER($E161),XLOOKUP(P$1,Metadata!$A$2:$A1000,Metadata!$B$2:$B1000))),P$1,"""")"),"")</f>
        <v/>
      </c>
      <c r="Q161" s="34" t="str">
        <f>IFERROR(__xludf.DUMMYFUNCTION("IF(IF(Q$1="""","""",REGEXMATCH(LOWER($E161),XLOOKUP(Q$1,Metadata!$A$2:$A1000,Metadata!$B$2:$B1000))),Q$1,"""")"),"")</f>
        <v/>
      </c>
      <c r="R161" s="34" t="str">
        <f>IFERROR(__xludf.DUMMYFUNCTION("IF(IF(R$1="""","""",REGEXMATCH(LOWER($E161),XLOOKUP(R$1,Metadata!$A$2:$A1000,Metadata!$B$2:$B1000))),R$1,"""")"),"")</f>
        <v/>
      </c>
      <c r="S161" s="34" t="str">
        <f>IFERROR(__xludf.DUMMYFUNCTION("IF(IF(S$1="""","""",REGEXMATCH(LOWER($E161),XLOOKUP(S$1,Metadata!$A$2:$A1000,Metadata!$B$2:$B1000))),S$1,"""")"),"")</f>
        <v/>
      </c>
      <c r="T161" s="34" t="str">
        <f>IFERROR(__xludf.DUMMYFUNCTION("IF(IF(T$1="""","""",REGEXMATCH(LOWER($E161),XLOOKUP(T$1,Metadata!$A$2:$A1000,Metadata!$B$2:$B1000))),T$1,"""")"),"Copy")</f>
        <v>Copy</v>
      </c>
      <c r="U161" s="34" t="str">
        <f>IFERROR(__xludf.DUMMYFUNCTION("IF(IF(U$1="""","""",REGEXMATCH(LOWER($E161),XLOOKUP(U$1,Metadata!$A$2:$A1000,Metadata!$B$2:$B1000))),U$1,"""")"),"")</f>
        <v/>
      </c>
      <c r="V161" s="34" t="str">
        <f>IFERROR(__xludf.DUMMYFUNCTION("IF(IF(V$1="""","""",REGEXMATCH(LOWER($E161),XLOOKUP(V$1,Metadata!$A$2:$A1000,Metadata!$B$2:$B1000))),V$1,"""")"),"")</f>
        <v/>
      </c>
      <c r="W161" s="34" t="str">
        <f>IFERROR(__xludf.DUMMYFUNCTION("IF(IF(W$1="""","""",REGEXMATCH(LOWER($E161),XLOOKUP(W$1,Metadata!$A$2:$A1000,Metadata!$B$2:$B1000))),W$1,"""")"),"")</f>
        <v/>
      </c>
      <c r="X161" s="34" t="str">
        <f>IFERROR(__xludf.DUMMYFUNCTION("IF(IF(X$1="""","""",REGEXMATCH(LOWER($E161),XLOOKUP(X$1,Metadata!$A$2:$A1000,Metadata!$B$2:$B1000))),X$1,"""")"),"")</f>
        <v/>
      </c>
      <c r="Y161" s="34" t="str">
        <f>IFERROR(__xludf.DUMMYFUNCTION("IF(IF(Y$1="""","""",REGEXMATCH(LOWER($E161),XLOOKUP(Y$1,Metadata!$A$2:$A1000,Metadata!$B$2:$B1000))),Y$1,"""")"),"")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I162">XLOOKUP($A162,Cards!$A$2:$A1000,Cards!$B$2:$I1000,"")</f>
        <v>Elemental Mortal</v>
      </c>
      <c r="C162" s="34">
        <v>1.0</v>
      </c>
      <c r="D162" s="34" t="s">
        <v>335</v>
      </c>
      <c r="E162" s="34" t="s">
        <v>1081</v>
      </c>
      <c r="F162" s="34" t="s">
        <v>1082</v>
      </c>
      <c r="G162" s="34">
        <v>5.0</v>
      </c>
      <c r="H162" s="34" t="s">
        <v>1083</v>
      </c>
      <c r="I162" s="34" t="s">
        <v>32</v>
      </c>
      <c r="J162" s="34">
        <f>IFERROR(__xludf.DUMMYFUNCTION("LEN(REGEXREPLACE(XLOOKUP($A162,Cards!$A$2:$A1000,Cards!$H$2:$H1000,""""),"",\s"",""""))"),5.0)</f>
        <v>5</v>
      </c>
      <c r="K162" s="34" t="str">
        <f t="shared" si="1"/>
        <v>               </v>
      </c>
      <c r="L162" s="34" t="str">
        <f>IFERROR(__xludf.DUMMYFUNCTION("IF(IF(L$1="""","""",REGEXMATCH(LOWER($E162),XLOOKUP(L$1,Metadata!$A$2:$A1000,Metadata!$B$2:$B1000))),L$1,"""")"),"")</f>
        <v/>
      </c>
      <c r="M162" s="34" t="str">
        <f>IFERROR(__xludf.DUMMYFUNCTION("IF(IF(M$1="""","""",REGEXMATCH(LOWER($E162),XLOOKUP(M$1,Metadata!$A$2:$A1000,Metadata!$B$2:$B1000))),M$1,"""")"),"")</f>
        <v/>
      </c>
      <c r="N162" s="34" t="str">
        <f>IFERROR(__xludf.DUMMYFUNCTION("IF(IF(N$1="""","""",REGEXMATCH(LOWER($E162),XLOOKUP(N$1,Metadata!$A$2:$A1000,Metadata!$B$2:$B1000))),N$1,"""")"),"")</f>
        <v/>
      </c>
      <c r="O162" s="34" t="str">
        <f>IFERROR(__xludf.DUMMYFUNCTION("IF(IF(O$1="""","""",REGEXMATCH(LOWER($E162),XLOOKUP(O$1,Metadata!$A$2:$A1000,Metadata!$B$2:$B1000))),O$1,"""")"),"")</f>
        <v/>
      </c>
      <c r="P162" s="34" t="str">
        <f>IFERROR(__xludf.DUMMYFUNCTION("IF(IF(P$1="""","""",REGEXMATCH(LOWER($E162),XLOOKUP(P$1,Metadata!$A$2:$A1000,Metadata!$B$2:$B1000))),P$1,"""")"),"")</f>
        <v/>
      </c>
      <c r="Q162" s="34" t="str">
        <f>IFERROR(__xludf.DUMMYFUNCTION("IF(IF(Q$1="""","""",REGEXMATCH(LOWER($E162),XLOOKUP(Q$1,Metadata!$A$2:$A1000,Metadata!$B$2:$B1000))),Q$1,"""")"),"")</f>
        <v/>
      </c>
      <c r="R162" s="34" t="str">
        <f>IFERROR(__xludf.DUMMYFUNCTION("IF(IF(R$1="""","""",REGEXMATCH(LOWER($E162),XLOOKUP(R$1,Metadata!$A$2:$A1000,Metadata!$B$2:$B1000))),R$1,"""")"),"")</f>
        <v/>
      </c>
      <c r="S162" s="34" t="str">
        <f>IFERROR(__xludf.DUMMYFUNCTION("IF(IF(S$1="""","""",REGEXMATCH(LOWER($E162),XLOOKUP(S$1,Metadata!$A$2:$A1000,Metadata!$B$2:$B1000))),S$1,"""")"),"")</f>
        <v/>
      </c>
      <c r="T162" s="34" t="str">
        <f>IFERROR(__xludf.DUMMYFUNCTION("IF(IF(T$1="""","""",REGEXMATCH(LOWER($E162),XLOOKUP(T$1,Metadata!$A$2:$A1000,Metadata!$B$2:$B1000))),T$1,"""")"),"")</f>
        <v/>
      </c>
      <c r="U162" s="34" t="str">
        <f>IFERROR(__xludf.DUMMYFUNCTION("IF(IF(U$1="""","""",REGEXMATCH(LOWER($E162),XLOOKUP(U$1,Metadata!$A$2:$A1000,Metadata!$B$2:$B1000))),U$1,"""")"),"")</f>
        <v/>
      </c>
      <c r="V162" s="34" t="str">
        <f>IFERROR(__xludf.DUMMYFUNCTION("IF(IF(V$1="""","""",REGEXMATCH(LOWER($E162),XLOOKUP(V$1,Metadata!$A$2:$A1000,Metadata!$B$2:$B1000))),V$1,"""")"),"")</f>
        <v/>
      </c>
      <c r="W162" s="34" t="str">
        <f>IFERROR(__xludf.DUMMYFUNCTION("IF(IF(W$1="""","""",REGEXMATCH(LOWER($E162),XLOOKUP(W$1,Metadata!$A$2:$A1000,Metadata!$B$2:$B1000))),W$1,"""")"),"")</f>
        <v/>
      </c>
      <c r="X162" s="34" t="str">
        <f>IFERROR(__xludf.DUMMYFUNCTION("IF(IF(X$1="""","""",REGEXMATCH(LOWER($E162),XLOOKUP(X$1,Metadata!$A$2:$A1000,Metadata!$B$2:$B1000))),X$1,"""")"),"")</f>
        <v/>
      </c>
      <c r="Y162" s="34" t="str">
        <f>IFERROR(__xludf.DUMMYFUNCTION("IF(IF(Y$1="""","""",REGEXMATCH(LOWER($E162),XLOOKUP(Y$1,Metadata!$A$2:$A1000,Metadata!$B$2:$B1000))),Y$1,"""")"),"")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I163">XLOOKUP($A163,Cards!$A$2:$A1000,Cards!$B$2:$I1000,"")</f>
        <v>Mortal</v>
      </c>
      <c r="C163" s="34">
        <v>2.0</v>
      </c>
      <c r="D163" s="34" t="s">
        <v>37</v>
      </c>
      <c r="E163" s="34" t="s">
        <v>1094</v>
      </c>
      <c r="F163" s="34" t="s">
        <v>213</v>
      </c>
      <c r="G163" s="34">
        <v>2.0</v>
      </c>
      <c r="H163" s="34" t="s">
        <v>1095</v>
      </c>
      <c r="I163" s="34" t="s">
        <v>70</v>
      </c>
      <c r="J163" s="34">
        <f>IFERROR(__xludf.DUMMYFUNCTION("LEN(REGEXREPLACE(XLOOKUP($A163,Cards!$A$2:$A1000,Cards!$H$2:$H1000,""""),"",\s"",""""))"),4.0)</f>
        <v>4</v>
      </c>
      <c r="K163" s="34" t="str">
        <f t="shared" si="1"/>
        <v>     Unearth       Ambush   </v>
      </c>
      <c r="L163" s="34" t="str">
        <f>IFERROR(__xludf.DUMMYFUNCTION("IF(IF(L$1="""","""",REGEXMATCH(LOWER($E163),XLOOKUP(L$1,Metadata!$A$2:$A1000,Metadata!$B$2:$B1000))),L$1,"""")"),"")</f>
        <v/>
      </c>
      <c r="M163" s="34" t="str">
        <f>IFERROR(__xludf.DUMMYFUNCTION("IF(IF(M$1="""","""",REGEXMATCH(LOWER($E163),XLOOKUP(M$1,Metadata!$A$2:$A1000,Metadata!$B$2:$B1000))),M$1,"""")"),"")</f>
        <v/>
      </c>
      <c r="N163" s="34" t="str">
        <f>IFERROR(__xludf.DUMMYFUNCTION("IF(IF(N$1="""","""",REGEXMATCH(LOWER($E163),XLOOKUP(N$1,Metadata!$A$2:$A1000,Metadata!$B$2:$B1000))),N$1,"""")"),"")</f>
        <v/>
      </c>
      <c r="O163" s="34" t="str">
        <f>IFERROR(__xludf.DUMMYFUNCTION("IF(IF(O$1="""","""",REGEXMATCH(LOWER($E163),XLOOKUP(O$1,Metadata!$A$2:$A1000,Metadata!$B$2:$B1000))),O$1,"""")"),"")</f>
        <v/>
      </c>
      <c r="P163" s="34" t="str">
        <f>IFERROR(__xludf.DUMMYFUNCTION("IF(IF(P$1="""","""",REGEXMATCH(LOWER($E163),XLOOKUP(P$1,Metadata!$A$2:$A1000,Metadata!$B$2:$B1000))),P$1,"""")"),"")</f>
        <v/>
      </c>
      <c r="Q163" s="34" t="str">
        <f>IFERROR(__xludf.DUMMYFUNCTION("IF(IF(Q$1="""","""",REGEXMATCH(LOWER($E163),XLOOKUP(Q$1,Metadata!$A$2:$A1000,Metadata!$B$2:$B1000))),Q$1,"""")"),"Unearth")</f>
        <v>Unearth</v>
      </c>
      <c r="R163" s="34" t="str">
        <f>IFERROR(__xludf.DUMMYFUNCTION("IF(IF(R$1="""","""",REGEXMATCH(LOWER($E163),XLOOKUP(R$1,Metadata!$A$2:$A1000,Metadata!$B$2:$B1000))),R$1,"""")"),"")</f>
        <v/>
      </c>
      <c r="S163" s="34" t="str">
        <f>IFERROR(__xludf.DUMMYFUNCTION("IF(IF(S$1="""","""",REGEXMATCH(LOWER($E163),XLOOKUP(S$1,Metadata!$A$2:$A1000,Metadata!$B$2:$B1000))),S$1,"""")"),"")</f>
        <v/>
      </c>
      <c r="T163" s="34" t="str">
        <f>IFERROR(__xludf.DUMMYFUNCTION("IF(IF(T$1="""","""",REGEXMATCH(LOWER($E163),XLOOKUP(T$1,Metadata!$A$2:$A1000,Metadata!$B$2:$B1000))),T$1,"""")"),"")</f>
        <v/>
      </c>
      <c r="U163" s="34" t="str">
        <f>IFERROR(__xludf.DUMMYFUNCTION("IF(IF(U$1="""","""",REGEXMATCH(LOWER($E163),XLOOKUP(U$1,Metadata!$A$2:$A1000,Metadata!$B$2:$B1000))),U$1,"""")"),"")</f>
        <v/>
      </c>
      <c r="V163" s="34" t="str">
        <f>IFERROR(__xludf.DUMMYFUNCTION("IF(IF(V$1="""","""",REGEXMATCH(LOWER($E163),XLOOKUP(V$1,Metadata!$A$2:$A1000,Metadata!$B$2:$B1000))),V$1,"""")"),"")</f>
        <v/>
      </c>
      <c r="W163" s="34" t="str">
        <f>IFERROR(__xludf.DUMMYFUNCTION("IF(IF(W$1="""","""",REGEXMATCH(LOWER($E163),XLOOKUP(W$1,Metadata!$A$2:$A1000,Metadata!$B$2:$B1000))),W$1,"""")"),"")</f>
        <v/>
      </c>
      <c r="X163" s="34" t="str">
        <f>IFERROR(__xludf.DUMMYFUNCTION("IF(IF(X$1="""","""",REGEXMATCH(LOWER($E163),XLOOKUP(X$1,Metadata!$A$2:$A1000,Metadata!$B$2:$B1000))),X$1,"""")"),"Ambush")</f>
        <v>Ambush</v>
      </c>
      <c r="Y163" s="34" t="str">
        <f>IFERROR(__xludf.DUMMYFUNCTION("IF(IF(Y$1="""","""",REGEXMATCH(LOWER($E163),XLOOKUP(Y$1,Metadata!$A$2:$A1000,Metadata!$B$2:$B1000))),Y$1,"""")"),"")</f>
        <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I164">XLOOKUP($A164,Cards!$A$2:$A1000,Cards!$B$2:$I1000,"")</f>
        <v>Mortal</v>
      </c>
      <c r="C164" s="34">
        <v>2.0</v>
      </c>
      <c r="D164" s="34" t="s">
        <v>149</v>
      </c>
      <c r="E164" s="34" t="s">
        <v>1097</v>
      </c>
      <c r="F164" s="34" t="s">
        <v>1098</v>
      </c>
      <c r="G164" s="34">
        <v>4.0</v>
      </c>
      <c r="H164" s="34" t="s">
        <v>1095</v>
      </c>
      <c r="I164" s="34" t="s">
        <v>70</v>
      </c>
      <c r="J164" s="34">
        <f>IFERROR(__xludf.DUMMYFUNCTION("LEN(REGEXREPLACE(XLOOKUP($A164,Cards!$A$2:$A1000,Cards!$H$2:$H1000,""""),"",\s"",""""))"),4.0)</f>
        <v>4</v>
      </c>
      <c r="K164" s="34" t="str">
        <f t="shared" si="1"/>
        <v>      Ramp Control     Ambush   </v>
      </c>
      <c r="L164" s="34" t="str">
        <f>IFERROR(__xludf.DUMMYFUNCTION("IF(IF(L$1="""","""",REGEXMATCH(LOWER($E164),XLOOKUP(L$1,Metadata!$A$2:$A1000,Metadata!$B$2:$B1000))),L$1,"""")"),"")</f>
        <v/>
      </c>
      <c r="M164" s="34" t="str">
        <f>IFERROR(__xludf.DUMMYFUNCTION("IF(IF(M$1="""","""",REGEXMATCH(LOWER($E164),XLOOKUP(M$1,Metadata!$A$2:$A1000,Metadata!$B$2:$B1000))),M$1,"""")"),"")</f>
        <v/>
      </c>
      <c r="N164" s="34" t="str">
        <f>IFERROR(__xludf.DUMMYFUNCTION("IF(IF(N$1="""","""",REGEXMATCH(LOWER($E164),XLOOKUP(N$1,Metadata!$A$2:$A1000,Metadata!$B$2:$B1000))),N$1,"""")"),"")</f>
        <v/>
      </c>
      <c r="O164" s="34" t="str">
        <f>IFERROR(__xludf.DUMMYFUNCTION("IF(IF(O$1="""","""",REGEXMATCH(LOWER($E164),XLOOKUP(O$1,Metadata!$A$2:$A1000,Metadata!$B$2:$B1000))),O$1,"""")"),"")</f>
        <v/>
      </c>
      <c r="P164" s="34" t="str">
        <f>IFERROR(__xludf.DUMMYFUNCTION("IF(IF(P$1="""","""",REGEXMATCH(LOWER($E164),XLOOKUP(P$1,Metadata!$A$2:$A1000,Metadata!$B$2:$B1000))),P$1,"""")"),"")</f>
        <v/>
      </c>
      <c r="Q164" s="34" t="str">
        <f>IFERROR(__xludf.DUMMYFUNCTION("IF(IF(Q$1="""","""",REGEXMATCH(LOWER($E164),XLOOKUP(Q$1,Metadata!$A$2:$A1000,Metadata!$B$2:$B1000))),Q$1,"""")"),"")</f>
        <v/>
      </c>
      <c r="R164" s="34" t="str">
        <f>IFERROR(__xludf.DUMMYFUNCTION("IF(IF(R$1="""","""",REGEXMATCH(LOWER($E164),XLOOKUP(R$1,Metadata!$A$2:$A1000,Metadata!$B$2:$B1000))),R$1,"""")"),"Ramp")</f>
        <v>Ramp</v>
      </c>
      <c r="S164" s="34" t="str">
        <f>IFERROR(__xludf.DUMMYFUNCTION("IF(IF(S$1="""","""",REGEXMATCH(LOWER($E164),XLOOKUP(S$1,Metadata!$A$2:$A1000,Metadata!$B$2:$B1000))),S$1,"""")"),"Control")</f>
        <v>Control</v>
      </c>
      <c r="T164" s="34" t="str">
        <f>IFERROR(__xludf.DUMMYFUNCTION("IF(IF(T$1="""","""",REGEXMATCH(LOWER($E164),XLOOKUP(T$1,Metadata!$A$2:$A1000,Metadata!$B$2:$B1000))),T$1,"""")"),"")</f>
        <v/>
      </c>
      <c r="U164" s="34" t="str">
        <f>IFERROR(__xludf.DUMMYFUNCTION("IF(IF(U$1="""","""",REGEXMATCH(LOWER($E164),XLOOKUP(U$1,Metadata!$A$2:$A1000,Metadata!$B$2:$B1000))),U$1,"""")"),"")</f>
        <v/>
      </c>
      <c r="V164" s="34" t="str">
        <f>IFERROR(__xludf.DUMMYFUNCTION("IF(IF(V$1="""","""",REGEXMATCH(LOWER($E164),XLOOKUP(V$1,Metadata!$A$2:$A1000,Metadata!$B$2:$B1000))),V$1,"""")"),"")</f>
        <v/>
      </c>
      <c r="W164" s="34" t="str">
        <f>IFERROR(__xludf.DUMMYFUNCTION("IF(IF(W$1="""","""",REGEXMATCH(LOWER($E164),XLOOKUP(W$1,Metadata!$A$2:$A1000,Metadata!$B$2:$B1000))),W$1,"""")"),"")</f>
        <v/>
      </c>
      <c r="X164" s="34" t="str">
        <f>IFERROR(__xludf.DUMMYFUNCTION("IF(IF(X$1="""","""",REGEXMATCH(LOWER($E164),XLOOKUP(X$1,Metadata!$A$2:$A1000,Metadata!$B$2:$B1000))),X$1,"""")"),"Ambush")</f>
        <v>Ambush</v>
      </c>
      <c r="Y164" s="34" t="str">
        <f>IFERROR(__xludf.DUMMYFUNCTION("IF(IF(Y$1="""","""",REGEXMATCH(LOWER($E164),XLOOKUP(Y$1,Metadata!$A$2:$A1000,Metadata!$B$2:$B1000))),Y$1,"""")"),"")</f>
        <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I165">XLOOKUP($A165,Cards!$A$2:$A1000,Cards!$B$2:$I1000,"")</f>
        <v>Elemental Mortal</v>
      </c>
      <c r="C165" s="34">
        <v>1.0</v>
      </c>
      <c r="D165" s="34" t="s">
        <v>1100</v>
      </c>
      <c r="E165" s="34"/>
      <c r="F165" s="34" t="s">
        <v>1101</v>
      </c>
      <c r="G165" s="34">
        <v>2.0</v>
      </c>
      <c r="H165" s="34" t="s">
        <v>1102</v>
      </c>
      <c r="I165" s="34" t="s">
        <v>26</v>
      </c>
      <c r="J165" s="34">
        <f>IFERROR(__xludf.DUMMYFUNCTION("LEN(REGEXREPLACE(XLOOKUP($A165,Cards!$A$2:$A1000,Cards!$H$2:$H1000,""""),"",\s"",""""))"),2.0)</f>
        <v>2</v>
      </c>
      <c r="K165" s="34" t="str">
        <f t="shared" si="1"/>
        <v>               </v>
      </c>
      <c r="L165" s="34" t="str">
        <f>IFERROR(__xludf.DUMMYFUNCTION("IF(IF(L$1="""","""",REGEXMATCH(LOWER($E165),XLOOKUP(L$1,Metadata!$A$2:$A1000,Metadata!$B$2:$B1000))),L$1,"""")"),"")</f>
        <v/>
      </c>
      <c r="M165" s="34" t="str">
        <f>IFERROR(__xludf.DUMMYFUNCTION("IF(IF(M$1="""","""",REGEXMATCH(LOWER($E165),XLOOKUP(M$1,Metadata!$A$2:$A1000,Metadata!$B$2:$B1000))),M$1,"""")"),"")</f>
        <v/>
      </c>
      <c r="N165" s="34" t="str">
        <f>IFERROR(__xludf.DUMMYFUNCTION("IF(IF(N$1="""","""",REGEXMATCH(LOWER($E165),XLOOKUP(N$1,Metadata!$A$2:$A1000,Metadata!$B$2:$B1000))),N$1,"""")"),"")</f>
        <v/>
      </c>
      <c r="O165" s="34" t="str">
        <f>IFERROR(__xludf.DUMMYFUNCTION("IF(IF(O$1="""","""",REGEXMATCH(LOWER($E165),XLOOKUP(O$1,Metadata!$A$2:$A1000,Metadata!$B$2:$B1000))),O$1,"""")"),"")</f>
        <v/>
      </c>
      <c r="P165" s="34" t="str">
        <f>IFERROR(__xludf.DUMMYFUNCTION("IF(IF(P$1="""","""",REGEXMATCH(LOWER($E165),XLOOKUP(P$1,Metadata!$A$2:$A1000,Metadata!$B$2:$B1000))),P$1,"""")"),"")</f>
        <v/>
      </c>
      <c r="Q165" s="34" t="str">
        <f>IFERROR(__xludf.DUMMYFUNCTION("IF(IF(Q$1="""","""",REGEXMATCH(LOWER($E165),XLOOKUP(Q$1,Metadata!$A$2:$A1000,Metadata!$B$2:$B1000))),Q$1,"""")"),"")</f>
        <v/>
      </c>
      <c r="R165" s="34" t="str">
        <f>IFERROR(__xludf.DUMMYFUNCTION("IF(IF(R$1="""","""",REGEXMATCH(LOWER($E165),XLOOKUP(R$1,Metadata!$A$2:$A1000,Metadata!$B$2:$B1000))),R$1,"""")"),"")</f>
        <v/>
      </c>
      <c r="S165" s="34" t="str">
        <f>IFERROR(__xludf.DUMMYFUNCTION("IF(IF(S$1="""","""",REGEXMATCH(LOWER($E165),XLOOKUP(S$1,Metadata!$A$2:$A1000,Metadata!$B$2:$B1000))),S$1,"""")"),"")</f>
        <v/>
      </c>
      <c r="T165" s="34" t="str">
        <f>IFERROR(__xludf.DUMMYFUNCTION("IF(IF(T$1="""","""",REGEXMATCH(LOWER($E165),XLOOKUP(T$1,Metadata!$A$2:$A1000,Metadata!$B$2:$B1000))),T$1,"""")"),"")</f>
        <v/>
      </c>
      <c r="U165" s="34" t="str">
        <f>IFERROR(__xludf.DUMMYFUNCTION("IF(IF(U$1="""","""",REGEXMATCH(LOWER($E165),XLOOKUP(U$1,Metadata!$A$2:$A1000,Metadata!$B$2:$B1000))),U$1,"""")"),"")</f>
        <v/>
      </c>
      <c r="V165" s="34" t="str">
        <f>IFERROR(__xludf.DUMMYFUNCTION("IF(IF(V$1="""","""",REGEXMATCH(LOWER($E165),XLOOKUP(V$1,Metadata!$A$2:$A1000,Metadata!$B$2:$B1000))),V$1,"""")"),"")</f>
        <v/>
      </c>
      <c r="W165" s="34" t="str">
        <f>IFERROR(__xludf.DUMMYFUNCTION("IF(IF(W$1="""","""",REGEXMATCH(LOWER($E165),XLOOKUP(W$1,Metadata!$A$2:$A1000,Metadata!$B$2:$B1000))),W$1,"""")"),"")</f>
        <v/>
      </c>
      <c r="X165" s="34" t="str">
        <f>IFERROR(__xludf.DUMMYFUNCTION("IF(IF(X$1="""","""",REGEXMATCH(LOWER($E165),XLOOKUP(X$1,Metadata!$A$2:$A1000,Metadata!$B$2:$B1000))),X$1,"""")"),"")</f>
        <v/>
      </c>
      <c r="Y165" s="34" t="str">
        <f>IFERROR(__xludf.DUMMYFUNCTION("IF(IF(Y$1="""","""",REGEXMATCH(LOWER($E165),XLOOKUP(Y$1,Metadata!$A$2:$A1000,Metadata!$B$2:$B1000))),Y$1,"""")"),"")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I166">XLOOKUP($A166,Cards!$A$2:$A1000,Cards!$B$2:$I1000,"")</f>
        <v>Elemental Nature</v>
      </c>
      <c r="C166" s="34">
        <v>1.0</v>
      </c>
      <c r="D166" s="34" t="s">
        <v>588</v>
      </c>
      <c r="E166" s="34" t="s">
        <v>1115</v>
      </c>
      <c r="F166" s="34" t="s">
        <v>1116</v>
      </c>
      <c r="G166" s="34">
        <v>5.0</v>
      </c>
      <c r="H166" s="34" t="s">
        <v>944</v>
      </c>
      <c r="I166" s="34" t="s">
        <v>70</v>
      </c>
      <c r="J166" s="34">
        <f>IFERROR(__xludf.DUMMYFUNCTION("LEN(REGEXREPLACE(XLOOKUP($A166,Cards!$A$2:$A1000,Cards!$H$2:$H1000,""""),"",\s"",""""))"),5.0)</f>
        <v>5</v>
      </c>
      <c r="K166" s="34" t="str">
        <f t="shared" si="1"/>
        <v>               </v>
      </c>
      <c r="L166" s="34" t="str">
        <f>IFERROR(__xludf.DUMMYFUNCTION("IF(IF(L$1="""","""",REGEXMATCH(LOWER($E166),XLOOKUP(L$1,Metadata!$A$2:$A1000,Metadata!$B$2:$B1000))),L$1,"""")"),"")</f>
        <v/>
      </c>
      <c r="M166" s="34" t="str">
        <f>IFERROR(__xludf.DUMMYFUNCTION("IF(IF(M$1="""","""",REGEXMATCH(LOWER($E166),XLOOKUP(M$1,Metadata!$A$2:$A1000,Metadata!$B$2:$B1000))),M$1,"""")"),"")</f>
        <v/>
      </c>
      <c r="N166" s="34" t="str">
        <f>IFERROR(__xludf.DUMMYFUNCTION("IF(IF(N$1="""","""",REGEXMATCH(LOWER($E166),XLOOKUP(N$1,Metadata!$A$2:$A1000,Metadata!$B$2:$B1000))),N$1,"""")"),"")</f>
        <v/>
      </c>
      <c r="O166" s="34" t="str">
        <f>IFERROR(__xludf.DUMMYFUNCTION("IF(IF(O$1="""","""",REGEXMATCH(LOWER($E166),XLOOKUP(O$1,Metadata!$A$2:$A1000,Metadata!$B$2:$B1000))),O$1,"""")"),"")</f>
        <v/>
      </c>
      <c r="P166" s="34" t="str">
        <f>IFERROR(__xludf.DUMMYFUNCTION("IF(IF(P$1="""","""",REGEXMATCH(LOWER($E166),XLOOKUP(P$1,Metadata!$A$2:$A1000,Metadata!$B$2:$B1000))),P$1,"""")"),"")</f>
        <v/>
      </c>
      <c r="Q166" s="34" t="str">
        <f>IFERROR(__xludf.DUMMYFUNCTION("IF(IF(Q$1="""","""",REGEXMATCH(LOWER($E166),XLOOKUP(Q$1,Metadata!$A$2:$A1000,Metadata!$B$2:$B1000))),Q$1,"""")"),"")</f>
        <v/>
      </c>
      <c r="R166" s="34" t="str">
        <f>IFERROR(__xludf.DUMMYFUNCTION("IF(IF(R$1="""","""",REGEXMATCH(LOWER($E166),XLOOKUP(R$1,Metadata!$A$2:$A1000,Metadata!$B$2:$B1000))),R$1,"""")"),"")</f>
        <v/>
      </c>
      <c r="S166" s="34" t="str">
        <f>IFERROR(__xludf.DUMMYFUNCTION("IF(IF(S$1="""","""",REGEXMATCH(LOWER($E166),XLOOKUP(S$1,Metadata!$A$2:$A1000,Metadata!$B$2:$B1000))),S$1,"""")"),"")</f>
        <v/>
      </c>
      <c r="T166" s="34" t="str">
        <f>IFERROR(__xludf.DUMMYFUNCTION("IF(IF(T$1="""","""",REGEXMATCH(LOWER($E166),XLOOKUP(T$1,Metadata!$A$2:$A1000,Metadata!$B$2:$B1000))),T$1,"""")"),"")</f>
        <v/>
      </c>
      <c r="U166" s="34" t="str">
        <f>IFERROR(__xludf.DUMMYFUNCTION("IF(IF(U$1="""","""",REGEXMATCH(LOWER($E166),XLOOKUP(U$1,Metadata!$A$2:$A1000,Metadata!$B$2:$B1000))),U$1,"""")"),"")</f>
        <v/>
      </c>
      <c r="V166" s="34" t="str">
        <f>IFERROR(__xludf.DUMMYFUNCTION("IF(IF(V$1="""","""",REGEXMATCH(LOWER($E166),XLOOKUP(V$1,Metadata!$A$2:$A1000,Metadata!$B$2:$B1000))),V$1,"""")"),"")</f>
        <v/>
      </c>
      <c r="W166" s="34" t="str">
        <f>IFERROR(__xludf.DUMMYFUNCTION("IF(IF(W$1="""","""",REGEXMATCH(LOWER($E166),XLOOKUP(W$1,Metadata!$A$2:$A1000,Metadata!$B$2:$B1000))),W$1,"""")"),"")</f>
        <v/>
      </c>
      <c r="X166" s="34" t="str">
        <f>IFERROR(__xludf.DUMMYFUNCTION("IF(IF(X$1="""","""",REGEXMATCH(LOWER($E166),XLOOKUP(X$1,Metadata!$A$2:$A1000,Metadata!$B$2:$B1000))),X$1,"""")"),"")</f>
        <v/>
      </c>
      <c r="Y166" s="34" t="str">
        <f>IFERROR(__xludf.DUMMYFUNCTION("IF(IF(Y$1="""","""",REGEXMATCH(LOWER($E166),XLOOKUP(Y$1,Metadata!$A$2:$A1000,Metadata!$B$2:$B1000))),Y$1,"""")"),"")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I167">XLOOKUP($A167,Cards!$A$2:$A1000,Cards!$B$2:$I1000,"")</f>
        <v>Mortal</v>
      </c>
      <c r="C167" s="34">
        <v>2.0</v>
      </c>
      <c r="D167" s="34" t="s">
        <v>37</v>
      </c>
      <c r="E167" s="34" t="s">
        <v>1129</v>
      </c>
      <c r="F167" s="34" t="s">
        <v>659</v>
      </c>
      <c r="G167" s="34">
        <v>3.0</v>
      </c>
      <c r="H167" s="34" t="s">
        <v>1051</v>
      </c>
      <c r="I167" s="34" t="s">
        <v>32</v>
      </c>
      <c r="J167" s="34">
        <f>IFERROR(__xludf.DUMMYFUNCTION("LEN(REGEXREPLACE(XLOOKUP($A167,Cards!$A$2:$A1000,Cards!$H$2:$H1000,""""),"",\s"",""""))"),2.0)</f>
        <v>2</v>
      </c>
      <c r="K167" s="34" t="str">
        <f t="shared" si="1"/>
        <v>      Ramp   Aggro      </v>
      </c>
      <c r="L167" s="34" t="str">
        <f>IFERROR(__xludf.DUMMYFUNCTION("IF(IF(L$1="""","""",REGEXMATCH(LOWER($E167),XLOOKUP(L$1,Metadata!$A$2:$A1000,Metadata!$B$2:$B1000))),L$1,"""")"),"")</f>
        <v/>
      </c>
      <c r="M167" s="34" t="str">
        <f>IFERROR(__xludf.DUMMYFUNCTION("IF(IF(M$1="""","""",REGEXMATCH(LOWER($E167),XLOOKUP(M$1,Metadata!$A$2:$A1000,Metadata!$B$2:$B1000))),M$1,"""")"),"")</f>
        <v/>
      </c>
      <c r="N167" s="34" t="str">
        <f>IFERROR(__xludf.DUMMYFUNCTION("IF(IF(N$1="""","""",REGEXMATCH(LOWER($E167),XLOOKUP(N$1,Metadata!$A$2:$A1000,Metadata!$B$2:$B1000))),N$1,"""")"),"")</f>
        <v/>
      </c>
      <c r="O167" s="34" t="str">
        <f>IFERROR(__xludf.DUMMYFUNCTION("IF(IF(O$1="""","""",REGEXMATCH(LOWER($E167),XLOOKUP(O$1,Metadata!$A$2:$A1000,Metadata!$B$2:$B1000))),O$1,"""")"),"")</f>
        <v/>
      </c>
      <c r="P167" s="34" t="str">
        <f>IFERROR(__xludf.DUMMYFUNCTION("IF(IF(P$1="""","""",REGEXMATCH(LOWER($E167),XLOOKUP(P$1,Metadata!$A$2:$A1000,Metadata!$B$2:$B1000))),P$1,"""")"),"")</f>
        <v/>
      </c>
      <c r="Q167" s="34" t="str">
        <f>IFERROR(__xludf.DUMMYFUNCTION("IF(IF(Q$1="""","""",REGEXMATCH(LOWER($E167),XLOOKUP(Q$1,Metadata!$A$2:$A1000,Metadata!$B$2:$B1000))),Q$1,"""")"),"")</f>
        <v/>
      </c>
      <c r="R167" s="34" t="str">
        <f>IFERROR(__xludf.DUMMYFUNCTION("IF(IF(R$1="""","""",REGEXMATCH(LOWER($E167),XLOOKUP(R$1,Metadata!$A$2:$A1000,Metadata!$B$2:$B1000))),R$1,"""")"),"Ramp")</f>
        <v>Ramp</v>
      </c>
      <c r="S167" s="34" t="str">
        <f>IFERROR(__xludf.DUMMYFUNCTION("IF(IF(S$1="""","""",REGEXMATCH(LOWER($E167),XLOOKUP(S$1,Metadata!$A$2:$A1000,Metadata!$B$2:$B1000))),S$1,"""")"),"")</f>
        <v/>
      </c>
      <c r="T167" s="34" t="str">
        <f>IFERROR(__xludf.DUMMYFUNCTION("IF(IF(T$1="""","""",REGEXMATCH(LOWER($E167),XLOOKUP(T$1,Metadata!$A$2:$A1000,Metadata!$B$2:$B1000))),T$1,"""")"),"")</f>
        <v/>
      </c>
      <c r="U167" s="34" t="str">
        <f>IFERROR(__xludf.DUMMYFUNCTION("IF(IF(U$1="""","""",REGEXMATCH(LOWER($E167),XLOOKUP(U$1,Metadata!$A$2:$A1000,Metadata!$B$2:$B1000))),U$1,"""")"),"Aggro")</f>
        <v>Aggro</v>
      </c>
      <c r="V167" s="34" t="str">
        <f>IFERROR(__xludf.DUMMYFUNCTION("IF(IF(V$1="""","""",REGEXMATCH(LOWER($E167),XLOOKUP(V$1,Metadata!$A$2:$A1000,Metadata!$B$2:$B1000))),V$1,"""")"),"")</f>
        <v/>
      </c>
      <c r="W167" s="34" t="str">
        <f>IFERROR(__xludf.DUMMYFUNCTION("IF(IF(W$1="""","""",REGEXMATCH(LOWER($E167),XLOOKUP(W$1,Metadata!$A$2:$A1000,Metadata!$B$2:$B1000))),W$1,"""")"),"")</f>
        <v/>
      </c>
      <c r="X167" s="34" t="str">
        <f>IFERROR(__xludf.DUMMYFUNCTION("IF(IF(X$1="""","""",REGEXMATCH(LOWER($E167),XLOOKUP(X$1,Metadata!$A$2:$A1000,Metadata!$B$2:$B1000))),X$1,"""")"),"")</f>
        <v/>
      </c>
      <c r="Y167" s="34" t="str">
        <f>IFERROR(__xludf.DUMMYFUNCTION("IF(IF(Y$1="""","""",REGEXMATCH(LOWER($E167),XLOOKUP(Y$1,Metadata!$A$2:$A1000,Metadata!$B$2:$B1000))),Y$1,"""")"),"")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I168">XLOOKUP($A168,Cards!$A$2:$A1000,Cards!$B$2:$I1000,"")</f>
        <v>Elemental Nature</v>
      </c>
      <c r="C168" s="34">
        <v>1.0</v>
      </c>
      <c r="D168" s="34" t="s">
        <v>327</v>
      </c>
      <c r="E168" s="34" t="s">
        <v>1131</v>
      </c>
      <c r="F168" s="34" t="s">
        <v>1132</v>
      </c>
      <c r="G168" s="34">
        <v>6.0</v>
      </c>
      <c r="H168" s="34" t="s">
        <v>1133</v>
      </c>
      <c r="I168" s="34" t="s">
        <v>32</v>
      </c>
      <c r="J168" s="34">
        <f>IFERROR(__xludf.DUMMYFUNCTION("LEN(REGEXREPLACE(XLOOKUP($A168,Cards!$A$2:$A1000,Cards!$H$2:$H1000,""""),"",\s"",""""))"),6.0)</f>
        <v>6</v>
      </c>
      <c r="K168" s="34" t="str">
        <f t="shared" si="1"/>
        <v> Elemental  Nature            </v>
      </c>
      <c r="L168" s="34" t="str">
        <f>IFERROR(__xludf.DUMMYFUNCTION("IF(IF(L$1="""","""",REGEXMATCH(LOWER($E168),XLOOKUP(L$1,Metadata!$A$2:$A1000,Metadata!$B$2:$B1000))),L$1,"""")"),"")</f>
        <v/>
      </c>
      <c r="M168" s="34" t="str">
        <f>IFERROR(__xludf.DUMMYFUNCTION("IF(IF(M$1="""","""",REGEXMATCH(LOWER($E168),XLOOKUP(M$1,Metadata!$A$2:$A1000,Metadata!$B$2:$B1000))),M$1,"""")"),"Elemental")</f>
        <v>Elemental</v>
      </c>
      <c r="N168" s="34" t="str">
        <f>IFERROR(__xludf.DUMMYFUNCTION("IF(IF(N$1="""","""",REGEXMATCH(LOWER($E168),XLOOKUP(N$1,Metadata!$A$2:$A1000,Metadata!$B$2:$B1000))),N$1,"""")"),"")</f>
        <v/>
      </c>
      <c r="O168" s="34" t="str">
        <f>IFERROR(__xludf.DUMMYFUNCTION("IF(IF(O$1="""","""",REGEXMATCH(LOWER($E168),XLOOKUP(O$1,Metadata!$A$2:$A1000,Metadata!$B$2:$B1000))),O$1,"""")"),"Nature")</f>
        <v>Nature</v>
      </c>
      <c r="P168" s="34" t="str">
        <f>IFERROR(__xludf.DUMMYFUNCTION("IF(IF(P$1="""","""",REGEXMATCH(LOWER($E168),XLOOKUP(P$1,Metadata!$A$2:$A1000,Metadata!$B$2:$B1000))),P$1,"""")"),"")</f>
        <v/>
      </c>
      <c r="Q168" s="34" t="str">
        <f>IFERROR(__xludf.DUMMYFUNCTION("IF(IF(Q$1="""","""",REGEXMATCH(LOWER($E168),XLOOKUP(Q$1,Metadata!$A$2:$A1000,Metadata!$B$2:$B1000))),Q$1,"""")"),"")</f>
        <v/>
      </c>
      <c r="R168" s="34" t="str">
        <f>IFERROR(__xludf.DUMMYFUNCTION("IF(IF(R$1="""","""",REGEXMATCH(LOWER($E168),XLOOKUP(R$1,Metadata!$A$2:$A1000,Metadata!$B$2:$B1000))),R$1,"""")"),"")</f>
        <v/>
      </c>
      <c r="S168" s="34" t="str">
        <f>IFERROR(__xludf.DUMMYFUNCTION("IF(IF(S$1="""","""",REGEXMATCH(LOWER($E168),XLOOKUP(S$1,Metadata!$A$2:$A1000,Metadata!$B$2:$B1000))),S$1,"""")"),"")</f>
        <v/>
      </c>
      <c r="T168" s="34" t="str">
        <f>IFERROR(__xludf.DUMMYFUNCTION("IF(IF(T$1="""","""",REGEXMATCH(LOWER($E168),XLOOKUP(T$1,Metadata!$A$2:$A1000,Metadata!$B$2:$B1000))),T$1,"""")"),"")</f>
        <v/>
      </c>
      <c r="U168" s="34" t="str">
        <f>IFERROR(__xludf.DUMMYFUNCTION("IF(IF(U$1="""","""",REGEXMATCH(LOWER($E168),XLOOKUP(U$1,Metadata!$A$2:$A1000,Metadata!$B$2:$B1000))),U$1,"""")"),"")</f>
        <v/>
      </c>
      <c r="V168" s="34" t="str">
        <f>IFERROR(__xludf.DUMMYFUNCTION("IF(IF(V$1="""","""",REGEXMATCH(LOWER($E168),XLOOKUP(V$1,Metadata!$A$2:$A1000,Metadata!$B$2:$B1000))),V$1,"""")"),"")</f>
        <v/>
      </c>
      <c r="W168" s="34" t="str">
        <f>IFERROR(__xludf.DUMMYFUNCTION("IF(IF(W$1="""","""",REGEXMATCH(LOWER($E168),XLOOKUP(W$1,Metadata!$A$2:$A1000,Metadata!$B$2:$B1000))),W$1,"""")"),"")</f>
        <v/>
      </c>
      <c r="X168" s="34" t="str">
        <f>IFERROR(__xludf.DUMMYFUNCTION("IF(IF(X$1="""","""",REGEXMATCH(LOWER($E168),XLOOKUP(X$1,Metadata!$A$2:$A1000,Metadata!$B$2:$B1000))),X$1,"""")"),"")</f>
        <v/>
      </c>
      <c r="Y168" s="34" t="str">
        <f>IFERROR(__xludf.DUMMYFUNCTION("IF(IF(Y$1="""","""",REGEXMATCH(LOWER($E168),XLOOKUP(Y$1,Metadata!$A$2:$A1000,Metadata!$B$2:$B1000))),Y$1,"""")"),"")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I169">XLOOKUP($A169,Cards!$A$2:$A1000,Cards!$B$2:$I1000,"")</f>
        <v>Elemental Nature</v>
      </c>
      <c r="C169" s="34">
        <v>1.0</v>
      </c>
      <c r="D169" s="34" t="s">
        <v>1146</v>
      </c>
      <c r="E169" s="34"/>
      <c r="F169" s="34" t="s">
        <v>1147</v>
      </c>
      <c r="G169" s="34">
        <v>2.0</v>
      </c>
      <c r="H169" s="34" t="s">
        <v>1148</v>
      </c>
      <c r="I169" s="34" t="s">
        <v>26</v>
      </c>
      <c r="J169" s="34">
        <f>IFERROR(__xludf.DUMMYFUNCTION("LEN(REGEXREPLACE(XLOOKUP($A169,Cards!$A$2:$A1000,Cards!$H$2:$H1000,""""),"",\s"",""""))"),2.0)</f>
        <v>2</v>
      </c>
      <c r="K169" s="34" t="str">
        <f t="shared" si="1"/>
        <v>               </v>
      </c>
      <c r="L169" s="34" t="str">
        <f>IFERROR(__xludf.DUMMYFUNCTION("IF(IF(L$1="""","""",REGEXMATCH(LOWER($E169),XLOOKUP(L$1,Metadata!$A$2:$A1000,Metadata!$B$2:$B1000))),L$1,"""")"),"")</f>
        <v/>
      </c>
      <c r="M169" s="34" t="str">
        <f>IFERROR(__xludf.DUMMYFUNCTION("IF(IF(M$1="""","""",REGEXMATCH(LOWER($E169),XLOOKUP(M$1,Metadata!$A$2:$A1000,Metadata!$B$2:$B1000))),M$1,"""")"),"")</f>
        <v/>
      </c>
      <c r="N169" s="34" t="str">
        <f>IFERROR(__xludf.DUMMYFUNCTION("IF(IF(N$1="""","""",REGEXMATCH(LOWER($E169),XLOOKUP(N$1,Metadata!$A$2:$A1000,Metadata!$B$2:$B1000))),N$1,"""")"),"")</f>
        <v/>
      </c>
      <c r="O169" s="34" t="str">
        <f>IFERROR(__xludf.DUMMYFUNCTION("IF(IF(O$1="""","""",REGEXMATCH(LOWER($E169),XLOOKUP(O$1,Metadata!$A$2:$A1000,Metadata!$B$2:$B1000))),O$1,"""")"),"")</f>
        <v/>
      </c>
      <c r="P169" s="34" t="str">
        <f>IFERROR(__xludf.DUMMYFUNCTION("IF(IF(P$1="""","""",REGEXMATCH(LOWER($E169),XLOOKUP(P$1,Metadata!$A$2:$A1000,Metadata!$B$2:$B1000))),P$1,"""")"),"")</f>
        <v/>
      </c>
      <c r="Q169" s="34" t="str">
        <f>IFERROR(__xludf.DUMMYFUNCTION("IF(IF(Q$1="""","""",REGEXMATCH(LOWER($E169),XLOOKUP(Q$1,Metadata!$A$2:$A1000,Metadata!$B$2:$B1000))),Q$1,"""")"),"")</f>
        <v/>
      </c>
      <c r="R169" s="34" t="str">
        <f>IFERROR(__xludf.DUMMYFUNCTION("IF(IF(R$1="""","""",REGEXMATCH(LOWER($E169),XLOOKUP(R$1,Metadata!$A$2:$A1000,Metadata!$B$2:$B1000))),R$1,"""")"),"")</f>
        <v/>
      </c>
      <c r="S169" s="34" t="str">
        <f>IFERROR(__xludf.DUMMYFUNCTION("IF(IF(S$1="""","""",REGEXMATCH(LOWER($E169),XLOOKUP(S$1,Metadata!$A$2:$A1000,Metadata!$B$2:$B1000))),S$1,"""")"),"")</f>
        <v/>
      </c>
      <c r="T169" s="34" t="str">
        <f>IFERROR(__xludf.DUMMYFUNCTION("IF(IF(T$1="""","""",REGEXMATCH(LOWER($E169),XLOOKUP(T$1,Metadata!$A$2:$A1000,Metadata!$B$2:$B1000))),T$1,"""")"),"")</f>
        <v/>
      </c>
      <c r="U169" s="34" t="str">
        <f>IFERROR(__xludf.DUMMYFUNCTION("IF(IF(U$1="""","""",REGEXMATCH(LOWER($E169),XLOOKUP(U$1,Metadata!$A$2:$A1000,Metadata!$B$2:$B1000))),U$1,"""")"),"")</f>
        <v/>
      </c>
      <c r="V169" s="34" t="str">
        <f>IFERROR(__xludf.DUMMYFUNCTION("IF(IF(V$1="""","""",REGEXMATCH(LOWER($E169),XLOOKUP(V$1,Metadata!$A$2:$A1000,Metadata!$B$2:$B1000))),V$1,"""")"),"")</f>
        <v/>
      </c>
      <c r="W169" s="34" t="str">
        <f>IFERROR(__xludf.DUMMYFUNCTION("IF(IF(W$1="""","""",REGEXMATCH(LOWER($E169),XLOOKUP(W$1,Metadata!$A$2:$A1000,Metadata!$B$2:$B1000))),W$1,"""")"),"")</f>
        <v/>
      </c>
      <c r="X169" s="34" t="str">
        <f>IFERROR(__xludf.DUMMYFUNCTION("IF(IF(X$1="""","""",REGEXMATCH(LOWER($E169),XLOOKUP(X$1,Metadata!$A$2:$A1000,Metadata!$B$2:$B1000))),X$1,"""")"),"")</f>
        <v/>
      </c>
      <c r="Y169" s="34" t="str">
        <f>IFERROR(__xludf.DUMMYFUNCTION("IF(IF(Y$1="""","""",REGEXMATCH(LOWER($E169),XLOOKUP(Y$1,Metadata!$A$2:$A1000,Metadata!$B$2:$B1000))),Y$1,"""")"),"")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I170">XLOOKUP($A170,Cards!$A$2:$A1000,Cards!$B$2:$I1000,"")</f>
        <v>Mortal</v>
      </c>
      <c r="C170" s="34">
        <v>2.0</v>
      </c>
      <c r="D170" s="34" t="s">
        <v>322</v>
      </c>
      <c r="E170" s="34" t="s">
        <v>1159</v>
      </c>
      <c r="F170" s="34" t="s">
        <v>1160</v>
      </c>
      <c r="G170" s="34">
        <v>3.0</v>
      </c>
      <c r="H170" s="34" t="s">
        <v>1042</v>
      </c>
      <c r="I170" s="34" t="s">
        <v>70</v>
      </c>
      <c r="J170" s="34">
        <f>IFERROR(__xludf.DUMMYFUNCTION("LEN(REGEXREPLACE(XLOOKUP($A170,Cards!$A$2:$A1000,Cards!$H$2:$H1000,""""),"",\s"",""""))"),3.0)</f>
        <v>3</v>
      </c>
      <c r="K170" s="34" t="str">
        <f t="shared" si="1"/>
        <v>         Aggro      </v>
      </c>
      <c r="L170" s="34" t="str">
        <f>IFERROR(__xludf.DUMMYFUNCTION("IF(IF(L$1="""","""",REGEXMATCH(LOWER($E170),XLOOKUP(L$1,Metadata!$A$2:$A1000,Metadata!$B$2:$B1000))),L$1,"""")"),"")</f>
        <v/>
      </c>
      <c r="M170" s="34" t="str">
        <f>IFERROR(__xludf.DUMMYFUNCTION("IF(IF(M$1="""","""",REGEXMATCH(LOWER($E170),XLOOKUP(M$1,Metadata!$A$2:$A1000,Metadata!$B$2:$B1000))),M$1,"""")"),"")</f>
        <v/>
      </c>
      <c r="N170" s="34" t="str">
        <f>IFERROR(__xludf.DUMMYFUNCTION("IF(IF(N$1="""","""",REGEXMATCH(LOWER($E170),XLOOKUP(N$1,Metadata!$A$2:$A1000,Metadata!$B$2:$B1000))),N$1,"""")"),"")</f>
        <v/>
      </c>
      <c r="O170" s="34" t="str">
        <f>IFERROR(__xludf.DUMMYFUNCTION("IF(IF(O$1="""","""",REGEXMATCH(LOWER($E170),XLOOKUP(O$1,Metadata!$A$2:$A1000,Metadata!$B$2:$B1000))),O$1,"""")"),"")</f>
        <v/>
      </c>
      <c r="P170" s="34" t="str">
        <f>IFERROR(__xludf.DUMMYFUNCTION("IF(IF(P$1="""","""",REGEXMATCH(LOWER($E170),XLOOKUP(P$1,Metadata!$A$2:$A1000,Metadata!$B$2:$B1000))),P$1,"""")"),"")</f>
        <v/>
      </c>
      <c r="Q170" s="34" t="str">
        <f>IFERROR(__xludf.DUMMYFUNCTION("IF(IF(Q$1="""","""",REGEXMATCH(LOWER($E170),XLOOKUP(Q$1,Metadata!$A$2:$A1000,Metadata!$B$2:$B1000))),Q$1,"""")"),"")</f>
        <v/>
      </c>
      <c r="R170" s="34" t="str">
        <f>IFERROR(__xludf.DUMMYFUNCTION("IF(IF(R$1="""","""",REGEXMATCH(LOWER($E170),XLOOKUP(R$1,Metadata!$A$2:$A1000,Metadata!$B$2:$B1000))),R$1,"""")"),"")</f>
        <v/>
      </c>
      <c r="S170" s="34" t="str">
        <f>IFERROR(__xludf.DUMMYFUNCTION("IF(IF(S$1="""","""",REGEXMATCH(LOWER($E170),XLOOKUP(S$1,Metadata!$A$2:$A1000,Metadata!$B$2:$B1000))),S$1,"""")"),"")</f>
        <v/>
      </c>
      <c r="T170" s="34" t="str">
        <f>IFERROR(__xludf.DUMMYFUNCTION("IF(IF(T$1="""","""",REGEXMATCH(LOWER($E170),XLOOKUP(T$1,Metadata!$A$2:$A1000,Metadata!$B$2:$B1000))),T$1,"""")"),"")</f>
        <v/>
      </c>
      <c r="U170" s="34" t="str">
        <f>IFERROR(__xludf.DUMMYFUNCTION("IF(IF(U$1="""","""",REGEXMATCH(LOWER($E170),XLOOKUP(U$1,Metadata!$A$2:$A1000,Metadata!$B$2:$B1000))),U$1,"""")"),"Aggro")</f>
        <v>Aggro</v>
      </c>
      <c r="V170" s="34" t="str">
        <f>IFERROR(__xludf.DUMMYFUNCTION("IF(IF(V$1="""","""",REGEXMATCH(LOWER($E170),XLOOKUP(V$1,Metadata!$A$2:$A1000,Metadata!$B$2:$B1000))),V$1,"""")"),"")</f>
        <v/>
      </c>
      <c r="W170" s="34" t="str">
        <f>IFERROR(__xludf.DUMMYFUNCTION("IF(IF(W$1="""","""",REGEXMATCH(LOWER($E170),XLOOKUP(W$1,Metadata!$A$2:$A1000,Metadata!$B$2:$B1000))),W$1,"""")"),"")</f>
        <v/>
      </c>
      <c r="X170" s="34" t="str">
        <f>IFERROR(__xludf.DUMMYFUNCTION("IF(IF(X$1="""","""",REGEXMATCH(LOWER($E170),XLOOKUP(X$1,Metadata!$A$2:$A1000,Metadata!$B$2:$B1000))),X$1,"""")"),"")</f>
        <v/>
      </c>
      <c r="Y170" s="34" t="str">
        <f>IFERROR(__xludf.DUMMYFUNCTION("IF(IF(Y$1="""","""",REGEXMATCH(LOWER($E170),XLOOKUP(Y$1,Metadata!$A$2:$A1000,Metadata!$B$2:$B1000))),Y$1,"""")"),"")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I171">XLOOKUP($A171,Cards!$A$2:$A1000,Cards!$B$2:$I1000,"")</f>
        <v>Mortal</v>
      </c>
      <c r="C171" s="34">
        <v>2.0</v>
      </c>
      <c r="D171" s="34" t="s">
        <v>447</v>
      </c>
      <c r="E171" s="34" t="s">
        <v>1162</v>
      </c>
      <c r="F171" s="34" t="s">
        <v>1163</v>
      </c>
      <c r="G171" s="34">
        <v>2.0</v>
      </c>
      <c r="H171" s="34" t="s">
        <v>1164</v>
      </c>
      <c r="I171" s="34" t="s">
        <v>26</v>
      </c>
      <c r="J171" s="34">
        <f>IFERROR(__xludf.DUMMYFUNCTION("LEN(REGEXREPLACE(XLOOKUP($A171,Cards!$A$2:$A1000,Cards!$H$2:$H1000,""""),"",\s"",""""))"),1.0)</f>
        <v>1</v>
      </c>
      <c r="K171" s="34" t="str">
        <f t="shared" si="1"/>
        <v>               </v>
      </c>
      <c r="L171" s="34" t="str">
        <f>IFERROR(__xludf.DUMMYFUNCTION("IF(IF(L$1="""","""",REGEXMATCH(LOWER($E171),XLOOKUP(L$1,Metadata!$A$2:$A1000,Metadata!$B$2:$B1000))),L$1,"""")"),"")</f>
        <v/>
      </c>
      <c r="M171" s="34" t="str">
        <f>IFERROR(__xludf.DUMMYFUNCTION("IF(IF(M$1="""","""",REGEXMATCH(LOWER($E171),XLOOKUP(M$1,Metadata!$A$2:$A1000,Metadata!$B$2:$B1000))),M$1,"""")"),"")</f>
        <v/>
      </c>
      <c r="N171" s="34" t="str">
        <f>IFERROR(__xludf.DUMMYFUNCTION("IF(IF(N$1="""","""",REGEXMATCH(LOWER($E171),XLOOKUP(N$1,Metadata!$A$2:$A1000,Metadata!$B$2:$B1000))),N$1,"""")"),"")</f>
        <v/>
      </c>
      <c r="O171" s="34" t="str">
        <f>IFERROR(__xludf.DUMMYFUNCTION("IF(IF(O$1="""","""",REGEXMATCH(LOWER($E171),XLOOKUP(O$1,Metadata!$A$2:$A1000,Metadata!$B$2:$B1000))),O$1,"""")"),"")</f>
        <v/>
      </c>
      <c r="P171" s="34" t="str">
        <f>IFERROR(__xludf.DUMMYFUNCTION("IF(IF(P$1="""","""",REGEXMATCH(LOWER($E171),XLOOKUP(P$1,Metadata!$A$2:$A1000,Metadata!$B$2:$B1000))),P$1,"""")"),"")</f>
        <v/>
      </c>
      <c r="Q171" s="34" t="str">
        <f>IFERROR(__xludf.DUMMYFUNCTION("IF(IF(Q$1="""","""",REGEXMATCH(LOWER($E171),XLOOKUP(Q$1,Metadata!$A$2:$A1000,Metadata!$B$2:$B1000))),Q$1,"""")"),"")</f>
        <v/>
      </c>
      <c r="R171" s="34" t="str">
        <f>IFERROR(__xludf.DUMMYFUNCTION("IF(IF(R$1="""","""",REGEXMATCH(LOWER($E171),XLOOKUP(R$1,Metadata!$A$2:$A1000,Metadata!$B$2:$B1000))),R$1,"""")"),"")</f>
        <v/>
      </c>
      <c r="S171" s="34" t="str">
        <f>IFERROR(__xludf.DUMMYFUNCTION("IF(IF(S$1="""","""",REGEXMATCH(LOWER($E171),XLOOKUP(S$1,Metadata!$A$2:$A1000,Metadata!$B$2:$B1000))),S$1,"""")"),"")</f>
        <v/>
      </c>
      <c r="T171" s="34" t="str">
        <f>IFERROR(__xludf.DUMMYFUNCTION("IF(IF(T$1="""","""",REGEXMATCH(LOWER($E171),XLOOKUP(T$1,Metadata!$A$2:$A1000,Metadata!$B$2:$B1000))),T$1,"""")"),"")</f>
        <v/>
      </c>
      <c r="U171" s="34" t="str">
        <f>IFERROR(__xludf.DUMMYFUNCTION("IF(IF(U$1="""","""",REGEXMATCH(LOWER($E171),XLOOKUP(U$1,Metadata!$A$2:$A1000,Metadata!$B$2:$B1000))),U$1,"""")"),"")</f>
        <v/>
      </c>
      <c r="V171" s="34" t="str">
        <f>IFERROR(__xludf.DUMMYFUNCTION("IF(IF(V$1="""","""",REGEXMATCH(LOWER($E171),XLOOKUP(V$1,Metadata!$A$2:$A1000,Metadata!$B$2:$B1000))),V$1,"""")"),"")</f>
        <v/>
      </c>
      <c r="W171" s="34" t="str">
        <f>IFERROR(__xludf.DUMMYFUNCTION("IF(IF(W$1="""","""",REGEXMATCH(LOWER($E171),XLOOKUP(W$1,Metadata!$A$2:$A1000,Metadata!$B$2:$B1000))),W$1,"""")"),"")</f>
        <v/>
      </c>
      <c r="X171" s="34" t="str">
        <f>IFERROR(__xludf.DUMMYFUNCTION("IF(IF(X$1="""","""",REGEXMATCH(LOWER($E171),XLOOKUP(X$1,Metadata!$A$2:$A1000,Metadata!$B$2:$B1000))),X$1,"""")"),"")</f>
        <v/>
      </c>
      <c r="Y171" s="34" t="str">
        <f>IFERROR(__xludf.DUMMYFUNCTION("IF(IF(Y$1="""","""",REGEXMATCH(LOWER($E171),XLOOKUP(Y$1,Metadata!$A$2:$A1000,Metadata!$B$2:$B1000))),Y$1,"""")"),"")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I172">XLOOKUP($A172,Cards!$A$2:$A1000,Cards!$B$2:$I1000,"")</f>
        <v>Mortal</v>
      </c>
      <c r="C172" s="34">
        <v>2.0</v>
      </c>
      <c r="D172" s="34" t="s">
        <v>149</v>
      </c>
      <c r="E172" s="34" t="s">
        <v>1166</v>
      </c>
      <c r="F172" s="34" t="s">
        <v>663</v>
      </c>
      <c r="G172" s="34">
        <v>4.0</v>
      </c>
      <c r="H172" s="34" t="s">
        <v>1167</v>
      </c>
      <c r="I172" s="34" t="s">
        <v>70</v>
      </c>
      <c r="J172" s="34">
        <f>IFERROR(__xludf.DUMMYFUNCTION("LEN(REGEXREPLACE(XLOOKUP($A172,Cards!$A$2:$A1000,Cards!$H$2:$H1000,""""),"",\s"",""""))"),5.0)</f>
        <v>5</v>
      </c>
      <c r="K172" s="34" t="str">
        <f t="shared" si="1"/>
        <v>         Aggro      </v>
      </c>
      <c r="L172" s="34" t="str">
        <f>IFERROR(__xludf.DUMMYFUNCTION("IF(IF(L$1="""","""",REGEXMATCH(LOWER($E172),XLOOKUP(L$1,Metadata!$A$2:$A1000,Metadata!$B$2:$B1000))),L$1,"""")"),"")</f>
        <v/>
      </c>
      <c r="M172" s="34" t="str">
        <f>IFERROR(__xludf.DUMMYFUNCTION("IF(IF(M$1="""","""",REGEXMATCH(LOWER($E172),XLOOKUP(M$1,Metadata!$A$2:$A1000,Metadata!$B$2:$B1000))),M$1,"""")"),"")</f>
        <v/>
      </c>
      <c r="N172" s="34" t="str">
        <f>IFERROR(__xludf.DUMMYFUNCTION("IF(IF(N$1="""","""",REGEXMATCH(LOWER($E172),XLOOKUP(N$1,Metadata!$A$2:$A1000,Metadata!$B$2:$B1000))),N$1,"""")"),"")</f>
        <v/>
      </c>
      <c r="O172" s="34" t="str">
        <f>IFERROR(__xludf.DUMMYFUNCTION("IF(IF(O$1="""","""",REGEXMATCH(LOWER($E172),XLOOKUP(O$1,Metadata!$A$2:$A1000,Metadata!$B$2:$B1000))),O$1,"""")"),"")</f>
        <v/>
      </c>
      <c r="P172" s="34" t="str">
        <f>IFERROR(__xludf.DUMMYFUNCTION("IF(IF(P$1="""","""",REGEXMATCH(LOWER($E172),XLOOKUP(P$1,Metadata!$A$2:$A1000,Metadata!$B$2:$B1000))),P$1,"""")"),"")</f>
        <v/>
      </c>
      <c r="Q172" s="34" t="str">
        <f>IFERROR(__xludf.DUMMYFUNCTION("IF(IF(Q$1="""","""",REGEXMATCH(LOWER($E172),XLOOKUP(Q$1,Metadata!$A$2:$A1000,Metadata!$B$2:$B1000))),Q$1,"""")"),"")</f>
        <v/>
      </c>
      <c r="R172" s="34" t="str">
        <f>IFERROR(__xludf.DUMMYFUNCTION("IF(IF(R$1="""","""",REGEXMATCH(LOWER($E172),XLOOKUP(R$1,Metadata!$A$2:$A1000,Metadata!$B$2:$B1000))),R$1,"""")"),"")</f>
        <v/>
      </c>
      <c r="S172" s="34" t="str">
        <f>IFERROR(__xludf.DUMMYFUNCTION("IF(IF(S$1="""","""",REGEXMATCH(LOWER($E172),XLOOKUP(S$1,Metadata!$A$2:$A1000,Metadata!$B$2:$B1000))),S$1,"""")"),"")</f>
        <v/>
      </c>
      <c r="T172" s="34" t="str">
        <f>IFERROR(__xludf.DUMMYFUNCTION("IF(IF(T$1="""","""",REGEXMATCH(LOWER($E172),XLOOKUP(T$1,Metadata!$A$2:$A1000,Metadata!$B$2:$B1000))),T$1,"""")"),"")</f>
        <v/>
      </c>
      <c r="U172" s="34" t="str">
        <f>IFERROR(__xludf.DUMMYFUNCTION("IF(IF(U$1="""","""",REGEXMATCH(LOWER($E172),XLOOKUP(U$1,Metadata!$A$2:$A1000,Metadata!$B$2:$B1000))),U$1,"""")"),"Aggro")</f>
        <v>Aggro</v>
      </c>
      <c r="V172" s="34" t="str">
        <f>IFERROR(__xludf.DUMMYFUNCTION("IF(IF(V$1="""","""",REGEXMATCH(LOWER($E172),XLOOKUP(V$1,Metadata!$A$2:$A1000,Metadata!$B$2:$B1000))),V$1,"""")"),"")</f>
        <v/>
      </c>
      <c r="W172" s="34" t="str">
        <f>IFERROR(__xludf.DUMMYFUNCTION("IF(IF(W$1="""","""",REGEXMATCH(LOWER($E172),XLOOKUP(W$1,Metadata!$A$2:$A1000,Metadata!$B$2:$B1000))),W$1,"""")"),"")</f>
        <v/>
      </c>
      <c r="X172" s="34" t="str">
        <f>IFERROR(__xludf.DUMMYFUNCTION("IF(IF(X$1="""","""",REGEXMATCH(LOWER($E172),XLOOKUP(X$1,Metadata!$A$2:$A1000,Metadata!$B$2:$B1000))),X$1,"""")"),"")</f>
        <v/>
      </c>
      <c r="Y172" s="34" t="str">
        <f>IFERROR(__xludf.DUMMYFUNCTION("IF(IF(Y$1="""","""",REGEXMATCH(LOWER($E172),XLOOKUP(Y$1,Metadata!$A$2:$A1000,Metadata!$B$2:$B1000))),Y$1,"""")"),"")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I173">XLOOKUP($A173,Cards!$A$2:$A1000,Cards!$B$2:$I1000,"")</f>
        <v>Mortal</v>
      </c>
      <c r="C173" s="34">
        <v>2.0</v>
      </c>
      <c r="D173" s="34" t="s">
        <v>322</v>
      </c>
      <c r="E173" s="34" t="s">
        <v>1169</v>
      </c>
      <c r="F173" s="34" t="s">
        <v>1170</v>
      </c>
      <c r="G173" s="34">
        <v>4.0</v>
      </c>
      <c r="H173" s="34" t="s">
        <v>1167</v>
      </c>
      <c r="I173" s="34" t="s">
        <v>70</v>
      </c>
      <c r="J173" s="34">
        <f>IFERROR(__xludf.DUMMYFUNCTION("LEN(REGEXREPLACE(XLOOKUP($A173,Cards!$A$2:$A1000,Cards!$H$2:$H1000,""""),"",\s"",""""))"),5.0)</f>
        <v>5</v>
      </c>
      <c r="K173" s="34" t="str">
        <f t="shared" si="1"/>
        <v>      Ramp   Aggro      </v>
      </c>
      <c r="L173" s="34" t="str">
        <f>IFERROR(__xludf.DUMMYFUNCTION("IF(IF(L$1="""","""",REGEXMATCH(LOWER($E173),XLOOKUP(L$1,Metadata!$A$2:$A1000,Metadata!$B$2:$B1000))),L$1,"""")"),"")</f>
        <v/>
      </c>
      <c r="M173" s="34" t="str">
        <f>IFERROR(__xludf.DUMMYFUNCTION("IF(IF(M$1="""","""",REGEXMATCH(LOWER($E173),XLOOKUP(M$1,Metadata!$A$2:$A1000,Metadata!$B$2:$B1000))),M$1,"""")"),"")</f>
        <v/>
      </c>
      <c r="N173" s="34" t="str">
        <f>IFERROR(__xludf.DUMMYFUNCTION("IF(IF(N$1="""","""",REGEXMATCH(LOWER($E173),XLOOKUP(N$1,Metadata!$A$2:$A1000,Metadata!$B$2:$B1000))),N$1,"""")"),"")</f>
        <v/>
      </c>
      <c r="O173" s="34" t="str">
        <f>IFERROR(__xludf.DUMMYFUNCTION("IF(IF(O$1="""","""",REGEXMATCH(LOWER($E173),XLOOKUP(O$1,Metadata!$A$2:$A1000,Metadata!$B$2:$B1000))),O$1,"""")"),"")</f>
        <v/>
      </c>
      <c r="P173" s="34" t="str">
        <f>IFERROR(__xludf.DUMMYFUNCTION("IF(IF(P$1="""","""",REGEXMATCH(LOWER($E173),XLOOKUP(P$1,Metadata!$A$2:$A1000,Metadata!$B$2:$B1000))),P$1,"""")"),"")</f>
        <v/>
      </c>
      <c r="Q173" s="34" t="str">
        <f>IFERROR(__xludf.DUMMYFUNCTION("IF(IF(Q$1="""","""",REGEXMATCH(LOWER($E173),XLOOKUP(Q$1,Metadata!$A$2:$A1000,Metadata!$B$2:$B1000))),Q$1,"""")"),"")</f>
        <v/>
      </c>
      <c r="R173" s="34" t="str">
        <f>IFERROR(__xludf.DUMMYFUNCTION("IF(IF(R$1="""","""",REGEXMATCH(LOWER($E173),XLOOKUP(R$1,Metadata!$A$2:$A1000,Metadata!$B$2:$B1000))),R$1,"""")"),"Ramp")</f>
        <v>Ramp</v>
      </c>
      <c r="S173" s="34" t="str">
        <f>IFERROR(__xludf.DUMMYFUNCTION("IF(IF(S$1="""","""",REGEXMATCH(LOWER($E173),XLOOKUP(S$1,Metadata!$A$2:$A1000,Metadata!$B$2:$B1000))),S$1,"""")"),"")</f>
        <v/>
      </c>
      <c r="T173" s="34" t="str">
        <f>IFERROR(__xludf.DUMMYFUNCTION("IF(IF(T$1="""","""",REGEXMATCH(LOWER($E173),XLOOKUP(T$1,Metadata!$A$2:$A1000,Metadata!$B$2:$B1000))),T$1,"""")"),"")</f>
        <v/>
      </c>
      <c r="U173" s="34" t="str">
        <f>IFERROR(__xludf.DUMMYFUNCTION("IF(IF(U$1="""","""",REGEXMATCH(LOWER($E173),XLOOKUP(U$1,Metadata!$A$2:$A1000,Metadata!$B$2:$B1000))),U$1,"""")"),"Aggro")</f>
        <v>Aggro</v>
      </c>
      <c r="V173" s="34" t="str">
        <f>IFERROR(__xludf.DUMMYFUNCTION("IF(IF(V$1="""","""",REGEXMATCH(LOWER($E173),XLOOKUP(V$1,Metadata!$A$2:$A1000,Metadata!$B$2:$B1000))),V$1,"""")"),"")</f>
        <v/>
      </c>
      <c r="W173" s="34" t="str">
        <f>IFERROR(__xludf.DUMMYFUNCTION("IF(IF(W$1="""","""",REGEXMATCH(LOWER($E173),XLOOKUP(W$1,Metadata!$A$2:$A1000,Metadata!$B$2:$B1000))),W$1,"""")"),"")</f>
        <v/>
      </c>
      <c r="X173" s="34" t="str">
        <f>IFERROR(__xludf.DUMMYFUNCTION("IF(IF(X$1="""","""",REGEXMATCH(LOWER($E173),XLOOKUP(X$1,Metadata!$A$2:$A1000,Metadata!$B$2:$B1000))),X$1,"""")"),"")</f>
        <v/>
      </c>
      <c r="Y173" s="34" t="str">
        <f>IFERROR(__xludf.DUMMYFUNCTION("IF(IF(Y$1="""","""",REGEXMATCH(LOWER($E173),XLOOKUP(Y$1,Metadata!$A$2:$A1000,Metadata!$B$2:$B1000))),Y$1,"""")"),"")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I174">XLOOKUP($A174,Cards!$A$2:$A1000,Cards!$B$2:$I1000,"")</f>
        <v>Mortal</v>
      </c>
      <c r="C174" s="34">
        <v>2.0</v>
      </c>
      <c r="D174" s="34" t="s">
        <v>37</v>
      </c>
      <c r="E174" s="34" t="s">
        <v>1172</v>
      </c>
      <c r="F174" s="34" t="s">
        <v>1173</v>
      </c>
      <c r="G174" s="34">
        <v>1.0</v>
      </c>
      <c r="H174" s="34" t="s">
        <v>1164</v>
      </c>
      <c r="I174" s="34" t="s">
        <v>26</v>
      </c>
      <c r="J174" s="34">
        <f>IFERROR(__xludf.DUMMYFUNCTION("LEN(REGEXREPLACE(XLOOKUP($A174,Cards!$A$2:$A1000,Cards!$H$2:$H1000,""""),"",\s"",""""))"),1.0)</f>
        <v>1</v>
      </c>
      <c r="K174" s="34" t="str">
        <f t="shared" si="1"/>
        <v>         Aggro      </v>
      </c>
      <c r="L174" s="34" t="str">
        <f>IFERROR(__xludf.DUMMYFUNCTION("IF(IF(L$1="""","""",REGEXMATCH(LOWER($E174),XLOOKUP(L$1,Metadata!$A$2:$A1000,Metadata!$B$2:$B1000))),L$1,"""")"),"")</f>
        <v/>
      </c>
      <c r="M174" s="34" t="str">
        <f>IFERROR(__xludf.DUMMYFUNCTION("IF(IF(M$1="""","""",REGEXMATCH(LOWER($E174),XLOOKUP(M$1,Metadata!$A$2:$A1000,Metadata!$B$2:$B1000))),M$1,"""")"),"")</f>
        <v/>
      </c>
      <c r="N174" s="34" t="str">
        <f>IFERROR(__xludf.DUMMYFUNCTION("IF(IF(N$1="""","""",REGEXMATCH(LOWER($E174),XLOOKUP(N$1,Metadata!$A$2:$A1000,Metadata!$B$2:$B1000))),N$1,"""")"),"")</f>
        <v/>
      </c>
      <c r="O174" s="34" t="str">
        <f>IFERROR(__xludf.DUMMYFUNCTION("IF(IF(O$1="""","""",REGEXMATCH(LOWER($E174),XLOOKUP(O$1,Metadata!$A$2:$A1000,Metadata!$B$2:$B1000))),O$1,"""")"),"")</f>
        <v/>
      </c>
      <c r="P174" s="34" t="str">
        <f>IFERROR(__xludf.DUMMYFUNCTION("IF(IF(P$1="""","""",REGEXMATCH(LOWER($E174),XLOOKUP(P$1,Metadata!$A$2:$A1000,Metadata!$B$2:$B1000))),P$1,"""")"),"")</f>
        <v/>
      </c>
      <c r="Q174" s="34" t="str">
        <f>IFERROR(__xludf.DUMMYFUNCTION("IF(IF(Q$1="""","""",REGEXMATCH(LOWER($E174),XLOOKUP(Q$1,Metadata!$A$2:$A1000,Metadata!$B$2:$B1000))),Q$1,"""")"),"")</f>
        <v/>
      </c>
      <c r="R174" s="34" t="str">
        <f>IFERROR(__xludf.DUMMYFUNCTION("IF(IF(R$1="""","""",REGEXMATCH(LOWER($E174),XLOOKUP(R$1,Metadata!$A$2:$A1000,Metadata!$B$2:$B1000))),R$1,"""")"),"")</f>
        <v/>
      </c>
      <c r="S174" s="34" t="str">
        <f>IFERROR(__xludf.DUMMYFUNCTION("IF(IF(S$1="""","""",REGEXMATCH(LOWER($E174),XLOOKUP(S$1,Metadata!$A$2:$A1000,Metadata!$B$2:$B1000))),S$1,"""")"),"")</f>
        <v/>
      </c>
      <c r="T174" s="34" t="str">
        <f>IFERROR(__xludf.DUMMYFUNCTION("IF(IF(T$1="""","""",REGEXMATCH(LOWER($E174),XLOOKUP(T$1,Metadata!$A$2:$A1000,Metadata!$B$2:$B1000))),T$1,"""")"),"")</f>
        <v/>
      </c>
      <c r="U174" s="34" t="str">
        <f>IFERROR(__xludf.DUMMYFUNCTION("IF(IF(U$1="""","""",REGEXMATCH(LOWER($E174),XLOOKUP(U$1,Metadata!$A$2:$A1000,Metadata!$B$2:$B1000))),U$1,"""")"),"Aggro")</f>
        <v>Aggro</v>
      </c>
      <c r="V174" s="34" t="str">
        <f>IFERROR(__xludf.DUMMYFUNCTION("IF(IF(V$1="""","""",REGEXMATCH(LOWER($E174),XLOOKUP(V$1,Metadata!$A$2:$A1000,Metadata!$B$2:$B1000))),V$1,"""")"),"")</f>
        <v/>
      </c>
      <c r="W174" s="34" t="str">
        <f>IFERROR(__xludf.DUMMYFUNCTION("IF(IF(W$1="""","""",REGEXMATCH(LOWER($E174),XLOOKUP(W$1,Metadata!$A$2:$A1000,Metadata!$B$2:$B1000))),W$1,"""")"),"")</f>
        <v/>
      </c>
      <c r="X174" s="34" t="str">
        <f>IFERROR(__xludf.DUMMYFUNCTION("IF(IF(X$1="""","""",REGEXMATCH(LOWER($E174),XLOOKUP(X$1,Metadata!$A$2:$A1000,Metadata!$B$2:$B1000))),X$1,"""")"),"")</f>
        <v/>
      </c>
      <c r="Y174" s="34" t="str">
        <f>IFERROR(__xludf.DUMMYFUNCTION("IF(IF(Y$1="""","""",REGEXMATCH(LOWER($E174),XLOOKUP(Y$1,Metadata!$A$2:$A1000,Metadata!$B$2:$B1000))),Y$1,"""")"),"")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I175">XLOOKUP($A175,Cards!$A$2:$A1000,Cards!$B$2:$I1000,"")</f>
        <v>Elemental Void</v>
      </c>
      <c r="C175" s="34">
        <v>1.0</v>
      </c>
      <c r="D175" s="34" t="s">
        <v>1175</v>
      </c>
      <c r="E175" s="34" t="s">
        <v>1176</v>
      </c>
      <c r="F175" s="34" t="s">
        <v>1177</v>
      </c>
      <c r="G175" s="34">
        <v>5.0</v>
      </c>
      <c r="H175" s="34" t="s">
        <v>971</v>
      </c>
      <c r="I175" s="34" t="s">
        <v>70</v>
      </c>
      <c r="J175" s="34">
        <f>IFERROR(__xludf.DUMMYFUNCTION("LEN(REGEXREPLACE(XLOOKUP($A175,Cards!$A$2:$A1000,Cards!$H$2:$H1000,""""),"",\s"",""""))"),5.0)</f>
        <v>5</v>
      </c>
      <c r="K175" s="34" t="str">
        <f t="shared" si="1"/>
        <v>         Aggro   Ambush   </v>
      </c>
      <c r="L175" s="34" t="str">
        <f>IFERROR(__xludf.DUMMYFUNCTION("IF(IF(L$1="""","""",REGEXMATCH(LOWER($E175),XLOOKUP(L$1,Metadata!$A$2:$A1000,Metadata!$B$2:$B1000))),L$1,"""")"),"")</f>
        <v/>
      </c>
      <c r="M175" s="34" t="str">
        <f>IFERROR(__xludf.DUMMYFUNCTION("IF(IF(M$1="""","""",REGEXMATCH(LOWER($E175),XLOOKUP(M$1,Metadata!$A$2:$A1000,Metadata!$B$2:$B1000))),M$1,"""")"),"")</f>
        <v/>
      </c>
      <c r="N175" s="34" t="str">
        <f>IFERROR(__xludf.DUMMYFUNCTION("IF(IF(N$1="""","""",REGEXMATCH(LOWER($E175),XLOOKUP(N$1,Metadata!$A$2:$A1000,Metadata!$B$2:$B1000))),N$1,"""")"),"")</f>
        <v/>
      </c>
      <c r="O175" s="34" t="str">
        <f>IFERROR(__xludf.DUMMYFUNCTION("IF(IF(O$1="""","""",REGEXMATCH(LOWER($E175),XLOOKUP(O$1,Metadata!$A$2:$A1000,Metadata!$B$2:$B1000))),O$1,"""")"),"")</f>
        <v/>
      </c>
      <c r="P175" s="34" t="str">
        <f>IFERROR(__xludf.DUMMYFUNCTION("IF(IF(P$1="""","""",REGEXMATCH(LOWER($E175),XLOOKUP(P$1,Metadata!$A$2:$A1000,Metadata!$B$2:$B1000))),P$1,"""")"),"")</f>
        <v/>
      </c>
      <c r="Q175" s="34" t="str">
        <f>IFERROR(__xludf.DUMMYFUNCTION("IF(IF(Q$1="""","""",REGEXMATCH(LOWER($E175),XLOOKUP(Q$1,Metadata!$A$2:$A1000,Metadata!$B$2:$B1000))),Q$1,"""")"),"")</f>
        <v/>
      </c>
      <c r="R175" s="34" t="str">
        <f>IFERROR(__xludf.DUMMYFUNCTION("IF(IF(R$1="""","""",REGEXMATCH(LOWER($E175),XLOOKUP(R$1,Metadata!$A$2:$A1000,Metadata!$B$2:$B1000))),R$1,"""")"),"")</f>
        <v/>
      </c>
      <c r="S175" s="34" t="str">
        <f>IFERROR(__xludf.DUMMYFUNCTION("IF(IF(S$1="""","""",REGEXMATCH(LOWER($E175),XLOOKUP(S$1,Metadata!$A$2:$A1000,Metadata!$B$2:$B1000))),S$1,"""")"),"")</f>
        <v/>
      </c>
      <c r="T175" s="34" t="str">
        <f>IFERROR(__xludf.DUMMYFUNCTION("IF(IF(T$1="""","""",REGEXMATCH(LOWER($E175),XLOOKUP(T$1,Metadata!$A$2:$A1000,Metadata!$B$2:$B1000))),T$1,"""")"),"")</f>
        <v/>
      </c>
      <c r="U175" s="34" t="str">
        <f>IFERROR(__xludf.DUMMYFUNCTION("IF(IF(U$1="""","""",REGEXMATCH(LOWER($E175),XLOOKUP(U$1,Metadata!$A$2:$A1000,Metadata!$B$2:$B1000))),U$1,"""")"),"Aggro")</f>
        <v>Aggro</v>
      </c>
      <c r="V175" s="34" t="str">
        <f>IFERROR(__xludf.DUMMYFUNCTION("IF(IF(V$1="""","""",REGEXMATCH(LOWER($E175),XLOOKUP(V$1,Metadata!$A$2:$A1000,Metadata!$B$2:$B1000))),V$1,"""")"),"")</f>
        <v/>
      </c>
      <c r="W175" s="34" t="str">
        <f>IFERROR(__xludf.DUMMYFUNCTION("IF(IF(W$1="""","""",REGEXMATCH(LOWER($E175),XLOOKUP(W$1,Metadata!$A$2:$A1000,Metadata!$B$2:$B1000))),W$1,"""")"),"")</f>
        <v/>
      </c>
      <c r="X175" s="34" t="str">
        <f>IFERROR(__xludf.DUMMYFUNCTION("IF(IF(X$1="""","""",REGEXMATCH(LOWER($E175),XLOOKUP(X$1,Metadata!$A$2:$A1000,Metadata!$B$2:$B1000))),X$1,"""")"),"Ambush")</f>
        <v>Ambush</v>
      </c>
      <c r="Y175" s="34" t="str">
        <f>IFERROR(__xludf.DUMMYFUNCTION("IF(IF(Y$1="""","""",REGEXMATCH(LOWER($E175),XLOOKUP(Y$1,Metadata!$A$2:$A1000,Metadata!$B$2:$B1000))),Y$1,"""")"),"")</f>
        <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I176">XLOOKUP($A176,Cards!$A$2:$A1000,Cards!$B$2:$I1000,"")</f>
        <v>Mortal</v>
      </c>
      <c r="C176" s="34">
        <v>2.0</v>
      </c>
      <c r="D176" s="34" t="s">
        <v>149</v>
      </c>
      <c r="E176" s="34" t="s">
        <v>1186</v>
      </c>
      <c r="F176" s="34" t="s">
        <v>1187</v>
      </c>
      <c r="G176" s="34">
        <v>3.0</v>
      </c>
      <c r="H176" s="34" t="s">
        <v>1167</v>
      </c>
      <c r="I176" s="34" t="s">
        <v>26</v>
      </c>
      <c r="J176" s="34">
        <f>IFERROR(__xludf.DUMMYFUNCTION("LEN(REGEXREPLACE(XLOOKUP($A176,Cards!$A$2:$A1000,Cards!$H$2:$H1000,""""),"",\s"",""""))"),5.0)</f>
        <v>5</v>
      </c>
      <c r="K176" s="34" t="str">
        <f t="shared" si="1"/>
        <v>               </v>
      </c>
      <c r="L176" s="34" t="str">
        <f>IFERROR(__xludf.DUMMYFUNCTION("IF(IF(L$1="""","""",REGEXMATCH(LOWER($E176),XLOOKUP(L$1,Metadata!$A$2:$A1000,Metadata!$B$2:$B1000))),L$1,"""")"),"")</f>
        <v/>
      </c>
      <c r="M176" s="34" t="str">
        <f>IFERROR(__xludf.DUMMYFUNCTION("IF(IF(M$1="""","""",REGEXMATCH(LOWER($E176),XLOOKUP(M$1,Metadata!$A$2:$A1000,Metadata!$B$2:$B1000))),M$1,"""")"),"")</f>
        <v/>
      </c>
      <c r="N176" s="34" t="str">
        <f>IFERROR(__xludf.DUMMYFUNCTION("IF(IF(N$1="""","""",REGEXMATCH(LOWER($E176),XLOOKUP(N$1,Metadata!$A$2:$A1000,Metadata!$B$2:$B1000))),N$1,"""")"),"")</f>
        <v/>
      </c>
      <c r="O176" s="34" t="str">
        <f>IFERROR(__xludf.DUMMYFUNCTION("IF(IF(O$1="""","""",REGEXMATCH(LOWER($E176),XLOOKUP(O$1,Metadata!$A$2:$A1000,Metadata!$B$2:$B1000))),O$1,"""")"),"")</f>
        <v/>
      </c>
      <c r="P176" s="34" t="str">
        <f>IFERROR(__xludf.DUMMYFUNCTION("IF(IF(P$1="""","""",REGEXMATCH(LOWER($E176),XLOOKUP(P$1,Metadata!$A$2:$A1000,Metadata!$B$2:$B1000))),P$1,"""")"),"")</f>
        <v/>
      </c>
      <c r="Q176" s="34" t="str">
        <f>IFERROR(__xludf.DUMMYFUNCTION("IF(IF(Q$1="""","""",REGEXMATCH(LOWER($E176),XLOOKUP(Q$1,Metadata!$A$2:$A1000,Metadata!$B$2:$B1000))),Q$1,"""")"),"")</f>
        <v/>
      </c>
      <c r="R176" s="34" t="str">
        <f>IFERROR(__xludf.DUMMYFUNCTION("IF(IF(R$1="""","""",REGEXMATCH(LOWER($E176),XLOOKUP(R$1,Metadata!$A$2:$A1000,Metadata!$B$2:$B1000))),R$1,"""")"),"")</f>
        <v/>
      </c>
      <c r="S176" s="34" t="str">
        <f>IFERROR(__xludf.DUMMYFUNCTION("IF(IF(S$1="""","""",REGEXMATCH(LOWER($E176),XLOOKUP(S$1,Metadata!$A$2:$A1000,Metadata!$B$2:$B1000))),S$1,"""")"),"")</f>
        <v/>
      </c>
      <c r="T176" s="34" t="str">
        <f>IFERROR(__xludf.DUMMYFUNCTION("IF(IF(T$1="""","""",REGEXMATCH(LOWER($E176),XLOOKUP(T$1,Metadata!$A$2:$A1000,Metadata!$B$2:$B1000))),T$1,"""")"),"")</f>
        <v/>
      </c>
      <c r="U176" s="34" t="str">
        <f>IFERROR(__xludf.DUMMYFUNCTION("IF(IF(U$1="""","""",REGEXMATCH(LOWER($E176),XLOOKUP(U$1,Metadata!$A$2:$A1000,Metadata!$B$2:$B1000))),U$1,"""")"),"")</f>
        <v/>
      </c>
      <c r="V176" s="34" t="str">
        <f>IFERROR(__xludf.DUMMYFUNCTION("IF(IF(V$1="""","""",REGEXMATCH(LOWER($E176),XLOOKUP(V$1,Metadata!$A$2:$A1000,Metadata!$B$2:$B1000))),V$1,"""")"),"")</f>
        <v/>
      </c>
      <c r="W176" s="34" t="str">
        <f>IFERROR(__xludf.DUMMYFUNCTION("IF(IF(W$1="""","""",REGEXMATCH(LOWER($E176),XLOOKUP(W$1,Metadata!$A$2:$A1000,Metadata!$B$2:$B1000))),W$1,"""")"),"")</f>
        <v/>
      </c>
      <c r="X176" s="34" t="str">
        <f>IFERROR(__xludf.DUMMYFUNCTION("IF(IF(X$1="""","""",REGEXMATCH(LOWER($E176),XLOOKUP(X$1,Metadata!$A$2:$A1000,Metadata!$B$2:$B1000))),X$1,"""")"),"")</f>
        <v/>
      </c>
      <c r="Y176" s="34" t="str">
        <f>IFERROR(__xludf.DUMMYFUNCTION("IF(IF(Y$1="""","""",REGEXMATCH(LOWER($E176),XLOOKUP(Y$1,Metadata!$A$2:$A1000,Metadata!$B$2:$B1000))),Y$1,"""")"),"")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I177">XLOOKUP($A177,Cards!$A$2:$A1000,Cards!$B$2:$I1000,"")</f>
        <v>Elemental Void</v>
      </c>
      <c r="C177" s="34">
        <v>1.0</v>
      </c>
      <c r="D177" s="34" t="s">
        <v>813</v>
      </c>
      <c r="E177" s="34" t="s">
        <v>1189</v>
      </c>
      <c r="F177" s="34" t="s">
        <v>1190</v>
      </c>
      <c r="G177" s="34">
        <v>5.0</v>
      </c>
      <c r="H177" s="34" t="s">
        <v>1191</v>
      </c>
      <c r="I177" s="34" t="s">
        <v>32</v>
      </c>
      <c r="J177" s="34">
        <f>IFERROR(__xludf.DUMMYFUNCTION("LEN(REGEXREPLACE(XLOOKUP($A177,Cards!$A$2:$A1000,Cards!$H$2:$H1000,""""),"",\s"",""""))"),4.0)</f>
        <v>4</v>
      </c>
      <c r="K177" s="34" t="str">
        <f t="shared" si="1"/>
        <v>         Aggro      </v>
      </c>
      <c r="L177" s="34" t="str">
        <f>IFERROR(__xludf.DUMMYFUNCTION("IF(IF(L$1="""","""",REGEXMATCH(LOWER($E177),XLOOKUP(L$1,Metadata!$A$2:$A1000,Metadata!$B$2:$B1000))),L$1,"""")"),"")</f>
        <v/>
      </c>
      <c r="M177" s="34" t="str">
        <f>IFERROR(__xludf.DUMMYFUNCTION("IF(IF(M$1="""","""",REGEXMATCH(LOWER($E177),XLOOKUP(M$1,Metadata!$A$2:$A1000,Metadata!$B$2:$B1000))),M$1,"""")"),"")</f>
        <v/>
      </c>
      <c r="N177" s="34" t="str">
        <f>IFERROR(__xludf.DUMMYFUNCTION("IF(IF(N$1="""","""",REGEXMATCH(LOWER($E177),XLOOKUP(N$1,Metadata!$A$2:$A1000,Metadata!$B$2:$B1000))),N$1,"""")"),"")</f>
        <v/>
      </c>
      <c r="O177" s="34" t="str">
        <f>IFERROR(__xludf.DUMMYFUNCTION("IF(IF(O$1="""","""",REGEXMATCH(LOWER($E177),XLOOKUP(O$1,Metadata!$A$2:$A1000,Metadata!$B$2:$B1000))),O$1,"""")"),"")</f>
        <v/>
      </c>
      <c r="P177" s="34" t="str">
        <f>IFERROR(__xludf.DUMMYFUNCTION("IF(IF(P$1="""","""",REGEXMATCH(LOWER($E177),XLOOKUP(P$1,Metadata!$A$2:$A1000,Metadata!$B$2:$B1000))),P$1,"""")"),"")</f>
        <v/>
      </c>
      <c r="Q177" s="34" t="str">
        <f>IFERROR(__xludf.DUMMYFUNCTION("IF(IF(Q$1="""","""",REGEXMATCH(LOWER($E177),XLOOKUP(Q$1,Metadata!$A$2:$A1000,Metadata!$B$2:$B1000))),Q$1,"""")"),"")</f>
        <v/>
      </c>
      <c r="R177" s="34" t="str">
        <f>IFERROR(__xludf.DUMMYFUNCTION("IF(IF(R$1="""","""",REGEXMATCH(LOWER($E177),XLOOKUP(R$1,Metadata!$A$2:$A1000,Metadata!$B$2:$B1000))),R$1,"""")"),"")</f>
        <v/>
      </c>
      <c r="S177" s="34" t="str">
        <f>IFERROR(__xludf.DUMMYFUNCTION("IF(IF(S$1="""","""",REGEXMATCH(LOWER($E177),XLOOKUP(S$1,Metadata!$A$2:$A1000,Metadata!$B$2:$B1000))),S$1,"""")"),"")</f>
        <v/>
      </c>
      <c r="T177" s="34" t="str">
        <f>IFERROR(__xludf.DUMMYFUNCTION("IF(IF(T$1="""","""",REGEXMATCH(LOWER($E177),XLOOKUP(T$1,Metadata!$A$2:$A1000,Metadata!$B$2:$B1000))),T$1,"""")"),"")</f>
        <v/>
      </c>
      <c r="U177" s="34" t="str">
        <f>IFERROR(__xludf.DUMMYFUNCTION("IF(IF(U$1="""","""",REGEXMATCH(LOWER($E177),XLOOKUP(U$1,Metadata!$A$2:$A1000,Metadata!$B$2:$B1000))),U$1,"""")"),"Aggro")</f>
        <v>Aggro</v>
      </c>
      <c r="V177" s="34" t="str">
        <f>IFERROR(__xludf.DUMMYFUNCTION("IF(IF(V$1="""","""",REGEXMATCH(LOWER($E177),XLOOKUP(V$1,Metadata!$A$2:$A1000,Metadata!$B$2:$B1000))),V$1,"""")"),"")</f>
        <v/>
      </c>
      <c r="W177" s="34" t="str">
        <f>IFERROR(__xludf.DUMMYFUNCTION("IF(IF(W$1="""","""",REGEXMATCH(LOWER($E177),XLOOKUP(W$1,Metadata!$A$2:$A1000,Metadata!$B$2:$B1000))),W$1,"""")"),"")</f>
        <v/>
      </c>
      <c r="X177" s="34" t="str">
        <f>IFERROR(__xludf.DUMMYFUNCTION("IF(IF(X$1="""","""",REGEXMATCH(LOWER($E177),XLOOKUP(X$1,Metadata!$A$2:$A1000,Metadata!$B$2:$B1000))),X$1,"""")"),"")</f>
        <v/>
      </c>
      <c r="Y177" s="34" t="str">
        <f>IFERROR(__xludf.DUMMYFUNCTION("IF(IF(Y$1="""","""",REGEXMATCH(LOWER($E177),XLOOKUP(Y$1,Metadata!$A$2:$A1000,Metadata!$B$2:$B1000))),Y$1,"""")"),"")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I178">XLOOKUP($A178,Cards!$A$2:$A1000,Cards!$B$2:$I1000,"")</f>
        <v>Mortal</v>
      </c>
      <c r="C178" s="34">
        <v>2.0</v>
      </c>
      <c r="D178" s="34" t="s">
        <v>335</v>
      </c>
      <c r="E178" s="34" t="s">
        <v>1197</v>
      </c>
      <c r="F178" s="34" t="s">
        <v>1198</v>
      </c>
      <c r="G178" s="34">
        <v>3.0</v>
      </c>
      <c r="H178" s="34" t="s">
        <v>1095</v>
      </c>
      <c r="I178" s="34" t="s">
        <v>70</v>
      </c>
      <c r="J178" s="34">
        <f>IFERROR(__xludf.DUMMYFUNCTION("LEN(REGEXREPLACE(XLOOKUP($A178,Cards!$A$2:$A1000,Cards!$H$2:$H1000,""""),"",\s"",""""))"),4.0)</f>
        <v>4</v>
      </c>
      <c r="K178" s="34" t="str">
        <f t="shared" si="1"/>
        <v>  Mortal      Copy Aggro      </v>
      </c>
      <c r="L178" s="34" t="str">
        <f>IFERROR(__xludf.DUMMYFUNCTION("IF(IF(L$1="""","""",REGEXMATCH(LOWER($E178),XLOOKUP(L$1,Metadata!$A$2:$A1000,Metadata!$B$2:$B1000))),L$1,"""")"),"")</f>
        <v/>
      </c>
      <c r="M178" s="34" t="str">
        <f>IFERROR(__xludf.DUMMYFUNCTION("IF(IF(M$1="""","""",REGEXMATCH(LOWER($E178),XLOOKUP(M$1,Metadata!$A$2:$A1000,Metadata!$B$2:$B1000))),M$1,"""")"),"")</f>
        <v/>
      </c>
      <c r="N178" s="34" t="str">
        <f>IFERROR(__xludf.DUMMYFUNCTION("IF(IF(N$1="""","""",REGEXMATCH(LOWER($E178),XLOOKUP(N$1,Metadata!$A$2:$A1000,Metadata!$B$2:$B1000))),N$1,"""")"),"Mortal")</f>
        <v>Mortal</v>
      </c>
      <c r="O178" s="34" t="str">
        <f>IFERROR(__xludf.DUMMYFUNCTION("IF(IF(O$1="""","""",REGEXMATCH(LOWER($E178),XLOOKUP(O$1,Metadata!$A$2:$A1000,Metadata!$B$2:$B1000))),O$1,"""")"),"")</f>
        <v/>
      </c>
      <c r="P178" s="34" t="str">
        <f>IFERROR(__xludf.DUMMYFUNCTION("IF(IF(P$1="""","""",REGEXMATCH(LOWER($E178),XLOOKUP(P$1,Metadata!$A$2:$A1000,Metadata!$B$2:$B1000))),P$1,"""")"),"")</f>
        <v/>
      </c>
      <c r="Q178" s="34" t="str">
        <f>IFERROR(__xludf.DUMMYFUNCTION("IF(IF(Q$1="""","""",REGEXMATCH(LOWER($E178),XLOOKUP(Q$1,Metadata!$A$2:$A1000,Metadata!$B$2:$B1000))),Q$1,"""")"),"")</f>
        <v/>
      </c>
      <c r="R178" s="34" t="str">
        <f>IFERROR(__xludf.DUMMYFUNCTION("IF(IF(R$1="""","""",REGEXMATCH(LOWER($E178),XLOOKUP(R$1,Metadata!$A$2:$A1000,Metadata!$B$2:$B1000))),R$1,"""")"),"")</f>
        <v/>
      </c>
      <c r="S178" s="34" t="str">
        <f>IFERROR(__xludf.DUMMYFUNCTION("IF(IF(S$1="""","""",REGEXMATCH(LOWER($E178),XLOOKUP(S$1,Metadata!$A$2:$A1000,Metadata!$B$2:$B1000))),S$1,"""")"),"")</f>
        <v/>
      </c>
      <c r="T178" s="34" t="str">
        <f>IFERROR(__xludf.DUMMYFUNCTION("IF(IF(T$1="""","""",REGEXMATCH(LOWER($E178),XLOOKUP(T$1,Metadata!$A$2:$A1000,Metadata!$B$2:$B1000))),T$1,"""")"),"Copy")</f>
        <v>Copy</v>
      </c>
      <c r="U178" s="34" t="str">
        <f>IFERROR(__xludf.DUMMYFUNCTION("IF(IF(U$1="""","""",REGEXMATCH(LOWER($E178),XLOOKUP(U$1,Metadata!$A$2:$A1000,Metadata!$B$2:$B1000))),U$1,"""")"),"Aggro")</f>
        <v>Aggro</v>
      </c>
      <c r="V178" s="34" t="str">
        <f>IFERROR(__xludf.DUMMYFUNCTION("IF(IF(V$1="""","""",REGEXMATCH(LOWER($E178),XLOOKUP(V$1,Metadata!$A$2:$A1000,Metadata!$B$2:$B1000))),V$1,"""")"),"")</f>
        <v/>
      </c>
      <c r="W178" s="34" t="str">
        <f>IFERROR(__xludf.DUMMYFUNCTION("IF(IF(W$1="""","""",REGEXMATCH(LOWER($E178),XLOOKUP(W$1,Metadata!$A$2:$A1000,Metadata!$B$2:$B1000))),W$1,"""")"),"")</f>
        <v/>
      </c>
      <c r="X178" s="34" t="str">
        <f>IFERROR(__xludf.DUMMYFUNCTION("IF(IF(X$1="""","""",REGEXMATCH(LOWER($E178),XLOOKUP(X$1,Metadata!$A$2:$A1000,Metadata!$B$2:$B1000))),X$1,"""")"),"")</f>
        <v/>
      </c>
      <c r="Y178" s="34" t="str">
        <f>IFERROR(__xludf.DUMMYFUNCTION("IF(IF(Y$1="""","""",REGEXMATCH(LOWER($E178),XLOOKUP(Y$1,Metadata!$A$2:$A1000,Metadata!$B$2:$B1000))),Y$1,"""")"),"")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I179">XLOOKUP($A179,Cards!$A$2:$A1000,Cards!$B$2:$I1000,"")</f>
        <v>Elemental Void</v>
      </c>
      <c r="C179" s="34">
        <v>1.0</v>
      </c>
      <c r="D179" s="34" t="s">
        <v>1200</v>
      </c>
      <c r="E179" s="34"/>
      <c r="F179" s="34" t="s">
        <v>1201</v>
      </c>
      <c r="G179" s="34">
        <v>2.0</v>
      </c>
      <c r="H179" s="34" t="s">
        <v>966</v>
      </c>
      <c r="I179" s="34" t="s">
        <v>26</v>
      </c>
      <c r="J179" s="34">
        <f>IFERROR(__xludf.DUMMYFUNCTION("LEN(REGEXREPLACE(XLOOKUP($A179,Cards!$A$2:$A1000,Cards!$H$2:$H1000,""""),"",\s"",""""))"),2.0)</f>
        <v>2</v>
      </c>
      <c r="K179" s="34" t="str">
        <f t="shared" si="1"/>
        <v>               </v>
      </c>
      <c r="L179" s="34" t="str">
        <f>IFERROR(__xludf.DUMMYFUNCTION("IF(IF(L$1="""","""",REGEXMATCH(LOWER($E179),XLOOKUP(L$1,Metadata!$A$2:$A1000,Metadata!$B$2:$B1000))),L$1,"""")"),"")</f>
        <v/>
      </c>
      <c r="M179" s="34" t="str">
        <f>IFERROR(__xludf.DUMMYFUNCTION("IF(IF(M$1="""","""",REGEXMATCH(LOWER($E179),XLOOKUP(M$1,Metadata!$A$2:$A1000,Metadata!$B$2:$B1000))),M$1,"""")"),"")</f>
        <v/>
      </c>
      <c r="N179" s="34" t="str">
        <f>IFERROR(__xludf.DUMMYFUNCTION("IF(IF(N$1="""","""",REGEXMATCH(LOWER($E179),XLOOKUP(N$1,Metadata!$A$2:$A1000,Metadata!$B$2:$B1000))),N$1,"""")"),"")</f>
        <v/>
      </c>
      <c r="O179" s="34" t="str">
        <f>IFERROR(__xludf.DUMMYFUNCTION("IF(IF(O$1="""","""",REGEXMATCH(LOWER($E179),XLOOKUP(O$1,Metadata!$A$2:$A1000,Metadata!$B$2:$B1000))),O$1,"""")"),"")</f>
        <v/>
      </c>
      <c r="P179" s="34" t="str">
        <f>IFERROR(__xludf.DUMMYFUNCTION("IF(IF(P$1="""","""",REGEXMATCH(LOWER($E179),XLOOKUP(P$1,Metadata!$A$2:$A1000,Metadata!$B$2:$B1000))),P$1,"""")"),"")</f>
        <v/>
      </c>
      <c r="Q179" s="34" t="str">
        <f>IFERROR(__xludf.DUMMYFUNCTION("IF(IF(Q$1="""","""",REGEXMATCH(LOWER($E179),XLOOKUP(Q$1,Metadata!$A$2:$A1000,Metadata!$B$2:$B1000))),Q$1,"""")"),"")</f>
        <v/>
      </c>
      <c r="R179" s="34" t="str">
        <f>IFERROR(__xludf.DUMMYFUNCTION("IF(IF(R$1="""","""",REGEXMATCH(LOWER($E179),XLOOKUP(R$1,Metadata!$A$2:$A1000,Metadata!$B$2:$B1000))),R$1,"""")"),"")</f>
        <v/>
      </c>
      <c r="S179" s="34" t="str">
        <f>IFERROR(__xludf.DUMMYFUNCTION("IF(IF(S$1="""","""",REGEXMATCH(LOWER($E179),XLOOKUP(S$1,Metadata!$A$2:$A1000,Metadata!$B$2:$B1000))),S$1,"""")"),"")</f>
        <v/>
      </c>
      <c r="T179" s="34" t="str">
        <f>IFERROR(__xludf.DUMMYFUNCTION("IF(IF(T$1="""","""",REGEXMATCH(LOWER($E179),XLOOKUP(T$1,Metadata!$A$2:$A1000,Metadata!$B$2:$B1000))),T$1,"""")"),"")</f>
        <v/>
      </c>
      <c r="U179" s="34" t="str">
        <f>IFERROR(__xludf.DUMMYFUNCTION("IF(IF(U$1="""","""",REGEXMATCH(LOWER($E179),XLOOKUP(U$1,Metadata!$A$2:$A1000,Metadata!$B$2:$B1000))),U$1,"""")"),"")</f>
        <v/>
      </c>
      <c r="V179" s="34" t="str">
        <f>IFERROR(__xludf.DUMMYFUNCTION("IF(IF(V$1="""","""",REGEXMATCH(LOWER($E179),XLOOKUP(V$1,Metadata!$A$2:$A1000,Metadata!$B$2:$B1000))),V$1,"""")"),"")</f>
        <v/>
      </c>
      <c r="W179" s="34" t="str">
        <f>IFERROR(__xludf.DUMMYFUNCTION("IF(IF(W$1="""","""",REGEXMATCH(LOWER($E179),XLOOKUP(W$1,Metadata!$A$2:$A1000,Metadata!$B$2:$B1000))),W$1,"""")"),"")</f>
        <v/>
      </c>
      <c r="X179" s="34" t="str">
        <f>IFERROR(__xludf.DUMMYFUNCTION("IF(IF(X$1="""","""",REGEXMATCH(LOWER($E179),XLOOKUP(X$1,Metadata!$A$2:$A1000,Metadata!$B$2:$B1000))),X$1,"""")"),"")</f>
        <v/>
      </c>
      <c r="Y179" s="34" t="str">
        <f>IFERROR(__xludf.DUMMYFUNCTION("IF(IF(Y$1="""","""",REGEXMATCH(LOWER($E179),XLOOKUP(Y$1,Metadata!$A$2:$A1000,Metadata!$B$2:$B1000))),Y$1,"""")"),"")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I180">XLOOKUP($A180,Cards!$A$2:$A1000,Cards!$B$2:$I1000,"")</f>
        <v>Mortal</v>
      </c>
      <c r="C180" s="34">
        <v>1.0</v>
      </c>
      <c r="D180" s="34" t="s">
        <v>654</v>
      </c>
      <c r="E180" s="34" t="s">
        <v>1214</v>
      </c>
      <c r="F180" s="34" t="s">
        <v>1215</v>
      </c>
      <c r="G180" s="34">
        <v>3.0</v>
      </c>
      <c r="H180" s="34" t="s">
        <v>1042</v>
      </c>
      <c r="I180" s="34" t="s">
        <v>26</v>
      </c>
      <c r="J180" s="34">
        <f>IFERROR(__xludf.DUMMYFUNCTION("LEN(REGEXREPLACE(XLOOKUP($A180,Cards!$A$2:$A1000,Cards!$H$2:$H1000,""""),"",\s"",""""))"),3.0)</f>
        <v>3</v>
      </c>
      <c r="K180" s="34" t="str">
        <f t="shared" si="1"/>
        <v>               </v>
      </c>
      <c r="L180" s="34" t="str">
        <f>IFERROR(__xludf.DUMMYFUNCTION("IF(IF(L$1="""","""",REGEXMATCH(LOWER($E180),XLOOKUP(L$1,Metadata!$A$2:$A1000,Metadata!$B$2:$B1000))),L$1,"""")"),"")</f>
        <v/>
      </c>
      <c r="M180" s="34" t="str">
        <f>IFERROR(__xludf.DUMMYFUNCTION("IF(IF(M$1="""","""",REGEXMATCH(LOWER($E180),XLOOKUP(M$1,Metadata!$A$2:$A1000,Metadata!$B$2:$B1000))),M$1,"""")"),"")</f>
        <v/>
      </c>
      <c r="N180" s="34" t="str">
        <f>IFERROR(__xludf.DUMMYFUNCTION("IF(IF(N$1="""","""",REGEXMATCH(LOWER($E180),XLOOKUP(N$1,Metadata!$A$2:$A1000,Metadata!$B$2:$B1000))),N$1,"""")"),"")</f>
        <v/>
      </c>
      <c r="O180" s="34" t="str">
        <f>IFERROR(__xludf.DUMMYFUNCTION("IF(IF(O$1="""","""",REGEXMATCH(LOWER($E180),XLOOKUP(O$1,Metadata!$A$2:$A1000,Metadata!$B$2:$B1000))),O$1,"""")"),"")</f>
        <v/>
      </c>
      <c r="P180" s="34" t="str">
        <f>IFERROR(__xludf.DUMMYFUNCTION("IF(IF(P$1="""","""",REGEXMATCH(LOWER($E180),XLOOKUP(P$1,Metadata!$A$2:$A1000,Metadata!$B$2:$B1000))),P$1,"""")"),"")</f>
        <v/>
      </c>
      <c r="Q180" s="34" t="str">
        <f>IFERROR(__xludf.DUMMYFUNCTION("IF(IF(Q$1="""","""",REGEXMATCH(LOWER($E180),XLOOKUP(Q$1,Metadata!$A$2:$A1000,Metadata!$B$2:$B1000))),Q$1,"""")"),"")</f>
        <v/>
      </c>
      <c r="R180" s="34" t="str">
        <f>IFERROR(__xludf.DUMMYFUNCTION("IF(IF(R$1="""","""",REGEXMATCH(LOWER($E180),XLOOKUP(R$1,Metadata!$A$2:$A1000,Metadata!$B$2:$B1000))),R$1,"""")"),"")</f>
        <v/>
      </c>
      <c r="S180" s="34" t="str">
        <f>IFERROR(__xludf.DUMMYFUNCTION("IF(IF(S$1="""","""",REGEXMATCH(LOWER($E180),XLOOKUP(S$1,Metadata!$A$2:$A1000,Metadata!$B$2:$B1000))),S$1,"""")"),"")</f>
        <v/>
      </c>
      <c r="T180" s="34" t="str">
        <f>IFERROR(__xludf.DUMMYFUNCTION("IF(IF(T$1="""","""",REGEXMATCH(LOWER($E180),XLOOKUP(T$1,Metadata!$A$2:$A1000,Metadata!$B$2:$B1000))),T$1,"""")"),"")</f>
        <v/>
      </c>
      <c r="U180" s="34" t="str">
        <f>IFERROR(__xludf.DUMMYFUNCTION("IF(IF(U$1="""","""",REGEXMATCH(LOWER($E180),XLOOKUP(U$1,Metadata!$A$2:$A1000,Metadata!$B$2:$B1000))),U$1,"""")"),"")</f>
        <v/>
      </c>
      <c r="V180" s="34" t="str">
        <f>IFERROR(__xludf.DUMMYFUNCTION("IF(IF(V$1="""","""",REGEXMATCH(LOWER($E180),XLOOKUP(V$1,Metadata!$A$2:$A1000,Metadata!$B$2:$B1000))),V$1,"""")"),"")</f>
        <v/>
      </c>
      <c r="W180" s="34" t="str">
        <f>IFERROR(__xludf.DUMMYFUNCTION("IF(IF(W$1="""","""",REGEXMATCH(LOWER($E180),XLOOKUP(W$1,Metadata!$A$2:$A1000,Metadata!$B$2:$B1000))),W$1,"""")"),"")</f>
        <v/>
      </c>
      <c r="X180" s="34" t="str">
        <f>IFERROR(__xludf.DUMMYFUNCTION("IF(IF(X$1="""","""",REGEXMATCH(LOWER($E180),XLOOKUP(X$1,Metadata!$A$2:$A1000,Metadata!$B$2:$B1000))),X$1,"""")"),"")</f>
        <v/>
      </c>
      <c r="Y180" s="34" t="str">
        <f>IFERROR(__xludf.DUMMYFUNCTION("IF(IF(Y$1="""","""",REGEXMATCH(LOWER($E180),XLOOKUP(Y$1,Metadata!$A$2:$A1000,Metadata!$B$2:$B1000))),Y$1,"""")"),"")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I181">XLOOKUP($A181,Cards!$A$2:$A1000,Cards!$B$2:$I1000,"")</f>
        <v>Mortal</v>
      </c>
      <c r="C181" s="34">
        <v>2.0</v>
      </c>
      <c r="D181" s="34" t="s">
        <v>80</v>
      </c>
      <c r="E181" s="34" t="s">
        <v>1224</v>
      </c>
      <c r="F181" s="34" t="s">
        <v>1225</v>
      </c>
      <c r="G181" s="34">
        <v>3.0</v>
      </c>
      <c r="H181" s="34" t="s">
        <v>1095</v>
      </c>
      <c r="I181" s="34" t="s">
        <v>70</v>
      </c>
      <c r="J181" s="34">
        <f>IFERROR(__xludf.DUMMYFUNCTION("LEN(REGEXREPLACE(XLOOKUP($A181,Cards!$A$2:$A1000,Cards!$H$2:$H1000,""""),"",\s"",""""))"),4.0)</f>
        <v>4</v>
      </c>
      <c r="K181" s="34" t="str">
        <f t="shared" si="1"/>
        <v>      Ramp   Aggro      </v>
      </c>
      <c r="L181" s="34" t="str">
        <f>IFERROR(__xludf.DUMMYFUNCTION("IF(IF(L$1="""","""",REGEXMATCH(LOWER($E181),XLOOKUP(L$1,Metadata!$A$2:$A1000,Metadata!$B$2:$B1000))),L$1,"""")"),"")</f>
        <v/>
      </c>
      <c r="M181" s="34" t="str">
        <f>IFERROR(__xludf.DUMMYFUNCTION("IF(IF(M$1="""","""",REGEXMATCH(LOWER($E181),XLOOKUP(M$1,Metadata!$A$2:$A1000,Metadata!$B$2:$B1000))),M$1,"""")"),"")</f>
        <v/>
      </c>
      <c r="N181" s="34" t="str">
        <f>IFERROR(__xludf.DUMMYFUNCTION("IF(IF(N$1="""","""",REGEXMATCH(LOWER($E181),XLOOKUP(N$1,Metadata!$A$2:$A1000,Metadata!$B$2:$B1000))),N$1,"""")"),"")</f>
        <v/>
      </c>
      <c r="O181" s="34" t="str">
        <f>IFERROR(__xludf.DUMMYFUNCTION("IF(IF(O$1="""","""",REGEXMATCH(LOWER($E181),XLOOKUP(O$1,Metadata!$A$2:$A1000,Metadata!$B$2:$B1000))),O$1,"""")"),"")</f>
        <v/>
      </c>
      <c r="P181" s="34" t="str">
        <f>IFERROR(__xludf.DUMMYFUNCTION("IF(IF(P$1="""","""",REGEXMATCH(LOWER($E181),XLOOKUP(P$1,Metadata!$A$2:$A1000,Metadata!$B$2:$B1000))),P$1,"""")"),"")</f>
        <v/>
      </c>
      <c r="Q181" s="34" t="str">
        <f>IFERROR(__xludf.DUMMYFUNCTION("IF(IF(Q$1="""","""",REGEXMATCH(LOWER($E181),XLOOKUP(Q$1,Metadata!$A$2:$A1000,Metadata!$B$2:$B1000))),Q$1,"""")"),"")</f>
        <v/>
      </c>
      <c r="R181" s="34" t="str">
        <f>IFERROR(__xludf.DUMMYFUNCTION("IF(IF(R$1="""","""",REGEXMATCH(LOWER($E181),XLOOKUP(R$1,Metadata!$A$2:$A1000,Metadata!$B$2:$B1000))),R$1,"""")"),"Ramp")</f>
        <v>Ramp</v>
      </c>
      <c r="S181" s="34" t="str">
        <f>IFERROR(__xludf.DUMMYFUNCTION("IF(IF(S$1="""","""",REGEXMATCH(LOWER($E181),XLOOKUP(S$1,Metadata!$A$2:$A1000,Metadata!$B$2:$B1000))),S$1,"""")"),"")</f>
        <v/>
      </c>
      <c r="T181" s="34" t="str">
        <f>IFERROR(__xludf.DUMMYFUNCTION("IF(IF(T$1="""","""",REGEXMATCH(LOWER($E181),XLOOKUP(T$1,Metadata!$A$2:$A1000,Metadata!$B$2:$B1000))),T$1,"""")"),"")</f>
        <v/>
      </c>
      <c r="U181" s="34" t="str">
        <f>IFERROR(__xludf.DUMMYFUNCTION("IF(IF(U$1="""","""",REGEXMATCH(LOWER($E181),XLOOKUP(U$1,Metadata!$A$2:$A1000,Metadata!$B$2:$B1000))),U$1,"""")"),"Aggro")</f>
        <v>Aggro</v>
      </c>
      <c r="V181" s="34" t="str">
        <f>IFERROR(__xludf.DUMMYFUNCTION("IF(IF(V$1="""","""",REGEXMATCH(LOWER($E181),XLOOKUP(V$1,Metadata!$A$2:$A1000,Metadata!$B$2:$B1000))),V$1,"""")"),"")</f>
        <v/>
      </c>
      <c r="W181" s="34" t="str">
        <f>IFERROR(__xludf.DUMMYFUNCTION("IF(IF(W$1="""","""",REGEXMATCH(LOWER($E181),XLOOKUP(W$1,Metadata!$A$2:$A1000,Metadata!$B$2:$B1000))),W$1,"""")"),"")</f>
        <v/>
      </c>
      <c r="X181" s="34" t="str">
        <f>IFERROR(__xludf.DUMMYFUNCTION("IF(IF(X$1="""","""",REGEXMATCH(LOWER($E181),XLOOKUP(X$1,Metadata!$A$2:$A1000,Metadata!$B$2:$B1000))),X$1,"""")"),"")</f>
        <v/>
      </c>
      <c r="Y181" s="34" t="str">
        <f>IFERROR(__xludf.DUMMYFUNCTION("IF(IF(Y$1="""","""",REGEXMATCH(LOWER($E181),XLOOKUP(Y$1,Metadata!$A$2:$A1000,Metadata!$B$2:$B1000))),Y$1,"""")"),"")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I182">XLOOKUP($A182,Cards!$A$2:$A1000,Cards!$B$2:$I1000,"")</f>
        <v>Mortal</v>
      </c>
      <c r="C182" s="34">
        <v>1.0</v>
      </c>
      <c r="D182" s="34" t="s">
        <v>661</v>
      </c>
      <c r="E182" s="34" t="s">
        <v>1227</v>
      </c>
      <c r="F182" s="34" t="s">
        <v>1228</v>
      </c>
      <c r="G182" s="34">
        <v>1.0</v>
      </c>
      <c r="H182" s="34" t="s">
        <v>1051</v>
      </c>
      <c r="I182" s="34" t="s">
        <v>26</v>
      </c>
      <c r="J182" s="34">
        <f>IFERROR(__xludf.DUMMYFUNCTION("LEN(REGEXREPLACE(XLOOKUP($A182,Cards!$A$2:$A1000,Cards!$H$2:$H1000,""""),"",\s"",""""))"),2.0)</f>
        <v>2</v>
      </c>
      <c r="K182" s="34" t="str">
        <f t="shared" si="1"/>
        <v>  Mortal             </v>
      </c>
      <c r="L182" s="34" t="str">
        <f>IFERROR(__xludf.DUMMYFUNCTION("IF(IF(L$1="""","""",REGEXMATCH(LOWER($E182),XLOOKUP(L$1,Metadata!$A$2:$A1000,Metadata!$B$2:$B1000))),L$1,"""")"),"")</f>
        <v/>
      </c>
      <c r="M182" s="34" t="str">
        <f>IFERROR(__xludf.DUMMYFUNCTION("IF(IF(M$1="""","""",REGEXMATCH(LOWER($E182),XLOOKUP(M$1,Metadata!$A$2:$A1000,Metadata!$B$2:$B1000))),M$1,"""")"),"")</f>
        <v/>
      </c>
      <c r="N182" s="34" t="str">
        <f>IFERROR(__xludf.DUMMYFUNCTION("IF(IF(N$1="""","""",REGEXMATCH(LOWER($E182),XLOOKUP(N$1,Metadata!$A$2:$A1000,Metadata!$B$2:$B1000))),N$1,"""")"),"Mortal")</f>
        <v>Mortal</v>
      </c>
      <c r="O182" s="34" t="str">
        <f>IFERROR(__xludf.DUMMYFUNCTION("IF(IF(O$1="""","""",REGEXMATCH(LOWER($E182),XLOOKUP(O$1,Metadata!$A$2:$A1000,Metadata!$B$2:$B1000))),O$1,"""")"),"")</f>
        <v/>
      </c>
      <c r="P182" s="34" t="str">
        <f>IFERROR(__xludf.DUMMYFUNCTION("IF(IF(P$1="""","""",REGEXMATCH(LOWER($E182),XLOOKUP(P$1,Metadata!$A$2:$A1000,Metadata!$B$2:$B1000))),P$1,"""")"),"")</f>
        <v/>
      </c>
      <c r="Q182" s="34" t="str">
        <f>IFERROR(__xludf.DUMMYFUNCTION("IF(IF(Q$1="""","""",REGEXMATCH(LOWER($E182),XLOOKUP(Q$1,Metadata!$A$2:$A1000,Metadata!$B$2:$B1000))),Q$1,"""")"),"")</f>
        <v/>
      </c>
      <c r="R182" s="34" t="str">
        <f>IFERROR(__xludf.DUMMYFUNCTION("IF(IF(R$1="""","""",REGEXMATCH(LOWER($E182),XLOOKUP(R$1,Metadata!$A$2:$A1000,Metadata!$B$2:$B1000))),R$1,"""")"),"")</f>
        <v/>
      </c>
      <c r="S182" s="34" t="str">
        <f>IFERROR(__xludf.DUMMYFUNCTION("IF(IF(S$1="""","""",REGEXMATCH(LOWER($E182),XLOOKUP(S$1,Metadata!$A$2:$A1000,Metadata!$B$2:$B1000))),S$1,"""")"),"")</f>
        <v/>
      </c>
      <c r="T182" s="34" t="str">
        <f>IFERROR(__xludf.DUMMYFUNCTION("IF(IF(T$1="""","""",REGEXMATCH(LOWER($E182),XLOOKUP(T$1,Metadata!$A$2:$A1000,Metadata!$B$2:$B1000))),T$1,"""")"),"")</f>
        <v/>
      </c>
      <c r="U182" s="34" t="str">
        <f>IFERROR(__xludf.DUMMYFUNCTION("IF(IF(U$1="""","""",REGEXMATCH(LOWER($E182),XLOOKUP(U$1,Metadata!$A$2:$A1000,Metadata!$B$2:$B1000))),U$1,"""")"),"")</f>
        <v/>
      </c>
      <c r="V182" s="34" t="str">
        <f>IFERROR(__xludf.DUMMYFUNCTION("IF(IF(V$1="""","""",REGEXMATCH(LOWER($E182),XLOOKUP(V$1,Metadata!$A$2:$A1000,Metadata!$B$2:$B1000))),V$1,"""")"),"")</f>
        <v/>
      </c>
      <c r="W182" s="34" t="str">
        <f>IFERROR(__xludf.DUMMYFUNCTION("IF(IF(W$1="""","""",REGEXMATCH(LOWER($E182),XLOOKUP(W$1,Metadata!$A$2:$A1000,Metadata!$B$2:$B1000))),W$1,"""")"),"")</f>
        <v/>
      </c>
      <c r="X182" s="34" t="str">
        <f>IFERROR(__xludf.DUMMYFUNCTION("IF(IF(X$1="""","""",REGEXMATCH(LOWER($E182),XLOOKUP(X$1,Metadata!$A$2:$A1000,Metadata!$B$2:$B1000))),X$1,"""")"),"")</f>
        <v/>
      </c>
      <c r="Y182" s="34" t="str">
        <f>IFERROR(__xludf.DUMMYFUNCTION("IF(IF(Y$1="""","""",REGEXMATCH(LOWER($E182),XLOOKUP(Y$1,Metadata!$A$2:$A1000,Metadata!$B$2:$B1000))),Y$1,"""")"),"")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I183">XLOOKUP($A183,Cards!$A$2:$A1000,Cards!$B$2:$I1000,"")</f>
        <v>Mortal</v>
      </c>
      <c r="C183" s="34">
        <v>2.0</v>
      </c>
      <c r="D183" s="34" t="s">
        <v>37</v>
      </c>
      <c r="E183" s="34" t="s">
        <v>1238</v>
      </c>
      <c r="F183" s="34" t="s">
        <v>1239</v>
      </c>
      <c r="G183" s="34">
        <v>3.0</v>
      </c>
      <c r="H183" s="34" t="s">
        <v>1095</v>
      </c>
      <c r="I183" s="34" t="s">
        <v>70</v>
      </c>
      <c r="J183" s="34">
        <f>IFERROR(__xludf.DUMMYFUNCTION("LEN(REGEXREPLACE(XLOOKUP($A183,Cards!$A$2:$A1000,Cards!$H$2:$H1000,""""),"",\s"",""""))"),4.0)</f>
        <v>4</v>
      </c>
      <c r="K183" s="34" t="str">
        <f t="shared" si="1"/>
        <v>               </v>
      </c>
      <c r="L183" s="34" t="str">
        <f>IFERROR(__xludf.DUMMYFUNCTION("IF(IF(L$1="""","""",REGEXMATCH(LOWER($E183),XLOOKUP(L$1,Metadata!$A$2:$A1000,Metadata!$B$2:$B1000))),L$1,"""")"),"")</f>
        <v/>
      </c>
      <c r="M183" s="34" t="str">
        <f>IFERROR(__xludf.DUMMYFUNCTION("IF(IF(M$1="""","""",REGEXMATCH(LOWER($E183),XLOOKUP(M$1,Metadata!$A$2:$A1000,Metadata!$B$2:$B1000))),M$1,"""")"),"")</f>
        <v/>
      </c>
      <c r="N183" s="34" t="str">
        <f>IFERROR(__xludf.DUMMYFUNCTION("IF(IF(N$1="""","""",REGEXMATCH(LOWER($E183),XLOOKUP(N$1,Metadata!$A$2:$A1000,Metadata!$B$2:$B1000))),N$1,"""")"),"")</f>
        <v/>
      </c>
      <c r="O183" s="34" t="str">
        <f>IFERROR(__xludf.DUMMYFUNCTION("IF(IF(O$1="""","""",REGEXMATCH(LOWER($E183),XLOOKUP(O$1,Metadata!$A$2:$A1000,Metadata!$B$2:$B1000))),O$1,"""")"),"")</f>
        <v/>
      </c>
      <c r="P183" s="34" t="str">
        <f>IFERROR(__xludf.DUMMYFUNCTION("IF(IF(P$1="""","""",REGEXMATCH(LOWER($E183),XLOOKUP(P$1,Metadata!$A$2:$A1000,Metadata!$B$2:$B1000))),P$1,"""")"),"")</f>
        <v/>
      </c>
      <c r="Q183" s="34" t="str">
        <f>IFERROR(__xludf.DUMMYFUNCTION("IF(IF(Q$1="""","""",REGEXMATCH(LOWER($E183),XLOOKUP(Q$1,Metadata!$A$2:$A1000,Metadata!$B$2:$B1000))),Q$1,"""")"),"")</f>
        <v/>
      </c>
      <c r="R183" s="34" t="str">
        <f>IFERROR(__xludf.DUMMYFUNCTION("IF(IF(R$1="""","""",REGEXMATCH(LOWER($E183),XLOOKUP(R$1,Metadata!$A$2:$A1000,Metadata!$B$2:$B1000))),R$1,"""")"),"")</f>
        <v/>
      </c>
      <c r="S183" s="34" t="str">
        <f>IFERROR(__xludf.DUMMYFUNCTION("IF(IF(S$1="""","""",REGEXMATCH(LOWER($E183),XLOOKUP(S$1,Metadata!$A$2:$A1000,Metadata!$B$2:$B1000))),S$1,"""")"),"")</f>
        <v/>
      </c>
      <c r="T183" s="34" t="str">
        <f>IFERROR(__xludf.DUMMYFUNCTION("IF(IF(T$1="""","""",REGEXMATCH(LOWER($E183),XLOOKUP(T$1,Metadata!$A$2:$A1000,Metadata!$B$2:$B1000))),T$1,"""")"),"")</f>
        <v/>
      </c>
      <c r="U183" s="34" t="str">
        <f>IFERROR(__xludf.DUMMYFUNCTION("IF(IF(U$1="""","""",REGEXMATCH(LOWER($E183),XLOOKUP(U$1,Metadata!$A$2:$A1000,Metadata!$B$2:$B1000))),U$1,"""")"),"")</f>
        <v/>
      </c>
      <c r="V183" s="34" t="str">
        <f>IFERROR(__xludf.DUMMYFUNCTION("IF(IF(V$1="""","""",REGEXMATCH(LOWER($E183),XLOOKUP(V$1,Metadata!$A$2:$A1000,Metadata!$B$2:$B1000))),V$1,"""")"),"")</f>
        <v/>
      </c>
      <c r="W183" s="34" t="str">
        <f>IFERROR(__xludf.DUMMYFUNCTION("IF(IF(W$1="""","""",REGEXMATCH(LOWER($E183),XLOOKUP(W$1,Metadata!$A$2:$A1000,Metadata!$B$2:$B1000))),W$1,"""")"),"")</f>
        <v/>
      </c>
      <c r="X183" s="34" t="str">
        <f>IFERROR(__xludf.DUMMYFUNCTION("IF(IF(X$1="""","""",REGEXMATCH(LOWER($E183),XLOOKUP(X$1,Metadata!$A$2:$A1000,Metadata!$B$2:$B1000))),X$1,"""")"),"")</f>
        <v/>
      </c>
      <c r="Y183" s="34" t="str">
        <f>IFERROR(__xludf.DUMMYFUNCTION("IF(IF(Y$1="""","""",REGEXMATCH(LOWER($E183),XLOOKUP(Y$1,Metadata!$A$2:$A1000,Metadata!$B$2:$B1000))),Y$1,"""")"),"")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I184">XLOOKUP($A184,Cards!$A$2:$A1000,Cards!$B$2:$I1000,"")</f>
        <v>Mortal</v>
      </c>
      <c r="C184" s="34">
        <v>0.0</v>
      </c>
      <c r="D184" s="34" t="s">
        <v>238</v>
      </c>
      <c r="E184" s="34" t="s">
        <v>1241</v>
      </c>
      <c r="F184" s="34" t="s">
        <v>1242</v>
      </c>
      <c r="G184" s="34">
        <v>4.0</v>
      </c>
      <c r="H184" s="34" t="s">
        <v>1167</v>
      </c>
      <c r="I184" s="34" t="s">
        <v>70</v>
      </c>
      <c r="J184" s="34">
        <f>IFERROR(__xludf.DUMMYFUNCTION("LEN(REGEXREPLACE(XLOOKUP($A184,Cards!$A$2:$A1000,Cards!$H$2:$H1000,""""),"",\s"",""""))"),5.0)</f>
        <v>5</v>
      </c>
      <c r="K184" s="34" t="str">
        <f t="shared" si="1"/>
        <v>      Ramp         </v>
      </c>
      <c r="L184" s="34" t="str">
        <f>IFERROR(__xludf.DUMMYFUNCTION("IF(IF(L$1="""","""",REGEXMATCH(LOWER($E184),XLOOKUP(L$1,Metadata!$A$2:$A1000,Metadata!$B$2:$B1000))),L$1,"""")"),"")</f>
        <v/>
      </c>
      <c r="M184" s="34" t="str">
        <f>IFERROR(__xludf.DUMMYFUNCTION("IF(IF(M$1="""","""",REGEXMATCH(LOWER($E184),XLOOKUP(M$1,Metadata!$A$2:$A1000,Metadata!$B$2:$B1000))),M$1,"""")"),"")</f>
        <v/>
      </c>
      <c r="N184" s="34" t="str">
        <f>IFERROR(__xludf.DUMMYFUNCTION("IF(IF(N$1="""","""",REGEXMATCH(LOWER($E184),XLOOKUP(N$1,Metadata!$A$2:$A1000,Metadata!$B$2:$B1000))),N$1,"""")"),"")</f>
        <v/>
      </c>
      <c r="O184" s="34" t="str">
        <f>IFERROR(__xludf.DUMMYFUNCTION("IF(IF(O$1="""","""",REGEXMATCH(LOWER($E184),XLOOKUP(O$1,Metadata!$A$2:$A1000,Metadata!$B$2:$B1000))),O$1,"""")"),"")</f>
        <v/>
      </c>
      <c r="P184" s="34" t="str">
        <f>IFERROR(__xludf.DUMMYFUNCTION("IF(IF(P$1="""","""",REGEXMATCH(LOWER($E184),XLOOKUP(P$1,Metadata!$A$2:$A1000,Metadata!$B$2:$B1000))),P$1,"""")"),"")</f>
        <v/>
      </c>
      <c r="Q184" s="34" t="str">
        <f>IFERROR(__xludf.DUMMYFUNCTION("IF(IF(Q$1="""","""",REGEXMATCH(LOWER($E184),XLOOKUP(Q$1,Metadata!$A$2:$A1000,Metadata!$B$2:$B1000))),Q$1,"""")"),"")</f>
        <v/>
      </c>
      <c r="R184" s="34" t="str">
        <f>IFERROR(__xludf.DUMMYFUNCTION("IF(IF(R$1="""","""",REGEXMATCH(LOWER($E184),XLOOKUP(R$1,Metadata!$A$2:$A1000,Metadata!$B$2:$B1000))),R$1,"""")"),"Ramp")</f>
        <v>Ramp</v>
      </c>
      <c r="S184" s="34" t="str">
        <f>IFERROR(__xludf.DUMMYFUNCTION("IF(IF(S$1="""","""",REGEXMATCH(LOWER($E184),XLOOKUP(S$1,Metadata!$A$2:$A1000,Metadata!$B$2:$B1000))),S$1,"""")"),"")</f>
        <v/>
      </c>
      <c r="T184" s="34" t="str">
        <f>IFERROR(__xludf.DUMMYFUNCTION("IF(IF(T$1="""","""",REGEXMATCH(LOWER($E184),XLOOKUP(T$1,Metadata!$A$2:$A1000,Metadata!$B$2:$B1000))),T$1,"""")"),"")</f>
        <v/>
      </c>
      <c r="U184" s="34" t="str">
        <f>IFERROR(__xludf.DUMMYFUNCTION("IF(IF(U$1="""","""",REGEXMATCH(LOWER($E184),XLOOKUP(U$1,Metadata!$A$2:$A1000,Metadata!$B$2:$B1000))),U$1,"""")"),"")</f>
        <v/>
      </c>
      <c r="V184" s="34" t="str">
        <f>IFERROR(__xludf.DUMMYFUNCTION("IF(IF(V$1="""","""",REGEXMATCH(LOWER($E184),XLOOKUP(V$1,Metadata!$A$2:$A1000,Metadata!$B$2:$B1000))),V$1,"""")"),"")</f>
        <v/>
      </c>
      <c r="W184" s="34" t="str">
        <f>IFERROR(__xludf.DUMMYFUNCTION("IF(IF(W$1="""","""",REGEXMATCH(LOWER($E184),XLOOKUP(W$1,Metadata!$A$2:$A1000,Metadata!$B$2:$B1000))),W$1,"""")"),"")</f>
        <v/>
      </c>
      <c r="X184" s="34" t="str">
        <f>IFERROR(__xludf.DUMMYFUNCTION("IF(IF(X$1="""","""",REGEXMATCH(LOWER($E184),XLOOKUP(X$1,Metadata!$A$2:$A1000,Metadata!$B$2:$B1000))),X$1,"""")"),"")</f>
        <v/>
      </c>
      <c r="Y184" s="34" t="str">
        <f>IFERROR(__xludf.DUMMYFUNCTION("IF(IF(Y$1="""","""",REGEXMATCH(LOWER($E184),XLOOKUP(Y$1,Metadata!$A$2:$A1000,Metadata!$B$2:$B1000))),Y$1,"""")"),"")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I185">XLOOKUP($A185,Cards!$A$2:$A1000,Cards!$B$2:$I1000,"")</f>
        <v>Mortal</v>
      </c>
      <c r="C185" s="34">
        <v>2.0</v>
      </c>
      <c r="D185" s="34" t="s">
        <v>998</v>
      </c>
      <c r="E185" s="34" t="s">
        <v>1244</v>
      </c>
      <c r="F185" s="34" t="s">
        <v>659</v>
      </c>
      <c r="G185" s="34">
        <v>2.0</v>
      </c>
      <c r="H185" s="34" t="s">
        <v>1245</v>
      </c>
      <c r="I185" s="34" t="s">
        <v>70</v>
      </c>
      <c r="J185" s="34">
        <f>IFERROR(__xludf.DUMMYFUNCTION("LEN(REGEXREPLACE(XLOOKUP($A185,Cards!$A$2:$A1000,Cards!$H$2:$H1000,""""),"",\s"",""""))"),3.0)</f>
        <v>3</v>
      </c>
      <c r="K185" s="34" t="str">
        <f t="shared" si="1"/>
        <v>               </v>
      </c>
      <c r="L185" s="34" t="str">
        <f>IFERROR(__xludf.DUMMYFUNCTION("IF(IF(L$1="""","""",REGEXMATCH(LOWER($E185),XLOOKUP(L$1,Metadata!$A$2:$A1000,Metadata!$B$2:$B1000))),L$1,"""")"),"")</f>
        <v/>
      </c>
      <c r="M185" s="34" t="str">
        <f>IFERROR(__xludf.DUMMYFUNCTION("IF(IF(M$1="""","""",REGEXMATCH(LOWER($E185),XLOOKUP(M$1,Metadata!$A$2:$A1000,Metadata!$B$2:$B1000))),M$1,"""")"),"")</f>
        <v/>
      </c>
      <c r="N185" s="34" t="str">
        <f>IFERROR(__xludf.DUMMYFUNCTION("IF(IF(N$1="""","""",REGEXMATCH(LOWER($E185),XLOOKUP(N$1,Metadata!$A$2:$A1000,Metadata!$B$2:$B1000))),N$1,"""")"),"")</f>
        <v/>
      </c>
      <c r="O185" s="34" t="str">
        <f>IFERROR(__xludf.DUMMYFUNCTION("IF(IF(O$1="""","""",REGEXMATCH(LOWER($E185),XLOOKUP(O$1,Metadata!$A$2:$A1000,Metadata!$B$2:$B1000))),O$1,"""")"),"")</f>
        <v/>
      </c>
      <c r="P185" s="34" t="str">
        <f>IFERROR(__xludf.DUMMYFUNCTION("IF(IF(P$1="""","""",REGEXMATCH(LOWER($E185),XLOOKUP(P$1,Metadata!$A$2:$A1000,Metadata!$B$2:$B1000))),P$1,"""")"),"")</f>
        <v/>
      </c>
      <c r="Q185" s="34" t="str">
        <f>IFERROR(__xludf.DUMMYFUNCTION("IF(IF(Q$1="""","""",REGEXMATCH(LOWER($E185),XLOOKUP(Q$1,Metadata!$A$2:$A1000,Metadata!$B$2:$B1000))),Q$1,"""")"),"")</f>
        <v/>
      </c>
      <c r="R185" s="34" t="str">
        <f>IFERROR(__xludf.DUMMYFUNCTION("IF(IF(R$1="""","""",REGEXMATCH(LOWER($E185),XLOOKUP(R$1,Metadata!$A$2:$A1000,Metadata!$B$2:$B1000))),R$1,"""")"),"")</f>
        <v/>
      </c>
      <c r="S185" s="34" t="str">
        <f>IFERROR(__xludf.DUMMYFUNCTION("IF(IF(S$1="""","""",REGEXMATCH(LOWER($E185),XLOOKUP(S$1,Metadata!$A$2:$A1000,Metadata!$B$2:$B1000))),S$1,"""")"),"")</f>
        <v/>
      </c>
      <c r="T185" s="34" t="str">
        <f>IFERROR(__xludf.DUMMYFUNCTION("IF(IF(T$1="""","""",REGEXMATCH(LOWER($E185),XLOOKUP(T$1,Metadata!$A$2:$A1000,Metadata!$B$2:$B1000))),T$1,"""")"),"")</f>
        <v/>
      </c>
      <c r="U185" s="34" t="str">
        <f>IFERROR(__xludf.DUMMYFUNCTION("IF(IF(U$1="""","""",REGEXMATCH(LOWER($E185),XLOOKUP(U$1,Metadata!$A$2:$A1000,Metadata!$B$2:$B1000))),U$1,"""")"),"")</f>
        <v/>
      </c>
      <c r="V185" s="34" t="str">
        <f>IFERROR(__xludf.DUMMYFUNCTION("IF(IF(V$1="""","""",REGEXMATCH(LOWER($E185),XLOOKUP(V$1,Metadata!$A$2:$A1000,Metadata!$B$2:$B1000))),V$1,"""")"),"")</f>
        <v/>
      </c>
      <c r="W185" s="34" t="str">
        <f>IFERROR(__xludf.DUMMYFUNCTION("IF(IF(W$1="""","""",REGEXMATCH(LOWER($E185),XLOOKUP(W$1,Metadata!$A$2:$A1000,Metadata!$B$2:$B1000))),W$1,"""")"),"")</f>
        <v/>
      </c>
      <c r="X185" s="34" t="str">
        <f>IFERROR(__xludf.DUMMYFUNCTION("IF(IF(X$1="""","""",REGEXMATCH(LOWER($E185),XLOOKUP(X$1,Metadata!$A$2:$A1000,Metadata!$B$2:$B1000))),X$1,"""")"),"")</f>
        <v/>
      </c>
      <c r="Y185" s="34" t="str">
        <f>IFERROR(__xludf.DUMMYFUNCTION("IF(IF(Y$1="""","""",REGEXMATCH(LOWER($E185),XLOOKUP(Y$1,Metadata!$A$2:$A1000,Metadata!$B$2:$B1000))),Y$1,"""")"),"")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I186">XLOOKUP($A186,Cards!$A$2:$A1000,Cards!$B$2:$I1000,"")</f>
        <v>Mortal</v>
      </c>
      <c r="C186" s="34">
        <v>1.0</v>
      </c>
      <c r="D186" s="34" t="s">
        <v>37</v>
      </c>
      <c r="E186" s="34" t="s">
        <v>60</v>
      </c>
      <c r="F186" s="34" t="s">
        <v>1247</v>
      </c>
      <c r="G186" s="34">
        <v>1.0</v>
      </c>
      <c r="H186" s="34" t="s">
        <v>1164</v>
      </c>
      <c r="I186" s="34" t="s">
        <v>26</v>
      </c>
      <c r="J186" s="34">
        <f>IFERROR(__xludf.DUMMYFUNCTION("LEN(REGEXREPLACE(XLOOKUP($A186,Cards!$A$2:$A1000,Cards!$H$2:$H1000,""""),"",\s"",""""))"),1.0)</f>
        <v>1</v>
      </c>
      <c r="K186" s="34" t="str">
        <f t="shared" si="1"/>
        <v>               </v>
      </c>
      <c r="L186" s="34" t="str">
        <f>IFERROR(__xludf.DUMMYFUNCTION("IF(IF(L$1="""","""",REGEXMATCH(LOWER($E186),XLOOKUP(L$1,Metadata!$A$2:$A1000,Metadata!$B$2:$B1000))),L$1,"""")"),"")</f>
        <v/>
      </c>
      <c r="M186" s="34" t="str">
        <f>IFERROR(__xludf.DUMMYFUNCTION("IF(IF(M$1="""","""",REGEXMATCH(LOWER($E186),XLOOKUP(M$1,Metadata!$A$2:$A1000,Metadata!$B$2:$B1000))),M$1,"""")"),"")</f>
        <v/>
      </c>
      <c r="N186" s="34" t="str">
        <f>IFERROR(__xludf.DUMMYFUNCTION("IF(IF(N$1="""","""",REGEXMATCH(LOWER($E186),XLOOKUP(N$1,Metadata!$A$2:$A1000,Metadata!$B$2:$B1000))),N$1,"""")"),"")</f>
        <v/>
      </c>
      <c r="O186" s="34" t="str">
        <f>IFERROR(__xludf.DUMMYFUNCTION("IF(IF(O$1="""","""",REGEXMATCH(LOWER($E186),XLOOKUP(O$1,Metadata!$A$2:$A1000,Metadata!$B$2:$B1000))),O$1,"""")"),"")</f>
        <v/>
      </c>
      <c r="P186" s="34" t="str">
        <f>IFERROR(__xludf.DUMMYFUNCTION("IF(IF(P$1="""","""",REGEXMATCH(LOWER($E186),XLOOKUP(P$1,Metadata!$A$2:$A1000,Metadata!$B$2:$B1000))),P$1,"""")"),"")</f>
        <v/>
      </c>
      <c r="Q186" s="34" t="str">
        <f>IFERROR(__xludf.DUMMYFUNCTION("IF(IF(Q$1="""","""",REGEXMATCH(LOWER($E186),XLOOKUP(Q$1,Metadata!$A$2:$A1000,Metadata!$B$2:$B1000))),Q$1,"""")"),"")</f>
        <v/>
      </c>
      <c r="R186" s="34" t="str">
        <f>IFERROR(__xludf.DUMMYFUNCTION("IF(IF(R$1="""","""",REGEXMATCH(LOWER($E186),XLOOKUP(R$1,Metadata!$A$2:$A1000,Metadata!$B$2:$B1000))),R$1,"""")"),"")</f>
        <v/>
      </c>
      <c r="S186" s="34" t="str">
        <f>IFERROR(__xludf.DUMMYFUNCTION("IF(IF(S$1="""","""",REGEXMATCH(LOWER($E186),XLOOKUP(S$1,Metadata!$A$2:$A1000,Metadata!$B$2:$B1000))),S$1,"""")"),"")</f>
        <v/>
      </c>
      <c r="T186" s="34" t="str">
        <f>IFERROR(__xludf.DUMMYFUNCTION("IF(IF(T$1="""","""",REGEXMATCH(LOWER($E186),XLOOKUP(T$1,Metadata!$A$2:$A1000,Metadata!$B$2:$B1000))),T$1,"""")"),"")</f>
        <v/>
      </c>
      <c r="U186" s="34" t="str">
        <f>IFERROR(__xludf.DUMMYFUNCTION("IF(IF(U$1="""","""",REGEXMATCH(LOWER($E186),XLOOKUP(U$1,Metadata!$A$2:$A1000,Metadata!$B$2:$B1000))),U$1,"""")"),"")</f>
        <v/>
      </c>
      <c r="V186" s="34" t="str">
        <f>IFERROR(__xludf.DUMMYFUNCTION("IF(IF(V$1="""","""",REGEXMATCH(LOWER($E186),XLOOKUP(V$1,Metadata!$A$2:$A1000,Metadata!$B$2:$B1000))),V$1,"""")"),"")</f>
        <v/>
      </c>
      <c r="W186" s="34" t="str">
        <f>IFERROR(__xludf.DUMMYFUNCTION("IF(IF(W$1="""","""",REGEXMATCH(LOWER($E186),XLOOKUP(W$1,Metadata!$A$2:$A1000,Metadata!$B$2:$B1000))),W$1,"""")"),"")</f>
        <v/>
      </c>
      <c r="X186" s="34" t="str">
        <f>IFERROR(__xludf.DUMMYFUNCTION("IF(IF(X$1="""","""",REGEXMATCH(LOWER($E186),XLOOKUP(X$1,Metadata!$A$2:$A1000,Metadata!$B$2:$B1000))),X$1,"""")"),"")</f>
        <v/>
      </c>
      <c r="Y186" s="34" t="str">
        <f>IFERROR(__xludf.DUMMYFUNCTION("IF(IF(Y$1="""","""",REGEXMATCH(LOWER($E186),XLOOKUP(Y$1,Metadata!$A$2:$A1000,Metadata!$B$2:$B1000))),Y$1,"""")"),"")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I187">XLOOKUP($A187,Cards!$A$2:$A1000,Cards!$B$2:$I1000,"")</f>
        <v>Mortal</v>
      </c>
      <c r="C187" s="34">
        <v>2.0</v>
      </c>
      <c r="D187" s="34" t="s">
        <v>111</v>
      </c>
      <c r="E187" s="34" t="s">
        <v>1259</v>
      </c>
      <c r="F187" s="34" t="s">
        <v>1260</v>
      </c>
      <c r="G187" s="34">
        <v>1.0</v>
      </c>
      <c r="H187" s="34" t="s">
        <v>1164</v>
      </c>
      <c r="I187" s="34" t="s">
        <v>26</v>
      </c>
      <c r="J187" s="34">
        <f>IFERROR(__xludf.DUMMYFUNCTION("LEN(REGEXREPLACE(XLOOKUP($A187,Cards!$A$2:$A1000,Cards!$H$2:$H1000,""""),"",\s"",""""))"),1.0)</f>
        <v>1</v>
      </c>
      <c r="K187" s="34" t="str">
        <f t="shared" si="1"/>
        <v>       Control Copy    Ambush   </v>
      </c>
      <c r="L187" s="34" t="str">
        <f>IFERROR(__xludf.DUMMYFUNCTION("IF(IF(L$1="""","""",REGEXMATCH(LOWER($E187),XLOOKUP(L$1,Metadata!$A$2:$A1000,Metadata!$B$2:$B1000))),L$1,"""")"),"")</f>
        <v/>
      </c>
      <c r="M187" s="34" t="str">
        <f>IFERROR(__xludf.DUMMYFUNCTION("IF(IF(M$1="""","""",REGEXMATCH(LOWER($E187),XLOOKUP(M$1,Metadata!$A$2:$A1000,Metadata!$B$2:$B1000))),M$1,"""")"),"")</f>
        <v/>
      </c>
      <c r="N187" s="34" t="str">
        <f>IFERROR(__xludf.DUMMYFUNCTION("IF(IF(N$1="""","""",REGEXMATCH(LOWER($E187),XLOOKUP(N$1,Metadata!$A$2:$A1000,Metadata!$B$2:$B1000))),N$1,"""")"),"")</f>
        <v/>
      </c>
      <c r="O187" s="34" t="str">
        <f>IFERROR(__xludf.DUMMYFUNCTION("IF(IF(O$1="""","""",REGEXMATCH(LOWER($E187),XLOOKUP(O$1,Metadata!$A$2:$A1000,Metadata!$B$2:$B1000))),O$1,"""")"),"")</f>
        <v/>
      </c>
      <c r="P187" s="34" t="str">
        <f>IFERROR(__xludf.DUMMYFUNCTION("IF(IF(P$1="""","""",REGEXMATCH(LOWER($E187),XLOOKUP(P$1,Metadata!$A$2:$A1000,Metadata!$B$2:$B1000))),P$1,"""")"),"")</f>
        <v/>
      </c>
      <c r="Q187" s="34" t="str">
        <f>IFERROR(__xludf.DUMMYFUNCTION("IF(IF(Q$1="""","""",REGEXMATCH(LOWER($E187),XLOOKUP(Q$1,Metadata!$A$2:$A1000,Metadata!$B$2:$B1000))),Q$1,"""")"),"")</f>
        <v/>
      </c>
      <c r="R187" s="34" t="str">
        <f>IFERROR(__xludf.DUMMYFUNCTION("IF(IF(R$1="""","""",REGEXMATCH(LOWER($E187),XLOOKUP(R$1,Metadata!$A$2:$A1000,Metadata!$B$2:$B1000))),R$1,"""")"),"")</f>
        <v/>
      </c>
      <c r="S187" s="34" t="str">
        <f>IFERROR(__xludf.DUMMYFUNCTION("IF(IF(S$1="""","""",REGEXMATCH(LOWER($E187),XLOOKUP(S$1,Metadata!$A$2:$A1000,Metadata!$B$2:$B1000))),S$1,"""")"),"Control")</f>
        <v>Control</v>
      </c>
      <c r="T187" s="34" t="str">
        <f>IFERROR(__xludf.DUMMYFUNCTION("IF(IF(T$1="""","""",REGEXMATCH(LOWER($E187),XLOOKUP(T$1,Metadata!$A$2:$A1000,Metadata!$B$2:$B1000))),T$1,"""")"),"Copy")</f>
        <v>Copy</v>
      </c>
      <c r="U187" s="34" t="str">
        <f>IFERROR(__xludf.DUMMYFUNCTION("IF(IF(U$1="""","""",REGEXMATCH(LOWER($E187),XLOOKUP(U$1,Metadata!$A$2:$A1000,Metadata!$B$2:$B1000))),U$1,"""")"),"")</f>
        <v/>
      </c>
      <c r="V187" s="34" t="str">
        <f>IFERROR(__xludf.DUMMYFUNCTION("IF(IF(V$1="""","""",REGEXMATCH(LOWER($E187),XLOOKUP(V$1,Metadata!$A$2:$A1000,Metadata!$B$2:$B1000))),V$1,"""")"),"")</f>
        <v/>
      </c>
      <c r="W187" s="34" t="str">
        <f>IFERROR(__xludf.DUMMYFUNCTION("IF(IF(W$1="""","""",REGEXMATCH(LOWER($E187),XLOOKUP(W$1,Metadata!$A$2:$A1000,Metadata!$B$2:$B1000))),W$1,"""")"),"")</f>
        <v/>
      </c>
      <c r="X187" s="34" t="str">
        <f>IFERROR(__xludf.DUMMYFUNCTION("IF(IF(X$1="""","""",REGEXMATCH(LOWER($E187),XLOOKUP(X$1,Metadata!$A$2:$A1000,Metadata!$B$2:$B1000))),X$1,"""")"),"Ambush")</f>
        <v>Ambush</v>
      </c>
      <c r="Y187" s="34" t="str">
        <f>IFERROR(__xludf.DUMMYFUNCTION("IF(IF(Y$1="""","""",REGEXMATCH(LOWER($E187),XLOOKUP(Y$1,Metadata!$A$2:$A1000,Metadata!$B$2:$B1000))),Y$1,"""")"),"")</f>
        <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I188">XLOOKUP($A188,Cards!$A$2:$A1000,Cards!$B$2:$I1000,"")</f>
        <v>Mortal</v>
      </c>
      <c r="C188" s="34">
        <v>1.0</v>
      </c>
      <c r="D188" s="34" t="s">
        <v>133</v>
      </c>
      <c r="E188" s="34" t="s">
        <v>1262</v>
      </c>
      <c r="F188" s="34" t="s">
        <v>1263</v>
      </c>
      <c r="G188" s="34">
        <v>3.0</v>
      </c>
      <c r="H188" s="34" t="s">
        <v>1264</v>
      </c>
      <c r="I188" s="34" t="s">
        <v>26</v>
      </c>
      <c r="J188" s="34">
        <f>IFERROR(__xludf.DUMMYFUNCTION("LEN(REGEXREPLACE(XLOOKUP($A188,Cards!$A$2:$A1000,Cards!$H$2:$H1000,""""),"",\s"",""""))"),6.0)</f>
        <v>6</v>
      </c>
      <c r="K188" s="34" t="str">
        <f t="shared" si="1"/>
        <v>               </v>
      </c>
      <c r="L188" s="34" t="str">
        <f>IFERROR(__xludf.DUMMYFUNCTION("IF(IF(L$1="""","""",REGEXMATCH(LOWER($E188),XLOOKUP(L$1,Metadata!$A$2:$A1000,Metadata!$B$2:$B1000))),L$1,"""")"),"")</f>
        <v/>
      </c>
      <c r="M188" s="34" t="str">
        <f>IFERROR(__xludf.DUMMYFUNCTION("IF(IF(M$1="""","""",REGEXMATCH(LOWER($E188),XLOOKUP(M$1,Metadata!$A$2:$A1000,Metadata!$B$2:$B1000))),M$1,"""")"),"")</f>
        <v/>
      </c>
      <c r="N188" s="34" t="str">
        <f>IFERROR(__xludf.DUMMYFUNCTION("IF(IF(N$1="""","""",REGEXMATCH(LOWER($E188),XLOOKUP(N$1,Metadata!$A$2:$A1000,Metadata!$B$2:$B1000))),N$1,"""")"),"")</f>
        <v/>
      </c>
      <c r="O188" s="34" t="str">
        <f>IFERROR(__xludf.DUMMYFUNCTION("IF(IF(O$1="""","""",REGEXMATCH(LOWER($E188),XLOOKUP(O$1,Metadata!$A$2:$A1000,Metadata!$B$2:$B1000))),O$1,"""")"),"")</f>
        <v/>
      </c>
      <c r="P188" s="34" t="str">
        <f>IFERROR(__xludf.DUMMYFUNCTION("IF(IF(P$1="""","""",REGEXMATCH(LOWER($E188),XLOOKUP(P$1,Metadata!$A$2:$A1000,Metadata!$B$2:$B1000))),P$1,"""")"),"")</f>
        <v/>
      </c>
      <c r="Q188" s="34" t="str">
        <f>IFERROR(__xludf.DUMMYFUNCTION("IF(IF(Q$1="""","""",REGEXMATCH(LOWER($E188),XLOOKUP(Q$1,Metadata!$A$2:$A1000,Metadata!$B$2:$B1000))),Q$1,"""")"),"")</f>
        <v/>
      </c>
      <c r="R188" s="34" t="str">
        <f>IFERROR(__xludf.DUMMYFUNCTION("IF(IF(R$1="""","""",REGEXMATCH(LOWER($E188),XLOOKUP(R$1,Metadata!$A$2:$A1000,Metadata!$B$2:$B1000))),R$1,"""")"),"")</f>
        <v/>
      </c>
      <c r="S188" s="34" t="str">
        <f>IFERROR(__xludf.DUMMYFUNCTION("IF(IF(S$1="""","""",REGEXMATCH(LOWER($E188),XLOOKUP(S$1,Metadata!$A$2:$A1000,Metadata!$B$2:$B1000))),S$1,"""")"),"")</f>
        <v/>
      </c>
      <c r="T188" s="34" t="str">
        <f>IFERROR(__xludf.DUMMYFUNCTION("IF(IF(T$1="""","""",REGEXMATCH(LOWER($E188),XLOOKUP(T$1,Metadata!$A$2:$A1000,Metadata!$B$2:$B1000))),T$1,"""")"),"")</f>
        <v/>
      </c>
      <c r="U188" s="34" t="str">
        <f>IFERROR(__xludf.DUMMYFUNCTION("IF(IF(U$1="""","""",REGEXMATCH(LOWER($E188),XLOOKUP(U$1,Metadata!$A$2:$A1000,Metadata!$B$2:$B1000))),U$1,"""")"),"")</f>
        <v/>
      </c>
      <c r="V188" s="34" t="str">
        <f>IFERROR(__xludf.DUMMYFUNCTION("IF(IF(V$1="""","""",REGEXMATCH(LOWER($E188),XLOOKUP(V$1,Metadata!$A$2:$A1000,Metadata!$B$2:$B1000))),V$1,"""")"),"")</f>
        <v/>
      </c>
      <c r="W188" s="34" t="str">
        <f>IFERROR(__xludf.DUMMYFUNCTION("IF(IF(W$1="""","""",REGEXMATCH(LOWER($E188),XLOOKUP(W$1,Metadata!$A$2:$A1000,Metadata!$B$2:$B1000))),W$1,"""")"),"")</f>
        <v/>
      </c>
      <c r="X188" s="34" t="str">
        <f>IFERROR(__xludf.DUMMYFUNCTION("IF(IF(X$1="""","""",REGEXMATCH(LOWER($E188),XLOOKUP(X$1,Metadata!$A$2:$A1000,Metadata!$B$2:$B1000))),X$1,"""")"),"")</f>
        <v/>
      </c>
      <c r="Y188" s="34" t="str">
        <f>IFERROR(__xludf.DUMMYFUNCTION("IF(IF(Y$1="""","""",REGEXMATCH(LOWER($E188),XLOOKUP(Y$1,Metadata!$A$2:$A1000,Metadata!$B$2:$B1000))),Y$1,"""")"),"")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I189">XLOOKUP($A189,Cards!$A$2:$A1000,Cards!$B$2:$I1000,"")</f>
        <v>Mortal</v>
      </c>
      <c r="C189" s="34">
        <v>1.0</v>
      </c>
      <c r="D189" s="34" t="s">
        <v>433</v>
      </c>
      <c r="E189" s="34" t="s">
        <v>1272</v>
      </c>
      <c r="F189" s="34" t="s">
        <v>1273</v>
      </c>
      <c r="G189" s="34">
        <v>2.0</v>
      </c>
      <c r="H189" s="34" t="s">
        <v>1095</v>
      </c>
      <c r="I189" s="34" t="s">
        <v>26</v>
      </c>
      <c r="J189" s="34">
        <f>IFERROR(__xludf.DUMMYFUNCTION("LEN(REGEXREPLACE(XLOOKUP($A189,Cards!$A$2:$A1000,Cards!$H$2:$H1000,""""),"",\s"",""""))"),4.0)</f>
        <v>4</v>
      </c>
      <c r="K189" s="34" t="str">
        <f t="shared" si="1"/>
        <v>           Move    </v>
      </c>
      <c r="L189" s="34" t="str">
        <f>IFERROR(__xludf.DUMMYFUNCTION("IF(IF(L$1="""","""",REGEXMATCH(LOWER($E189),XLOOKUP(L$1,Metadata!$A$2:$A1000,Metadata!$B$2:$B1000))),L$1,"""")"),"")</f>
        <v/>
      </c>
      <c r="M189" s="34" t="str">
        <f>IFERROR(__xludf.DUMMYFUNCTION("IF(IF(M$1="""","""",REGEXMATCH(LOWER($E189),XLOOKUP(M$1,Metadata!$A$2:$A1000,Metadata!$B$2:$B1000))),M$1,"""")"),"")</f>
        <v/>
      </c>
      <c r="N189" s="34" t="str">
        <f>IFERROR(__xludf.DUMMYFUNCTION("IF(IF(N$1="""","""",REGEXMATCH(LOWER($E189),XLOOKUP(N$1,Metadata!$A$2:$A1000,Metadata!$B$2:$B1000))),N$1,"""")"),"")</f>
        <v/>
      </c>
      <c r="O189" s="34" t="str">
        <f>IFERROR(__xludf.DUMMYFUNCTION("IF(IF(O$1="""","""",REGEXMATCH(LOWER($E189),XLOOKUP(O$1,Metadata!$A$2:$A1000,Metadata!$B$2:$B1000))),O$1,"""")"),"")</f>
        <v/>
      </c>
      <c r="P189" s="34" t="str">
        <f>IFERROR(__xludf.DUMMYFUNCTION("IF(IF(P$1="""","""",REGEXMATCH(LOWER($E189),XLOOKUP(P$1,Metadata!$A$2:$A1000,Metadata!$B$2:$B1000))),P$1,"""")"),"")</f>
        <v/>
      </c>
      <c r="Q189" s="34" t="str">
        <f>IFERROR(__xludf.DUMMYFUNCTION("IF(IF(Q$1="""","""",REGEXMATCH(LOWER($E189),XLOOKUP(Q$1,Metadata!$A$2:$A1000,Metadata!$B$2:$B1000))),Q$1,"""")"),"")</f>
        <v/>
      </c>
      <c r="R189" s="34" t="str">
        <f>IFERROR(__xludf.DUMMYFUNCTION("IF(IF(R$1="""","""",REGEXMATCH(LOWER($E189),XLOOKUP(R$1,Metadata!$A$2:$A1000,Metadata!$B$2:$B1000))),R$1,"""")"),"")</f>
        <v/>
      </c>
      <c r="S189" s="34" t="str">
        <f>IFERROR(__xludf.DUMMYFUNCTION("IF(IF(S$1="""","""",REGEXMATCH(LOWER($E189),XLOOKUP(S$1,Metadata!$A$2:$A1000,Metadata!$B$2:$B1000))),S$1,"""")"),"")</f>
        <v/>
      </c>
      <c r="T189" s="34" t="str">
        <f>IFERROR(__xludf.DUMMYFUNCTION("IF(IF(T$1="""","""",REGEXMATCH(LOWER($E189),XLOOKUP(T$1,Metadata!$A$2:$A1000,Metadata!$B$2:$B1000))),T$1,"""")"),"")</f>
        <v/>
      </c>
      <c r="U189" s="34" t="str">
        <f>IFERROR(__xludf.DUMMYFUNCTION("IF(IF(U$1="""","""",REGEXMATCH(LOWER($E189),XLOOKUP(U$1,Metadata!$A$2:$A1000,Metadata!$B$2:$B1000))),U$1,"""")"),"")</f>
        <v/>
      </c>
      <c r="V189" s="34" t="str">
        <f>IFERROR(__xludf.DUMMYFUNCTION("IF(IF(V$1="""","""",REGEXMATCH(LOWER($E189),XLOOKUP(V$1,Metadata!$A$2:$A1000,Metadata!$B$2:$B1000))),V$1,"""")"),"")</f>
        <v/>
      </c>
      <c r="W189" s="34" t="str">
        <f>IFERROR(__xludf.DUMMYFUNCTION("IF(IF(W$1="""","""",REGEXMATCH(LOWER($E189),XLOOKUP(W$1,Metadata!$A$2:$A1000,Metadata!$B$2:$B1000))),W$1,"""")"),"Move")</f>
        <v>Move</v>
      </c>
      <c r="X189" s="34" t="str">
        <f>IFERROR(__xludf.DUMMYFUNCTION("IF(IF(X$1="""","""",REGEXMATCH(LOWER($E189),XLOOKUP(X$1,Metadata!$A$2:$A1000,Metadata!$B$2:$B1000))),X$1,"""")"),"")</f>
        <v/>
      </c>
      <c r="Y189" s="34" t="str">
        <f>IFERROR(__xludf.DUMMYFUNCTION("IF(IF(Y$1="""","""",REGEXMATCH(LOWER($E189),XLOOKUP(Y$1,Metadata!$A$2:$A1000,Metadata!$B$2:$B1000))),Y$1,"""")"),"")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I190">XLOOKUP($A190,Cards!$A$2:$A1000,Cards!$B$2:$I1000,"")</f>
        <v>Mortal</v>
      </c>
      <c r="C190" s="34">
        <v>1.0</v>
      </c>
      <c r="D190" s="34" t="s">
        <v>80</v>
      </c>
      <c r="E190" s="34" t="s">
        <v>1283</v>
      </c>
      <c r="F190" s="34" t="s">
        <v>1284</v>
      </c>
      <c r="G190" s="34">
        <v>4.0</v>
      </c>
      <c r="H190" s="34" t="s">
        <v>1285</v>
      </c>
      <c r="I190" s="34" t="s">
        <v>26</v>
      </c>
      <c r="J190" s="34">
        <f>IFERROR(__xludf.DUMMYFUNCTION("LEN(REGEXREPLACE(XLOOKUP($A190,Cards!$A$2:$A1000,Cards!$H$2:$H1000,""""),"",\s"",""""))"),4.0)</f>
        <v>4</v>
      </c>
      <c r="K190" s="34" t="str">
        <f t="shared" si="1"/>
        <v>           Move    </v>
      </c>
      <c r="L190" s="34" t="str">
        <f>IFERROR(__xludf.DUMMYFUNCTION("IF(IF(L$1="""","""",REGEXMATCH(LOWER($E190),XLOOKUP(L$1,Metadata!$A$2:$A1000,Metadata!$B$2:$B1000))),L$1,"""")"),"")</f>
        <v/>
      </c>
      <c r="M190" s="34" t="str">
        <f>IFERROR(__xludf.DUMMYFUNCTION("IF(IF(M$1="""","""",REGEXMATCH(LOWER($E190),XLOOKUP(M$1,Metadata!$A$2:$A1000,Metadata!$B$2:$B1000))),M$1,"""")"),"")</f>
        <v/>
      </c>
      <c r="N190" s="34" t="str">
        <f>IFERROR(__xludf.DUMMYFUNCTION("IF(IF(N$1="""","""",REGEXMATCH(LOWER($E190),XLOOKUP(N$1,Metadata!$A$2:$A1000,Metadata!$B$2:$B1000))),N$1,"""")"),"")</f>
        <v/>
      </c>
      <c r="O190" s="34" t="str">
        <f>IFERROR(__xludf.DUMMYFUNCTION("IF(IF(O$1="""","""",REGEXMATCH(LOWER($E190),XLOOKUP(O$1,Metadata!$A$2:$A1000,Metadata!$B$2:$B1000))),O$1,"""")"),"")</f>
        <v/>
      </c>
      <c r="P190" s="34" t="str">
        <f>IFERROR(__xludf.DUMMYFUNCTION("IF(IF(P$1="""","""",REGEXMATCH(LOWER($E190),XLOOKUP(P$1,Metadata!$A$2:$A1000,Metadata!$B$2:$B1000))),P$1,"""")"),"")</f>
        <v/>
      </c>
      <c r="Q190" s="34" t="str">
        <f>IFERROR(__xludf.DUMMYFUNCTION("IF(IF(Q$1="""","""",REGEXMATCH(LOWER($E190),XLOOKUP(Q$1,Metadata!$A$2:$A1000,Metadata!$B$2:$B1000))),Q$1,"""")"),"")</f>
        <v/>
      </c>
      <c r="R190" s="34" t="str">
        <f>IFERROR(__xludf.DUMMYFUNCTION("IF(IF(R$1="""","""",REGEXMATCH(LOWER($E190),XLOOKUP(R$1,Metadata!$A$2:$A1000,Metadata!$B$2:$B1000))),R$1,"""")"),"")</f>
        <v/>
      </c>
      <c r="S190" s="34" t="str">
        <f>IFERROR(__xludf.DUMMYFUNCTION("IF(IF(S$1="""","""",REGEXMATCH(LOWER($E190),XLOOKUP(S$1,Metadata!$A$2:$A1000,Metadata!$B$2:$B1000))),S$1,"""")"),"")</f>
        <v/>
      </c>
      <c r="T190" s="34" t="str">
        <f>IFERROR(__xludf.DUMMYFUNCTION("IF(IF(T$1="""","""",REGEXMATCH(LOWER($E190),XLOOKUP(T$1,Metadata!$A$2:$A1000,Metadata!$B$2:$B1000))),T$1,"""")"),"")</f>
        <v/>
      </c>
      <c r="U190" s="34" t="str">
        <f>IFERROR(__xludf.DUMMYFUNCTION("IF(IF(U$1="""","""",REGEXMATCH(LOWER($E190),XLOOKUP(U$1,Metadata!$A$2:$A1000,Metadata!$B$2:$B1000))),U$1,"""")"),"")</f>
        <v/>
      </c>
      <c r="V190" s="34" t="str">
        <f>IFERROR(__xludf.DUMMYFUNCTION("IF(IF(V$1="""","""",REGEXMATCH(LOWER($E190),XLOOKUP(V$1,Metadata!$A$2:$A1000,Metadata!$B$2:$B1000))),V$1,"""")"),"")</f>
        <v/>
      </c>
      <c r="W190" s="34" t="str">
        <f>IFERROR(__xludf.DUMMYFUNCTION("IF(IF(W$1="""","""",REGEXMATCH(LOWER($E190),XLOOKUP(W$1,Metadata!$A$2:$A1000,Metadata!$B$2:$B1000))),W$1,"""")"),"Move")</f>
        <v>Move</v>
      </c>
      <c r="X190" s="34" t="str">
        <f>IFERROR(__xludf.DUMMYFUNCTION("IF(IF(X$1="""","""",REGEXMATCH(LOWER($E190),XLOOKUP(X$1,Metadata!$A$2:$A1000,Metadata!$B$2:$B1000))),X$1,"""")"),"")</f>
        <v/>
      </c>
      <c r="Y190" s="34" t="str">
        <f>IFERROR(__xludf.DUMMYFUNCTION("IF(IF(Y$1="""","""",REGEXMATCH(LOWER($E190),XLOOKUP(Y$1,Metadata!$A$2:$A1000,Metadata!$B$2:$B1000))),Y$1,"""")"),"")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I191">XLOOKUP($A191,Cards!$A$2:$A1000,Cards!$B$2:$I1000,"")</f>
        <v>Mortal</v>
      </c>
      <c r="C191" s="34">
        <v>1.0</v>
      </c>
      <c r="D191" s="34" t="s">
        <v>998</v>
      </c>
      <c r="E191" s="34" t="s">
        <v>1293</v>
      </c>
      <c r="F191" s="34" t="s">
        <v>1294</v>
      </c>
      <c r="G191" s="34">
        <v>6.0</v>
      </c>
      <c r="H191" s="34" t="s">
        <v>1295</v>
      </c>
      <c r="I191" s="34" t="s">
        <v>26</v>
      </c>
      <c r="J191" s="34">
        <f>IFERROR(__xludf.DUMMYFUNCTION("LEN(REGEXREPLACE(XLOOKUP($A191,Cards!$A$2:$A1000,Cards!$H$2:$H1000,""""),"",\s"",""""))"),4.0)</f>
        <v>4</v>
      </c>
      <c r="K191" s="34" t="str">
        <f t="shared" si="1"/>
        <v>               </v>
      </c>
      <c r="L191" s="34" t="str">
        <f>IFERROR(__xludf.DUMMYFUNCTION("IF(IF(L$1="""","""",REGEXMATCH(LOWER($E191),XLOOKUP(L$1,Metadata!$A$2:$A1000,Metadata!$B$2:$B1000))),L$1,"""")"),"")</f>
        <v/>
      </c>
      <c r="M191" s="34" t="str">
        <f>IFERROR(__xludf.DUMMYFUNCTION("IF(IF(M$1="""","""",REGEXMATCH(LOWER($E191),XLOOKUP(M$1,Metadata!$A$2:$A1000,Metadata!$B$2:$B1000))),M$1,"""")"),"")</f>
        <v/>
      </c>
      <c r="N191" s="34" t="str">
        <f>IFERROR(__xludf.DUMMYFUNCTION("IF(IF(N$1="""","""",REGEXMATCH(LOWER($E191),XLOOKUP(N$1,Metadata!$A$2:$A1000,Metadata!$B$2:$B1000))),N$1,"""")"),"")</f>
        <v/>
      </c>
      <c r="O191" s="34" t="str">
        <f>IFERROR(__xludf.DUMMYFUNCTION("IF(IF(O$1="""","""",REGEXMATCH(LOWER($E191),XLOOKUP(O$1,Metadata!$A$2:$A1000,Metadata!$B$2:$B1000))),O$1,"""")"),"")</f>
        <v/>
      </c>
      <c r="P191" s="34" t="str">
        <f>IFERROR(__xludf.DUMMYFUNCTION("IF(IF(P$1="""","""",REGEXMATCH(LOWER($E191),XLOOKUP(P$1,Metadata!$A$2:$A1000,Metadata!$B$2:$B1000))),P$1,"""")"),"")</f>
        <v/>
      </c>
      <c r="Q191" s="34" t="str">
        <f>IFERROR(__xludf.DUMMYFUNCTION("IF(IF(Q$1="""","""",REGEXMATCH(LOWER($E191),XLOOKUP(Q$1,Metadata!$A$2:$A1000,Metadata!$B$2:$B1000))),Q$1,"""")"),"")</f>
        <v/>
      </c>
      <c r="R191" s="34" t="str">
        <f>IFERROR(__xludf.DUMMYFUNCTION("IF(IF(R$1="""","""",REGEXMATCH(LOWER($E191),XLOOKUP(R$1,Metadata!$A$2:$A1000,Metadata!$B$2:$B1000))),R$1,"""")"),"")</f>
        <v/>
      </c>
      <c r="S191" s="34" t="str">
        <f>IFERROR(__xludf.DUMMYFUNCTION("IF(IF(S$1="""","""",REGEXMATCH(LOWER($E191),XLOOKUP(S$1,Metadata!$A$2:$A1000,Metadata!$B$2:$B1000))),S$1,"""")"),"")</f>
        <v/>
      </c>
      <c r="T191" s="34" t="str">
        <f>IFERROR(__xludf.DUMMYFUNCTION("IF(IF(T$1="""","""",REGEXMATCH(LOWER($E191),XLOOKUP(T$1,Metadata!$A$2:$A1000,Metadata!$B$2:$B1000))),T$1,"""")"),"")</f>
        <v/>
      </c>
      <c r="U191" s="34" t="str">
        <f>IFERROR(__xludf.DUMMYFUNCTION("IF(IF(U$1="""","""",REGEXMATCH(LOWER($E191),XLOOKUP(U$1,Metadata!$A$2:$A1000,Metadata!$B$2:$B1000))),U$1,"""")"),"")</f>
        <v/>
      </c>
      <c r="V191" s="34" t="str">
        <f>IFERROR(__xludf.DUMMYFUNCTION("IF(IF(V$1="""","""",REGEXMATCH(LOWER($E191),XLOOKUP(V$1,Metadata!$A$2:$A1000,Metadata!$B$2:$B1000))),V$1,"""")"),"")</f>
        <v/>
      </c>
      <c r="W191" s="34" t="str">
        <f>IFERROR(__xludf.DUMMYFUNCTION("IF(IF(W$1="""","""",REGEXMATCH(LOWER($E191),XLOOKUP(W$1,Metadata!$A$2:$A1000,Metadata!$B$2:$B1000))),W$1,"""")"),"")</f>
        <v/>
      </c>
      <c r="X191" s="34" t="str">
        <f>IFERROR(__xludf.DUMMYFUNCTION("IF(IF(X$1="""","""",REGEXMATCH(LOWER($E191),XLOOKUP(X$1,Metadata!$A$2:$A1000,Metadata!$B$2:$B1000))),X$1,"""")"),"")</f>
        <v/>
      </c>
      <c r="Y191" s="34" t="str">
        <f>IFERROR(__xludf.DUMMYFUNCTION("IF(IF(Y$1="""","""",REGEXMATCH(LOWER($E191),XLOOKUP(Y$1,Metadata!$A$2:$A1000,Metadata!$B$2:$B1000))),Y$1,"""")"),"")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I192">XLOOKUP($A192,Cards!$A$2:$A1000,Cards!$B$2:$I1000,"")</f>
        <v>Mortal</v>
      </c>
      <c r="C192" s="34">
        <v>2.0</v>
      </c>
      <c r="D192" s="34" t="s">
        <v>111</v>
      </c>
      <c r="E192" s="34" t="s">
        <v>1304</v>
      </c>
      <c r="F192" s="34" t="s">
        <v>1305</v>
      </c>
      <c r="G192" s="34">
        <v>1.0</v>
      </c>
      <c r="H192" s="34" t="s">
        <v>1051</v>
      </c>
      <c r="I192" s="34" t="s">
        <v>26</v>
      </c>
      <c r="J192" s="34">
        <f>IFERROR(__xludf.DUMMYFUNCTION("LEN(REGEXREPLACE(XLOOKUP($A192,Cards!$A$2:$A1000,Cards!$H$2:$H1000,""""),"",\s"",""""))"),2.0)</f>
        <v>2</v>
      </c>
      <c r="K192" s="34" t="str">
        <f t="shared" si="1"/>
        <v>  Mortal             </v>
      </c>
      <c r="L192" s="34" t="str">
        <f>IFERROR(__xludf.DUMMYFUNCTION("IF(IF(L$1="""","""",REGEXMATCH(LOWER($E192),XLOOKUP(L$1,Metadata!$A$2:$A1000,Metadata!$B$2:$B1000))),L$1,"""")"),"")</f>
        <v/>
      </c>
      <c r="M192" s="34" t="str">
        <f>IFERROR(__xludf.DUMMYFUNCTION("IF(IF(M$1="""","""",REGEXMATCH(LOWER($E192),XLOOKUP(M$1,Metadata!$A$2:$A1000,Metadata!$B$2:$B1000))),M$1,"""")"),"")</f>
        <v/>
      </c>
      <c r="N192" s="34" t="str">
        <f>IFERROR(__xludf.DUMMYFUNCTION("IF(IF(N$1="""","""",REGEXMATCH(LOWER($E192),XLOOKUP(N$1,Metadata!$A$2:$A1000,Metadata!$B$2:$B1000))),N$1,"""")"),"Mortal")</f>
        <v>Mortal</v>
      </c>
      <c r="O192" s="34" t="str">
        <f>IFERROR(__xludf.DUMMYFUNCTION("IF(IF(O$1="""","""",REGEXMATCH(LOWER($E192),XLOOKUP(O$1,Metadata!$A$2:$A1000,Metadata!$B$2:$B1000))),O$1,"""")"),"")</f>
        <v/>
      </c>
      <c r="P192" s="34" t="str">
        <f>IFERROR(__xludf.DUMMYFUNCTION("IF(IF(P$1="""","""",REGEXMATCH(LOWER($E192),XLOOKUP(P$1,Metadata!$A$2:$A1000,Metadata!$B$2:$B1000))),P$1,"""")"),"")</f>
        <v/>
      </c>
      <c r="Q192" s="34" t="str">
        <f>IFERROR(__xludf.DUMMYFUNCTION("IF(IF(Q$1="""","""",REGEXMATCH(LOWER($E192),XLOOKUP(Q$1,Metadata!$A$2:$A1000,Metadata!$B$2:$B1000))),Q$1,"""")"),"")</f>
        <v/>
      </c>
      <c r="R192" s="34" t="str">
        <f>IFERROR(__xludf.DUMMYFUNCTION("IF(IF(R$1="""","""",REGEXMATCH(LOWER($E192),XLOOKUP(R$1,Metadata!$A$2:$A1000,Metadata!$B$2:$B1000))),R$1,"""")"),"")</f>
        <v/>
      </c>
      <c r="S192" s="34" t="str">
        <f>IFERROR(__xludf.DUMMYFUNCTION("IF(IF(S$1="""","""",REGEXMATCH(LOWER($E192),XLOOKUP(S$1,Metadata!$A$2:$A1000,Metadata!$B$2:$B1000))),S$1,"""")"),"")</f>
        <v/>
      </c>
      <c r="T192" s="34" t="str">
        <f>IFERROR(__xludf.DUMMYFUNCTION("IF(IF(T$1="""","""",REGEXMATCH(LOWER($E192),XLOOKUP(T$1,Metadata!$A$2:$A1000,Metadata!$B$2:$B1000))),T$1,"""")"),"")</f>
        <v/>
      </c>
      <c r="U192" s="34" t="str">
        <f>IFERROR(__xludf.DUMMYFUNCTION("IF(IF(U$1="""","""",REGEXMATCH(LOWER($E192),XLOOKUP(U$1,Metadata!$A$2:$A1000,Metadata!$B$2:$B1000))),U$1,"""")"),"")</f>
        <v/>
      </c>
      <c r="V192" s="34" t="str">
        <f>IFERROR(__xludf.DUMMYFUNCTION("IF(IF(V$1="""","""",REGEXMATCH(LOWER($E192),XLOOKUP(V$1,Metadata!$A$2:$A1000,Metadata!$B$2:$B1000))),V$1,"""")"),"")</f>
        <v/>
      </c>
      <c r="W192" s="34" t="str">
        <f>IFERROR(__xludf.DUMMYFUNCTION("IF(IF(W$1="""","""",REGEXMATCH(LOWER($E192),XLOOKUP(W$1,Metadata!$A$2:$A1000,Metadata!$B$2:$B1000))),W$1,"""")"),"")</f>
        <v/>
      </c>
      <c r="X192" s="34" t="str">
        <f>IFERROR(__xludf.DUMMYFUNCTION("IF(IF(X$1="""","""",REGEXMATCH(LOWER($E192),XLOOKUP(X$1,Metadata!$A$2:$A1000,Metadata!$B$2:$B1000))),X$1,"""")"),"")</f>
        <v/>
      </c>
      <c r="Y192" s="34" t="str">
        <f>IFERROR(__xludf.DUMMYFUNCTION("IF(IF(Y$1="""","""",REGEXMATCH(LOWER($E192),XLOOKUP(Y$1,Metadata!$A$2:$A1000,Metadata!$B$2:$B1000))),Y$1,"""")"),"")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I193">XLOOKUP($A193,Cards!$A$2:$A1000,Cards!$B$2:$I1000,"")</f>
        <v>Mortal</v>
      </c>
      <c r="C193" s="34">
        <v>2.0</v>
      </c>
      <c r="D193" s="34" t="s">
        <v>250</v>
      </c>
      <c r="E193" s="34" t="s">
        <v>1307</v>
      </c>
      <c r="F193" s="34" t="s">
        <v>24</v>
      </c>
      <c r="G193" s="34">
        <v>6.0</v>
      </c>
      <c r="H193" s="34" t="s">
        <v>1264</v>
      </c>
      <c r="I193" s="34" t="s">
        <v>32</v>
      </c>
      <c r="J193" s="34">
        <f>IFERROR(__xludf.DUMMYFUNCTION("LEN(REGEXREPLACE(XLOOKUP($A193,Cards!$A$2:$A1000,Cards!$H$2:$H1000,""""),"",\s"",""""))"),6.0)</f>
        <v>6</v>
      </c>
      <c r="K193" s="34" t="str">
        <f t="shared" si="1"/>
        <v>               </v>
      </c>
      <c r="L193" s="34" t="str">
        <f>IFERROR(__xludf.DUMMYFUNCTION("IF(IF(L$1="""","""",REGEXMATCH(LOWER($E193),XLOOKUP(L$1,Metadata!$A$2:$A1000,Metadata!$B$2:$B1000))),L$1,"""")"),"")</f>
        <v/>
      </c>
      <c r="M193" s="34" t="str">
        <f>IFERROR(__xludf.DUMMYFUNCTION("IF(IF(M$1="""","""",REGEXMATCH(LOWER($E193),XLOOKUP(M$1,Metadata!$A$2:$A1000,Metadata!$B$2:$B1000))),M$1,"""")"),"")</f>
        <v/>
      </c>
      <c r="N193" s="34" t="str">
        <f>IFERROR(__xludf.DUMMYFUNCTION("IF(IF(N$1="""","""",REGEXMATCH(LOWER($E193),XLOOKUP(N$1,Metadata!$A$2:$A1000,Metadata!$B$2:$B1000))),N$1,"""")"),"")</f>
        <v/>
      </c>
      <c r="O193" s="34" t="str">
        <f>IFERROR(__xludf.DUMMYFUNCTION("IF(IF(O$1="""","""",REGEXMATCH(LOWER($E193),XLOOKUP(O$1,Metadata!$A$2:$A1000,Metadata!$B$2:$B1000))),O$1,"""")"),"")</f>
        <v/>
      </c>
      <c r="P193" s="34" t="str">
        <f>IFERROR(__xludf.DUMMYFUNCTION("IF(IF(P$1="""","""",REGEXMATCH(LOWER($E193),XLOOKUP(P$1,Metadata!$A$2:$A1000,Metadata!$B$2:$B1000))),P$1,"""")"),"")</f>
        <v/>
      </c>
      <c r="Q193" s="34" t="str">
        <f>IFERROR(__xludf.DUMMYFUNCTION("IF(IF(Q$1="""","""",REGEXMATCH(LOWER($E193),XLOOKUP(Q$1,Metadata!$A$2:$A1000,Metadata!$B$2:$B1000))),Q$1,"""")"),"")</f>
        <v/>
      </c>
      <c r="R193" s="34" t="str">
        <f>IFERROR(__xludf.DUMMYFUNCTION("IF(IF(R$1="""","""",REGEXMATCH(LOWER($E193),XLOOKUP(R$1,Metadata!$A$2:$A1000,Metadata!$B$2:$B1000))),R$1,"""")"),"")</f>
        <v/>
      </c>
      <c r="S193" s="34" t="str">
        <f>IFERROR(__xludf.DUMMYFUNCTION("IF(IF(S$1="""","""",REGEXMATCH(LOWER($E193),XLOOKUP(S$1,Metadata!$A$2:$A1000,Metadata!$B$2:$B1000))),S$1,"""")"),"")</f>
        <v/>
      </c>
      <c r="T193" s="34" t="str">
        <f>IFERROR(__xludf.DUMMYFUNCTION("IF(IF(T$1="""","""",REGEXMATCH(LOWER($E193),XLOOKUP(T$1,Metadata!$A$2:$A1000,Metadata!$B$2:$B1000))),T$1,"""")"),"")</f>
        <v/>
      </c>
      <c r="U193" s="34" t="str">
        <f>IFERROR(__xludf.DUMMYFUNCTION("IF(IF(U$1="""","""",REGEXMATCH(LOWER($E193),XLOOKUP(U$1,Metadata!$A$2:$A1000,Metadata!$B$2:$B1000))),U$1,"""")"),"")</f>
        <v/>
      </c>
      <c r="V193" s="34" t="str">
        <f>IFERROR(__xludf.DUMMYFUNCTION("IF(IF(V$1="""","""",REGEXMATCH(LOWER($E193),XLOOKUP(V$1,Metadata!$A$2:$A1000,Metadata!$B$2:$B1000))),V$1,"""")"),"")</f>
        <v/>
      </c>
      <c r="W193" s="34" t="str">
        <f>IFERROR(__xludf.DUMMYFUNCTION("IF(IF(W$1="""","""",REGEXMATCH(LOWER($E193),XLOOKUP(W$1,Metadata!$A$2:$A1000,Metadata!$B$2:$B1000))),W$1,"""")"),"")</f>
        <v/>
      </c>
      <c r="X193" s="34" t="str">
        <f>IFERROR(__xludf.DUMMYFUNCTION("IF(IF(X$1="""","""",REGEXMATCH(LOWER($E193),XLOOKUP(X$1,Metadata!$A$2:$A1000,Metadata!$B$2:$B1000))),X$1,"""")"),"")</f>
        <v/>
      </c>
      <c r="Y193" s="34" t="str">
        <f>IFERROR(__xludf.DUMMYFUNCTION("IF(IF(Y$1="""","""",REGEXMATCH(LOWER($E193),XLOOKUP(Y$1,Metadata!$A$2:$A1000,Metadata!$B$2:$B1000))),Y$1,"""")"),"")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I194">XLOOKUP($A194,Cards!$A$2:$A1000,Cards!$B$2:$I1000,"")</f>
        <v>Mortal</v>
      </c>
      <c r="C194" s="34">
        <v>1.0</v>
      </c>
      <c r="D194" s="34" t="s">
        <v>111</v>
      </c>
      <c r="E194" s="34" t="s">
        <v>1309</v>
      </c>
      <c r="F194" s="34" t="s">
        <v>1310</v>
      </c>
      <c r="G194" s="34">
        <v>2.0</v>
      </c>
      <c r="H194" s="34" t="s">
        <v>1311</v>
      </c>
      <c r="I194" s="34" t="s">
        <v>26</v>
      </c>
      <c r="J194" s="34">
        <f>IFERROR(__xludf.DUMMYFUNCTION("LEN(REGEXREPLACE(XLOOKUP($A194,Cards!$A$2:$A1000,Cards!$H$2:$H1000,""""),"",\s"",""""))"),2.0)</f>
        <v>2</v>
      </c>
      <c r="K194" s="34" t="str">
        <f t="shared" si="1"/>
        <v>               </v>
      </c>
      <c r="L194" s="34" t="str">
        <f>IFERROR(__xludf.DUMMYFUNCTION("IF(IF(L$1="""","""",REGEXMATCH(LOWER($E194),XLOOKUP(L$1,Metadata!$A$2:$A1000,Metadata!$B$2:$B1000))),L$1,"""")"),"")</f>
        <v/>
      </c>
      <c r="M194" s="34" t="str">
        <f>IFERROR(__xludf.DUMMYFUNCTION("IF(IF(M$1="""","""",REGEXMATCH(LOWER($E194),XLOOKUP(M$1,Metadata!$A$2:$A1000,Metadata!$B$2:$B1000))),M$1,"""")"),"")</f>
        <v/>
      </c>
      <c r="N194" s="34" t="str">
        <f>IFERROR(__xludf.DUMMYFUNCTION("IF(IF(N$1="""","""",REGEXMATCH(LOWER($E194),XLOOKUP(N$1,Metadata!$A$2:$A1000,Metadata!$B$2:$B1000))),N$1,"""")"),"")</f>
        <v/>
      </c>
      <c r="O194" s="34" t="str">
        <f>IFERROR(__xludf.DUMMYFUNCTION("IF(IF(O$1="""","""",REGEXMATCH(LOWER($E194),XLOOKUP(O$1,Metadata!$A$2:$A1000,Metadata!$B$2:$B1000))),O$1,"""")"),"")</f>
        <v/>
      </c>
      <c r="P194" s="34" t="str">
        <f>IFERROR(__xludf.DUMMYFUNCTION("IF(IF(P$1="""","""",REGEXMATCH(LOWER($E194),XLOOKUP(P$1,Metadata!$A$2:$A1000,Metadata!$B$2:$B1000))),P$1,"""")"),"")</f>
        <v/>
      </c>
      <c r="Q194" s="34" t="str">
        <f>IFERROR(__xludf.DUMMYFUNCTION("IF(IF(Q$1="""","""",REGEXMATCH(LOWER($E194),XLOOKUP(Q$1,Metadata!$A$2:$A1000,Metadata!$B$2:$B1000))),Q$1,"""")"),"")</f>
        <v/>
      </c>
      <c r="R194" s="34" t="str">
        <f>IFERROR(__xludf.DUMMYFUNCTION("IF(IF(R$1="""","""",REGEXMATCH(LOWER($E194),XLOOKUP(R$1,Metadata!$A$2:$A1000,Metadata!$B$2:$B1000))),R$1,"""")"),"")</f>
        <v/>
      </c>
      <c r="S194" s="34" t="str">
        <f>IFERROR(__xludf.DUMMYFUNCTION("IF(IF(S$1="""","""",REGEXMATCH(LOWER($E194),XLOOKUP(S$1,Metadata!$A$2:$A1000,Metadata!$B$2:$B1000))),S$1,"""")"),"")</f>
        <v/>
      </c>
      <c r="T194" s="34" t="str">
        <f>IFERROR(__xludf.DUMMYFUNCTION("IF(IF(T$1="""","""",REGEXMATCH(LOWER($E194),XLOOKUP(T$1,Metadata!$A$2:$A1000,Metadata!$B$2:$B1000))),T$1,"""")"),"")</f>
        <v/>
      </c>
      <c r="U194" s="34" t="str">
        <f>IFERROR(__xludf.DUMMYFUNCTION("IF(IF(U$1="""","""",REGEXMATCH(LOWER($E194),XLOOKUP(U$1,Metadata!$A$2:$A1000,Metadata!$B$2:$B1000))),U$1,"""")"),"")</f>
        <v/>
      </c>
      <c r="V194" s="34" t="str">
        <f>IFERROR(__xludf.DUMMYFUNCTION("IF(IF(V$1="""","""",REGEXMATCH(LOWER($E194),XLOOKUP(V$1,Metadata!$A$2:$A1000,Metadata!$B$2:$B1000))),V$1,"""")"),"")</f>
        <v/>
      </c>
      <c r="W194" s="34" t="str">
        <f>IFERROR(__xludf.DUMMYFUNCTION("IF(IF(W$1="""","""",REGEXMATCH(LOWER($E194),XLOOKUP(W$1,Metadata!$A$2:$A1000,Metadata!$B$2:$B1000))),W$1,"""")"),"")</f>
        <v/>
      </c>
      <c r="X194" s="34" t="str">
        <f>IFERROR(__xludf.DUMMYFUNCTION("IF(IF(X$1="""","""",REGEXMATCH(LOWER($E194),XLOOKUP(X$1,Metadata!$A$2:$A1000,Metadata!$B$2:$B1000))),X$1,"""")"),"")</f>
        <v/>
      </c>
      <c r="Y194" s="34" t="str">
        <f>IFERROR(__xludf.DUMMYFUNCTION("IF(IF(Y$1="""","""",REGEXMATCH(LOWER($E194),XLOOKUP(Y$1,Metadata!$A$2:$A1000,Metadata!$B$2:$B1000))),Y$1,"""")"),"")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I195">XLOOKUP($A195,Cards!$A$2:$A1000,Cards!$B$2:$I1000,"")</f>
        <v>Mortal</v>
      </c>
      <c r="C195" s="34">
        <v>2.0</v>
      </c>
      <c r="D195" s="34" t="s">
        <v>998</v>
      </c>
      <c r="E195" s="34" t="s">
        <v>1319</v>
      </c>
      <c r="F195" s="34" t="s">
        <v>24</v>
      </c>
      <c r="G195" s="34">
        <v>1.0</v>
      </c>
      <c r="H195" s="34" t="s">
        <v>1164</v>
      </c>
      <c r="I195" s="34" t="s">
        <v>26</v>
      </c>
      <c r="J195" s="34">
        <f>IFERROR(__xludf.DUMMYFUNCTION("LEN(REGEXREPLACE(XLOOKUP($A195,Cards!$A$2:$A1000,Cards!$H$2:$H1000,""""),"",\s"",""""))"),1.0)</f>
        <v>1</v>
      </c>
      <c r="K195" s="34" t="str">
        <f t="shared" si="1"/>
        <v>  Mortal             </v>
      </c>
      <c r="L195" s="34" t="str">
        <f>IFERROR(__xludf.DUMMYFUNCTION("IF(IF(L$1="""","""",REGEXMATCH(LOWER($E195),XLOOKUP(L$1,Metadata!$A$2:$A1000,Metadata!$B$2:$B1000))),L$1,"""")"),"")</f>
        <v/>
      </c>
      <c r="M195" s="34" t="str">
        <f>IFERROR(__xludf.DUMMYFUNCTION("IF(IF(M$1="""","""",REGEXMATCH(LOWER($E195),XLOOKUP(M$1,Metadata!$A$2:$A1000,Metadata!$B$2:$B1000))),M$1,"""")"),"")</f>
        <v/>
      </c>
      <c r="N195" s="34" t="str">
        <f>IFERROR(__xludf.DUMMYFUNCTION("IF(IF(N$1="""","""",REGEXMATCH(LOWER($E195),XLOOKUP(N$1,Metadata!$A$2:$A1000,Metadata!$B$2:$B1000))),N$1,"""")"),"Mortal")</f>
        <v>Mortal</v>
      </c>
      <c r="O195" s="34" t="str">
        <f>IFERROR(__xludf.DUMMYFUNCTION("IF(IF(O$1="""","""",REGEXMATCH(LOWER($E195),XLOOKUP(O$1,Metadata!$A$2:$A1000,Metadata!$B$2:$B1000))),O$1,"""")"),"")</f>
        <v/>
      </c>
      <c r="P195" s="34" t="str">
        <f>IFERROR(__xludf.DUMMYFUNCTION("IF(IF(P$1="""","""",REGEXMATCH(LOWER($E195),XLOOKUP(P$1,Metadata!$A$2:$A1000,Metadata!$B$2:$B1000))),P$1,"""")"),"")</f>
        <v/>
      </c>
      <c r="Q195" s="34" t="str">
        <f>IFERROR(__xludf.DUMMYFUNCTION("IF(IF(Q$1="""","""",REGEXMATCH(LOWER($E195),XLOOKUP(Q$1,Metadata!$A$2:$A1000,Metadata!$B$2:$B1000))),Q$1,"""")"),"")</f>
        <v/>
      </c>
      <c r="R195" s="34" t="str">
        <f>IFERROR(__xludf.DUMMYFUNCTION("IF(IF(R$1="""","""",REGEXMATCH(LOWER($E195),XLOOKUP(R$1,Metadata!$A$2:$A1000,Metadata!$B$2:$B1000))),R$1,"""")"),"")</f>
        <v/>
      </c>
      <c r="S195" s="34" t="str">
        <f>IFERROR(__xludf.DUMMYFUNCTION("IF(IF(S$1="""","""",REGEXMATCH(LOWER($E195),XLOOKUP(S$1,Metadata!$A$2:$A1000,Metadata!$B$2:$B1000))),S$1,"""")"),"")</f>
        <v/>
      </c>
      <c r="T195" s="34" t="str">
        <f>IFERROR(__xludf.DUMMYFUNCTION("IF(IF(T$1="""","""",REGEXMATCH(LOWER($E195),XLOOKUP(T$1,Metadata!$A$2:$A1000,Metadata!$B$2:$B1000))),T$1,"""")"),"")</f>
        <v/>
      </c>
      <c r="U195" s="34" t="str">
        <f>IFERROR(__xludf.DUMMYFUNCTION("IF(IF(U$1="""","""",REGEXMATCH(LOWER($E195),XLOOKUP(U$1,Metadata!$A$2:$A1000,Metadata!$B$2:$B1000))),U$1,"""")"),"")</f>
        <v/>
      </c>
      <c r="V195" s="34" t="str">
        <f>IFERROR(__xludf.DUMMYFUNCTION("IF(IF(V$1="""","""",REGEXMATCH(LOWER($E195),XLOOKUP(V$1,Metadata!$A$2:$A1000,Metadata!$B$2:$B1000))),V$1,"""")"),"")</f>
        <v/>
      </c>
      <c r="W195" s="34" t="str">
        <f>IFERROR(__xludf.DUMMYFUNCTION("IF(IF(W$1="""","""",REGEXMATCH(LOWER($E195),XLOOKUP(W$1,Metadata!$A$2:$A1000,Metadata!$B$2:$B1000))),W$1,"""")"),"")</f>
        <v/>
      </c>
      <c r="X195" s="34" t="str">
        <f>IFERROR(__xludf.DUMMYFUNCTION("IF(IF(X$1="""","""",REGEXMATCH(LOWER($E195),XLOOKUP(X$1,Metadata!$A$2:$A1000,Metadata!$B$2:$B1000))),X$1,"""")"),"")</f>
        <v/>
      </c>
      <c r="Y195" s="34" t="str">
        <f>IFERROR(__xludf.DUMMYFUNCTION("IF(IF(Y$1="""","""",REGEXMATCH(LOWER($E195),XLOOKUP(Y$1,Metadata!$A$2:$A1000,Metadata!$B$2:$B1000))),Y$1,"""")"),"")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I196">XLOOKUP($A196,Cards!$A$2:$A1000,Cards!$B$2:$I1000,"")</f>
        <v>Mortal</v>
      </c>
      <c r="C196" s="34">
        <v>1.0</v>
      </c>
      <c r="D196" s="34" t="s">
        <v>447</v>
      </c>
      <c r="E196" s="34" t="s">
        <v>1321</v>
      </c>
      <c r="F196" s="34" t="s">
        <v>1322</v>
      </c>
      <c r="G196" s="34">
        <v>1.0</v>
      </c>
      <c r="H196" s="34" t="s">
        <v>1051</v>
      </c>
      <c r="I196" s="34" t="s">
        <v>26</v>
      </c>
      <c r="J196" s="34">
        <f>IFERROR(__xludf.DUMMYFUNCTION("LEN(REGEXREPLACE(XLOOKUP($A196,Cards!$A$2:$A1000,Cards!$H$2:$H1000,""""),"",\s"",""""))"),2.0)</f>
        <v>2</v>
      </c>
      <c r="K196" s="34" t="str">
        <f t="shared" si="1"/>
        <v>  Mortal             </v>
      </c>
      <c r="L196" s="34" t="str">
        <f>IFERROR(__xludf.DUMMYFUNCTION("IF(IF(L$1="""","""",REGEXMATCH(LOWER($E196),XLOOKUP(L$1,Metadata!$A$2:$A1000,Metadata!$B$2:$B1000))),L$1,"""")"),"")</f>
        <v/>
      </c>
      <c r="M196" s="34" t="str">
        <f>IFERROR(__xludf.DUMMYFUNCTION("IF(IF(M$1="""","""",REGEXMATCH(LOWER($E196),XLOOKUP(M$1,Metadata!$A$2:$A1000,Metadata!$B$2:$B1000))),M$1,"""")"),"")</f>
        <v/>
      </c>
      <c r="N196" s="34" t="str">
        <f>IFERROR(__xludf.DUMMYFUNCTION("IF(IF(N$1="""","""",REGEXMATCH(LOWER($E196),XLOOKUP(N$1,Metadata!$A$2:$A1000,Metadata!$B$2:$B1000))),N$1,"""")"),"Mortal")</f>
        <v>Mortal</v>
      </c>
      <c r="O196" s="34" t="str">
        <f>IFERROR(__xludf.DUMMYFUNCTION("IF(IF(O$1="""","""",REGEXMATCH(LOWER($E196),XLOOKUP(O$1,Metadata!$A$2:$A1000,Metadata!$B$2:$B1000))),O$1,"""")"),"")</f>
        <v/>
      </c>
      <c r="P196" s="34" t="str">
        <f>IFERROR(__xludf.DUMMYFUNCTION("IF(IF(P$1="""","""",REGEXMATCH(LOWER($E196),XLOOKUP(P$1,Metadata!$A$2:$A1000,Metadata!$B$2:$B1000))),P$1,"""")"),"")</f>
        <v/>
      </c>
      <c r="Q196" s="34" t="str">
        <f>IFERROR(__xludf.DUMMYFUNCTION("IF(IF(Q$1="""","""",REGEXMATCH(LOWER($E196),XLOOKUP(Q$1,Metadata!$A$2:$A1000,Metadata!$B$2:$B1000))),Q$1,"""")"),"")</f>
        <v/>
      </c>
      <c r="R196" s="34" t="str">
        <f>IFERROR(__xludf.DUMMYFUNCTION("IF(IF(R$1="""","""",REGEXMATCH(LOWER($E196),XLOOKUP(R$1,Metadata!$A$2:$A1000,Metadata!$B$2:$B1000))),R$1,"""")"),"")</f>
        <v/>
      </c>
      <c r="S196" s="34" t="str">
        <f>IFERROR(__xludf.DUMMYFUNCTION("IF(IF(S$1="""","""",REGEXMATCH(LOWER($E196),XLOOKUP(S$1,Metadata!$A$2:$A1000,Metadata!$B$2:$B1000))),S$1,"""")"),"")</f>
        <v/>
      </c>
      <c r="T196" s="34" t="str">
        <f>IFERROR(__xludf.DUMMYFUNCTION("IF(IF(T$1="""","""",REGEXMATCH(LOWER($E196),XLOOKUP(T$1,Metadata!$A$2:$A1000,Metadata!$B$2:$B1000))),T$1,"""")"),"")</f>
        <v/>
      </c>
      <c r="U196" s="34" t="str">
        <f>IFERROR(__xludf.DUMMYFUNCTION("IF(IF(U$1="""","""",REGEXMATCH(LOWER($E196),XLOOKUP(U$1,Metadata!$A$2:$A1000,Metadata!$B$2:$B1000))),U$1,"""")"),"")</f>
        <v/>
      </c>
      <c r="V196" s="34" t="str">
        <f>IFERROR(__xludf.DUMMYFUNCTION("IF(IF(V$1="""","""",REGEXMATCH(LOWER($E196),XLOOKUP(V$1,Metadata!$A$2:$A1000,Metadata!$B$2:$B1000))),V$1,"""")"),"")</f>
        <v/>
      </c>
      <c r="W196" s="34" t="str">
        <f>IFERROR(__xludf.DUMMYFUNCTION("IF(IF(W$1="""","""",REGEXMATCH(LOWER($E196),XLOOKUP(W$1,Metadata!$A$2:$A1000,Metadata!$B$2:$B1000))),W$1,"""")"),"")</f>
        <v/>
      </c>
      <c r="X196" s="34" t="str">
        <f>IFERROR(__xludf.DUMMYFUNCTION("IF(IF(X$1="""","""",REGEXMATCH(LOWER($E196),XLOOKUP(X$1,Metadata!$A$2:$A1000,Metadata!$B$2:$B1000))),X$1,"""")"),"")</f>
        <v/>
      </c>
      <c r="Y196" s="34" t="str">
        <f>IFERROR(__xludf.DUMMYFUNCTION("IF(IF(Y$1="""","""",REGEXMATCH(LOWER($E196),XLOOKUP(Y$1,Metadata!$A$2:$A1000,Metadata!$B$2:$B1000))),Y$1,"""")"),"")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I197">XLOOKUP($A197,Cards!$A$2:$A1000,Cards!$B$2:$I1000,"")</f>
        <v>Mortal</v>
      </c>
      <c r="C197" s="34">
        <v>1.0</v>
      </c>
      <c r="D197" s="34" t="s">
        <v>998</v>
      </c>
      <c r="E197" s="34" t="s">
        <v>1332</v>
      </c>
      <c r="F197" s="34" t="s">
        <v>1333</v>
      </c>
      <c r="G197" s="34">
        <v>0.0</v>
      </c>
      <c r="H197" s="34" t="s">
        <v>1285</v>
      </c>
      <c r="I197" s="34" t="s">
        <v>26</v>
      </c>
      <c r="J197" s="34">
        <f>IFERROR(__xludf.DUMMYFUNCTION("LEN(REGEXREPLACE(XLOOKUP($A197,Cards!$A$2:$A1000,Cards!$H$2:$H1000,""""),"",\s"",""""))"),4.0)</f>
        <v>4</v>
      </c>
      <c r="K197" s="34" t="str">
        <f t="shared" si="1"/>
        <v>               </v>
      </c>
      <c r="L197" s="34" t="str">
        <f>IFERROR(__xludf.DUMMYFUNCTION("IF(IF(L$1="""","""",REGEXMATCH(LOWER($E197),XLOOKUP(L$1,Metadata!$A$2:$A1000,Metadata!$B$2:$B1000))),L$1,"""")"),"")</f>
        <v/>
      </c>
      <c r="M197" s="34" t="str">
        <f>IFERROR(__xludf.DUMMYFUNCTION("IF(IF(M$1="""","""",REGEXMATCH(LOWER($E197),XLOOKUP(M$1,Metadata!$A$2:$A1000,Metadata!$B$2:$B1000))),M$1,"""")"),"")</f>
        <v/>
      </c>
      <c r="N197" s="34" t="str">
        <f>IFERROR(__xludf.DUMMYFUNCTION("IF(IF(N$1="""","""",REGEXMATCH(LOWER($E197),XLOOKUP(N$1,Metadata!$A$2:$A1000,Metadata!$B$2:$B1000))),N$1,"""")"),"")</f>
        <v/>
      </c>
      <c r="O197" s="34" t="str">
        <f>IFERROR(__xludf.DUMMYFUNCTION("IF(IF(O$1="""","""",REGEXMATCH(LOWER($E197),XLOOKUP(O$1,Metadata!$A$2:$A1000,Metadata!$B$2:$B1000))),O$1,"""")"),"")</f>
        <v/>
      </c>
      <c r="P197" s="34" t="str">
        <f>IFERROR(__xludf.DUMMYFUNCTION("IF(IF(P$1="""","""",REGEXMATCH(LOWER($E197),XLOOKUP(P$1,Metadata!$A$2:$A1000,Metadata!$B$2:$B1000))),P$1,"""")"),"")</f>
        <v/>
      </c>
      <c r="Q197" s="34" t="str">
        <f>IFERROR(__xludf.DUMMYFUNCTION("IF(IF(Q$1="""","""",REGEXMATCH(LOWER($E197),XLOOKUP(Q$1,Metadata!$A$2:$A1000,Metadata!$B$2:$B1000))),Q$1,"""")"),"")</f>
        <v/>
      </c>
      <c r="R197" s="34" t="str">
        <f>IFERROR(__xludf.DUMMYFUNCTION("IF(IF(R$1="""","""",REGEXMATCH(LOWER($E197),XLOOKUP(R$1,Metadata!$A$2:$A1000,Metadata!$B$2:$B1000))),R$1,"""")"),"")</f>
        <v/>
      </c>
      <c r="S197" s="34" t="str">
        <f>IFERROR(__xludf.DUMMYFUNCTION("IF(IF(S$1="""","""",REGEXMATCH(LOWER($E197),XLOOKUP(S$1,Metadata!$A$2:$A1000,Metadata!$B$2:$B1000))),S$1,"""")"),"")</f>
        <v/>
      </c>
      <c r="T197" s="34" t="str">
        <f>IFERROR(__xludf.DUMMYFUNCTION("IF(IF(T$1="""","""",REGEXMATCH(LOWER($E197),XLOOKUP(T$1,Metadata!$A$2:$A1000,Metadata!$B$2:$B1000))),T$1,"""")"),"")</f>
        <v/>
      </c>
      <c r="U197" s="34" t="str">
        <f>IFERROR(__xludf.DUMMYFUNCTION("IF(IF(U$1="""","""",REGEXMATCH(LOWER($E197),XLOOKUP(U$1,Metadata!$A$2:$A1000,Metadata!$B$2:$B1000))),U$1,"""")"),"")</f>
        <v/>
      </c>
      <c r="V197" s="34" t="str">
        <f>IFERROR(__xludf.DUMMYFUNCTION("IF(IF(V$1="""","""",REGEXMATCH(LOWER($E197),XLOOKUP(V$1,Metadata!$A$2:$A1000,Metadata!$B$2:$B1000))),V$1,"""")"),"")</f>
        <v/>
      </c>
      <c r="W197" s="34" t="str">
        <f>IFERROR(__xludf.DUMMYFUNCTION("IF(IF(W$1="""","""",REGEXMATCH(LOWER($E197),XLOOKUP(W$1,Metadata!$A$2:$A1000,Metadata!$B$2:$B1000))),W$1,"""")"),"")</f>
        <v/>
      </c>
      <c r="X197" s="34" t="str">
        <f>IFERROR(__xludf.DUMMYFUNCTION("IF(IF(X$1="""","""",REGEXMATCH(LOWER($E197),XLOOKUP(X$1,Metadata!$A$2:$A1000,Metadata!$B$2:$B1000))),X$1,"""")"),"")</f>
        <v/>
      </c>
      <c r="Y197" s="34" t="str">
        <f>IFERROR(__xludf.DUMMYFUNCTION("IF(IF(Y$1="""","""",REGEXMATCH(LOWER($E197),XLOOKUP(Y$1,Metadata!$A$2:$A1000,Metadata!$B$2:$B1000))),Y$1,"""")"),"")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I198">XLOOKUP($A198,Cards!$A$2:$A1000,Cards!$B$2:$I1000,"")</f>
        <v>Mortal</v>
      </c>
      <c r="C198" s="34">
        <v>1.0</v>
      </c>
      <c r="D198" s="34" t="s">
        <v>111</v>
      </c>
      <c r="E198" s="34" t="s">
        <v>1341</v>
      </c>
      <c r="F198" s="34" t="s">
        <v>1342</v>
      </c>
      <c r="G198" s="34">
        <v>2.0</v>
      </c>
      <c r="H198" s="34" t="s">
        <v>1042</v>
      </c>
      <c r="I198" s="34" t="s">
        <v>26</v>
      </c>
      <c r="J198" s="34">
        <f>IFERROR(__xludf.DUMMYFUNCTION("LEN(REGEXREPLACE(XLOOKUP($A198,Cards!$A$2:$A1000,Cards!$H$2:$H1000,""""),"",\s"",""""))"),3.0)</f>
        <v>3</v>
      </c>
      <c r="K198" s="34" t="str">
        <f t="shared" si="1"/>
        <v>               </v>
      </c>
      <c r="L198" s="34" t="str">
        <f>IFERROR(__xludf.DUMMYFUNCTION("IF(IF(L$1="""","""",REGEXMATCH(LOWER($E198),XLOOKUP(L$1,Metadata!$A$2:$A1000,Metadata!$B$2:$B1000))),L$1,"""")"),"")</f>
        <v/>
      </c>
      <c r="M198" s="34" t="str">
        <f>IFERROR(__xludf.DUMMYFUNCTION("IF(IF(M$1="""","""",REGEXMATCH(LOWER($E198),XLOOKUP(M$1,Metadata!$A$2:$A1000,Metadata!$B$2:$B1000))),M$1,"""")"),"")</f>
        <v/>
      </c>
      <c r="N198" s="34" t="str">
        <f>IFERROR(__xludf.DUMMYFUNCTION("IF(IF(N$1="""","""",REGEXMATCH(LOWER($E198),XLOOKUP(N$1,Metadata!$A$2:$A1000,Metadata!$B$2:$B1000))),N$1,"""")"),"")</f>
        <v/>
      </c>
      <c r="O198" s="34" t="str">
        <f>IFERROR(__xludf.DUMMYFUNCTION("IF(IF(O$1="""","""",REGEXMATCH(LOWER($E198),XLOOKUP(O$1,Metadata!$A$2:$A1000,Metadata!$B$2:$B1000))),O$1,"""")"),"")</f>
        <v/>
      </c>
      <c r="P198" s="34" t="str">
        <f>IFERROR(__xludf.DUMMYFUNCTION("IF(IF(P$1="""","""",REGEXMATCH(LOWER($E198),XLOOKUP(P$1,Metadata!$A$2:$A1000,Metadata!$B$2:$B1000))),P$1,"""")"),"")</f>
        <v/>
      </c>
      <c r="Q198" s="34" t="str">
        <f>IFERROR(__xludf.DUMMYFUNCTION("IF(IF(Q$1="""","""",REGEXMATCH(LOWER($E198),XLOOKUP(Q$1,Metadata!$A$2:$A1000,Metadata!$B$2:$B1000))),Q$1,"""")"),"")</f>
        <v/>
      </c>
      <c r="R198" s="34" t="str">
        <f>IFERROR(__xludf.DUMMYFUNCTION("IF(IF(R$1="""","""",REGEXMATCH(LOWER($E198),XLOOKUP(R$1,Metadata!$A$2:$A1000,Metadata!$B$2:$B1000))),R$1,"""")"),"")</f>
        <v/>
      </c>
      <c r="S198" s="34" t="str">
        <f>IFERROR(__xludf.DUMMYFUNCTION("IF(IF(S$1="""","""",REGEXMATCH(LOWER($E198),XLOOKUP(S$1,Metadata!$A$2:$A1000,Metadata!$B$2:$B1000))),S$1,"""")"),"")</f>
        <v/>
      </c>
      <c r="T198" s="34" t="str">
        <f>IFERROR(__xludf.DUMMYFUNCTION("IF(IF(T$1="""","""",REGEXMATCH(LOWER($E198),XLOOKUP(T$1,Metadata!$A$2:$A1000,Metadata!$B$2:$B1000))),T$1,"""")"),"")</f>
        <v/>
      </c>
      <c r="U198" s="34" t="str">
        <f>IFERROR(__xludf.DUMMYFUNCTION("IF(IF(U$1="""","""",REGEXMATCH(LOWER($E198),XLOOKUP(U$1,Metadata!$A$2:$A1000,Metadata!$B$2:$B1000))),U$1,"""")"),"")</f>
        <v/>
      </c>
      <c r="V198" s="34" t="str">
        <f>IFERROR(__xludf.DUMMYFUNCTION("IF(IF(V$1="""","""",REGEXMATCH(LOWER($E198),XLOOKUP(V$1,Metadata!$A$2:$A1000,Metadata!$B$2:$B1000))),V$1,"""")"),"")</f>
        <v/>
      </c>
      <c r="W198" s="34" t="str">
        <f>IFERROR(__xludf.DUMMYFUNCTION("IF(IF(W$1="""","""",REGEXMATCH(LOWER($E198),XLOOKUP(W$1,Metadata!$A$2:$A1000,Metadata!$B$2:$B1000))),W$1,"""")"),"")</f>
        <v/>
      </c>
      <c r="X198" s="34" t="str">
        <f>IFERROR(__xludf.DUMMYFUNCTION("IF(IF(X$1="""","""",REGEXMATCH(LOWER($E198),XLOOKUP(X$1,Metadata!$A$2:$A1000,Metadata!$B$2:$B1000))),X$1,"""")"),"")</f>
        <v/>
      </c>
      <c r="Y198" s="34" t="str">
        <f>IFERROR(__xludf.DUMMYFUNCTION("IF(IF(Y$1="""","""",REGEXMATCH(LOWER($E198),XLOOKUP(Y$1,Metadata!$A$2:$A1000,Metadata!$B$2:$B1000))),Y$1,"""")"),"")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I199">XLOOKUP($A199,Cards!$A$2:$A1000,Cards!$B$2:$I1000,"")</f>
        <v>Mortal</v>
      </c>
      <c r="C199" s="34">
        <v>1.0</v>
      </c>
      <c r="D199" s="34" t="s">
        <v>149</v>
      </c>
      <c r="E199" s="34" t="s">
        <v>1347</v>
      </c>
      <c r="F199" s="34" t="s">
        <v>1348</v>
      </c>
      <c r="G199" s="34">
        <v>4.0</v>
      </c>
      <c r="H199" s="34" t="s">
        <v>1095</v>
      </c>
      <c r="I199" s="34" t="s">
        <v>70</v>
      </c>
      <c r="J199" s="34">
        <f>IFERROR(__xludf.DUMMYFUNCTION("LEN(REGEXREPLACE(XLOOKUP($A199,Cards!$A$2:$A1000,Cards!$H$2:$H1000,""""),"",\s"",""""))"),4.0)</f>
        <v>4</v>
      </c>
      <c r="K199" s="34" t="str">
        <f t="shared" si="1"/>
        <v>               </v>
      </c>
      <c r="L199" s="34" t="str">
        <f>IFERROR(__xludf.DUMMYFUNCTION("IF(IF(L$1="""","""",REGEXMATCH(LOWER($E199),XLOOKUP(L$1,Metadata!$A$2:$A1000,Metadata!$B$2:$B1000))),L$1,"""")"),"")</f>
        <v/>
      </c>
      <c r="M199" s="34" t="str">
        <f>IFERROR(__xludf.DUMMYFUNCTION("IF(IF(M$1="""","""",REGEXMATCH(LOWER($E199),XLOOKUP(M$1,Metadata!$A$2:$A1000,Metadata!$B$2:$B1000))),M$1,"""")"),"")</f>
        <v/>
      </c>
      <c r="N199" s="34" t="str">
        <f>IFERROR(__xludf.DUMMYFUNCTION("IF(IF(N$1="""","""",REGEXMATCH(LOWER($E199),XLOOKUP(N$1,Metadata!$A$2:$A1000,Metadata!$B$2:$B1000))),N$1,"""")"),"")</f>
        <v/>
      </c>
      <c r="O199" s="34" t="str">
        <f>IFERROR(__xludf.DUMMYFUNCTION("IF(IF(O$1="""","""",REGEXMATCH(LOWER($E199),XLOOKUP(O$1,Metadata!$A$2:$A1000,Metadata!$B$2:$B1000))),O$1,"""")"),"")</f>
        <v/>
      </c>
      <c r="P199" s="34" t="str">
        <f>IFERROR(__xludf.DUMMYFUNCTION("IF(IF(P$1="""","""",REGEXMATCH(LOWER($E199),XLOOKUP(P$1,Metadata!$A$2:$A1000,Metadata!$B$2:$B1000))),P$1,"""")"),"")</f>
        <v/>
      </c>
      <c r="Q199" s="34" t="str">
        <f>IFERROR(__xludf.DUMMYFUNCTION("IF(IF(Q$1="""","""",REGEXMATCH(LOWER($E199),XLOOKUP(Q$1,Metadata!$A$2:$A1000,Metadata!$B$2:$B1000))),Q$1,"""")"),"")</f>
        <v/>
      </c>
      <c r="R199" s="34" t="str">
        <f>IFERROR(__xludf.DUMMYFUNCTION("IF(IF(R$1="""","""",REGEXMATCH(LOWER($E199),XLOOKUP(R$1,Metadata!$A$2:$A1000,Metadata!$B$2:$B1000))),R$1,"""")"),"")</f>
        <v/>
      </c>
      <c r="S199" s="34" t="str">
        <f>IFERROR(__xludf.DUMMYFUNCTION("IF(IF(S$1="""","""",REGEXMATCH(LOWER($E199),XLOOKUP(S$1,Metadata!$A$2:$A1000,Metadata!$B$2:$B1000))),S$1,"""")"),"")</f>
        <v/>
      </c>
      <c r="T199" s="34" t="str">
        <f>IFERROR(__xludf.DUMMYFUNCTION("IF(IF(T$1="""","""",REGEXMATCH(LOWER($E199),XLOOKUP(T$1,Metadata!$A$2:$A1000,Metadata!$B$2:$B1000))),T$1,"""")"),"")</f>
        <v/>
      </c>
      <c r="U199" s="34" t="str">
        <f>IFERROR(__xludf.DUMMYFUNCTION("IF(IF(U$1="""","""",REGEXMATCH(LOWER($E199),XLOOKUP(U$1,Metadata!$A$2:$A1000,Metadata!$B$2:$B1000))),U$1,"""")"),"")</f>
        <v/>
      </c>
      <c r="V199" s="34" t="str">
        <f>IFERROR(__xludf.DUMMYFUNCTION("IF(IF(V$1="""","""",REGEXMATCH(LOWER($E199),XLOOKUP(V$1,Metadata!$A$2:$A1000,Metadata!$B$2:$B1000))),V$1,"""")"),"")</f>
        <v/>
      </c>
      <c r="W199" s="34" t="str">
        <f>IFERROR(__xludf.DUMMYFUNCTION("IF(IF(W$1="""","""",REGEXMATCH(LOWER($E199),XLOOKUP(W$1,Metadata!$A$2:$A1000,Metadata!$B$2:$B1000))),W$1,"""")"),"")</f>
        <v/>
      </c>
      <c r="X199" s="34" t="str">
        <f>IFERROR(__xludf.DUMMYFUNCTION("IF(IF(X$1="""","""",REGEXMATCH(LOWER($E199),XLOOKUP(X$1,Metadata!$A$2:$A1000,Metadata!$B$2:$B1000))),X$1,"""")"),"")</f>
        <v/>
      </c>
      <c r="Y199" s="34" t="str">
        <f>IFERROR(__xludf.DUMMYFUNCTION("IF(IF(Y$1="""","""",REGEXMATCH(LOWER($E199),XLOOKUP(Y$1,Metadata!$A$2:$A1000,Metadata!$B$2:$B1000))),Y$1,"""")"),"")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I200">XLOOKUP($A200,Cards!$A$2:$A1000,Cards!$B$2:$I1000,"")</f>
        <v>Mortal</v>
      </c>
      <c r="C200" s="34">
        <v>1.0</v>
      </c>
      <c r="D200" s="34" t="s">
        <v>37</v>
      </c>
      <c r="E200" s="34" t="s">
        <v>1358</v>
      </c>
      <c r="F200" s="34" t="s">
        <v>1359</v>
      </c>
      <c r="G200" s="34">
        <v>1.0</v>
      </c>
      <c r="H200" s="34" t="s">
        <v>1051</v>
      </c>
      <c r="I200" s="34" t="s">
        <v>70</v>
      </c>
      <c r="J200" s="34">
        <f>IFERROR(__xludf.DUMMYFUNCTION("LEN(REGEXREPLACE(XLOOKUP($A200,Cards!$A$2:$A1000,Cards!$H$2:$H1000,""""),"",\s"",""""))"),2.0)</f>
        <v>2</v>
      </c>
      <c r="K200" s="34" t="str">
        <f t="shared" si="1"/>
        <v>      Ramp         </v>
      </c>
      <c r="L200" s="34" t="str">
        <f>IFERROR(__xludf.DUMMYFUNCTION("IF(IF(L$1="""","""",REGEXMATCH(LOWER($E200),XLOOKUP(L$1,Metadata!$A$2:$A1000,Metadata!$B$2:$B1000))),L$1,"""")"),"")</f>
        <v/>
      </c>
      <c r="M200" s="34" t="str">
        <f>IFERROR(__xludf.DUMMYFUNCTION("IF(IF(M$1="""","""",REGEXMATCH(LOWER($E200),XLOOKUP(M$1,Metadata!$A$2:$A1000,Metadata!$B$2:$B1000))),M$1,"""")"),"")</f>
        <v/>
      </c>
      <c r="N200" s="34" t="str">
        <f>IFERROR(__xludf.DUMMYFUNCTION("IF(IF(N$1="""","""",REGEXMATCH(LOWER($E200),XLOOKUP(N$1,Metadata!$A$2:$A1000,Metadata!$B$2:$B1000))),N$1,"""")"),"")</f>
        <v/>
      </c>
      <c r="O200" s="34" t="str">
        <f>IFERROR(__xludf.DUMMYFUNCTION("IF(IF(O$1="""","""",REGEXMATCH(LOWER($E200),XLOOKUP(O$1,Metadata!$A$2:$A1000,Metadata!$B$2:$B1000))),O$1,"""")"),"")</f>
        <v/>
      </c>
      <c r="P200" s="34" t="str">
        <f>IFERROR(__xludf.DUMMYFUNCTION("IF(IF(P$1="""","""",REGEXMATCH(LOWER($E200),XLOOKUP(P$1,Metadata!$A$2:$A1000,Metadata!$B$2:$B1000))),P$1,"""")"),"")</f>
        <v/>
      </c>
      <c r="Q200" s="34" t="str">
        <f>IFERROR(__xludf.DUMMYFUNCTION("IF(IF(Q$1="""","""",REGEXMATCH(LOWER($E200),XLOOKUP(Q$1,Metadata!$A$2:$A1000,Metadata!$B$2:$B1000))),Q$1,"""")"),"")</f>
        <v/>
      </c>
      <c r="R200" s="34" t="str">
        <f>IFERROR(__xludf.DUMMYFUNCTION("IF(IF(R$1="""","""",REGEXMATCH(LOWER($E200),XLOOKUP(R$1,Metadata!$A$2:$A1000,Metadata!$B$2:$B1000))),R$1,"""")"),"Ramp")</f>
        <v>Ramp</v>
      </c>
      <c r="S200" s="34" t="str">
        <f>IFERROR(__xludf.DUMMYFUNCTION("IF(IF(S$1="""","""",REGEXMATCH(LOWER($E200),XLOOKUP(S$1,Metadata!$A$2:$A1000,Metadata!$B$2:$B1000))),S$1,"""")"),"")</f>
        <v/>
      </c>
      <c r="T200" s="34" t="str">
        <f>IFERROR(__xludf.DUMMYFUNCTION("IF(IF(T$1="""","""",REGEXMATCH(LOWER($E200),XLOOKUP(T$1,Metadata!$A$2:$A1000,Metadata!$B$2:$B1000))),T$1,"""")"),"")</f>
        <v/>
      </c>
      <c r="U200" s="34" t="str">
        <f>IFERROR(__xludf.DUMMYFUNCTION("IF(IF(U$1="""","""",REGEXMATCH(LOWER($E200),XLOOKUP(U$1,Metadata!$A$2:$A1000,Metadata!$B$2:$B1000))),U$1,"""")"),"")</f>
        <v/>
      </c>
      <c r="V200" s="34" t="str">
        <f>IFERROR(__xludf.DUMMYFUNCTION("IF(IF(V$1="""","""",REGEXMATCH(LOWER($E200),XLOOKUP(V$1,Metadata!$A$2:$A1000,Metadata!$B$2:$B1000))),V$1,"""")"),"")</f>
        <v/>
      </c>
      <c r="W200" s="34" t="str">
        <f>IFERROR(__xludf.DUMMYFUNCTION("IF(IF(W$1="""","""",REGEXMATCH(LOWER($E200),XLOOKUP(W$1,Metadata!$A$2:$A1000,Metadata!$B$2:$B1000))),W$1,"""")"),"")</f>
        <v/>
      </c>
      <c r="X200" s="34" t="str">
        <f>IFERROR(__xludf.DUMMYFUNCTION("IF(IF(X$1="""","""",REGEXMATCH(LOWER($E200),XLOOKUP(X$1,Metadata!$A$2:$A1000,Metadata!$B$2:$B1000))),X$1,"""")"),"")</f>
        <v/>
      </c>
      <c r="Y200" s="34" t="str">
        <f>IFERROR(__xludf.DUMMYFUNCTION("IF(IF(Y$1="""","""",REGEXMATCH(LOWER($E200),XLOOKUP(Y$1,Metadata!$A$2:$A1000,Metadata!$B$2:$B1000))),Y$1,"""")"),"")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I201">XLOOKUP($A201,Cards!$A$2:$A1000,Cards!$B$2:$I1000,"")</f>
        <v>Mortal</v>
      </c>
      <c r="C201" s="34">
        <v>2.0</v>
      </c>
      <c r="D201" s="34" t="s">
        <v>1365</v>
      </c>
      <c r="E201" s="34" t="s">
        <v>1366</v>
      </c>
      <c r="F201" s="34" t="s">
        <v>1367</v>
      </c>
      <c r="G201" s="34">
        <v>5.0</v>
      </c>
      <c r="H201" s="34" t="s">
        <v>443</v>
      </c>
      <c r="I201" s="34" t="s">
        <v>26</v>
      </c>
      <c r="J201" s="34">
        <f>IFERROR(__xludf.DUMMYFUNCTION("LEN(REGEXREPLACE(XLOOKUP($A201,Cards!$A$2:$A1000,Cards!$H$2:$H1000,""""),"",\s"",""""))"),5.0)</f>
        <v>5</v>
      </c>
      <c r="K201" s="34" t="str">
        <f t="shared" si="1"/>
        <v>            Ambush   </v>
      </c>
      <c r="L201" s="34" t="str">
        <f>IFERROR(__xludf.DUMMYFUNCTION("IF(IF(L$1="""","""",REGEXMATCH(LOWER($E201),XLOOKUP(L$1,Metadata!$A$2:$A1000,Metadata!$B$2:$B1000))),L$1,"""")"),"")</f>
        <v/>
      </c>
      <c r="M201" s="34" t="str">
        <f>IFERROR(__xludf.DUMMYFUNCTION("IF(IF(M$1="""","""",REGEXMATCH(LOWER($E201),XLOOKUP(M$1,Metadata!$A$2:$A1000,Metadata!$B$2:$B1000))),M$1,"""")"),"")</f>
        <v/>
      </c>
      <c r="N201" s="34" t="str">
        <f>IFERROR(__xludf.DUMMYFUNCTION("IF(IF(N$1="""","""",REGEXMATCH(LOWER($E201),XLOOKUP(N$1,Metadata!$A$2:$A1000,Metadata!$B$2:$B1000))),N$1,"""")"),"")</f>
        <v/>
      </c>
      <c r="O201" s="34" t="str">
        <f>IFERROR(__xludf.DUMMYFUNCTION("IF(IF(O$1="""","""",REGEXMATCH(LOWER($E201),XLOOKUP(O$1,Metadata!$A$2:$A1000,Metadata!$B$2:$B1000))),O$1,"""")"),"")</f>
        <v/>
      </c>
      <c r="P201" s="34" t="str">
        <f>IFERROR(__xludf.DUMMYFUNCTION("IF(IF(P$1="""","""",REGEXMATCH(LOWER($E201),XLOOKUP(P$1,Metadata!$A$2:$A1000,Metadata!$B$2:$B1000))),P$1,"""")"),"")</f>
        <v/>
      </c>
      <c r="Q201" s="34" t="str">
        <f>IFERROR(__xludf.DUMMYFUNCTION("IF(IF(Q$1="""","""",REGEXMATCH(LOWER($E201),XLOOKUP(Q$1,Metadata!$A$2:$A1000,Metadata!$B$2:$B1000))),Q$1,"""")"),"")</f>
        <v/>
      </c>
      <c r="R201" s="34" t="str">
        <f>IFERROR(__xludf.DUMMYFUNCTION("IF(IF(R$1="""","""",REGEXMATCH(LOWER($E201),XLOOKUP(R$1,Metadata!$A$2:$A1000,Metadata!$B$2:$B1000))),R$1,"""")"),"")</f>
        <v/>
      </c>
      <c r="S201" s="34" t="str">
        <f>IFERROR(__xludf.DUMMYFUNCTION("IF(IF(S$1="""","""",REGEXMATCH(LOWER($E201),XLOOKUP(S$1,Metadata!$A$2:$A1000,Metadata!$B$2:$B1000))),S$1,"""")"),"")</f>
        <v/>
      </c>
      <c r="T201" s="34" t="str">
        <f>IFERROR(__xludf.DUMMYFUNCTION("IF(IF(T$1="""","""",REGEXMATCH(LOWER($E201),XLOOKUP(T$1,Metadata!$A$2:$A1000,Metadata!$B$2:$B1000))),T$1,"""")"),"")</f>
        <v/>
      </c>
      <c r="U201" s="34" t="str">
        <f>IFERROR(__xludf.DUMMYFUNCTION("IF(IF(U$1="""","""",REGEXMATCH(LOWER($E201),XLOOKUP(U$1,Metadata!$A$2:$A1000,Metadata!$B$2:$B1000))),U$1,"""")"),"")</f>
        <v/>
      </c>
      <c r="V201" s="34" t="str">
        <f>IFERROR(__xludf.DUMMYFUNCTION("IF(IF(V$1="""","""",REGEXMATCH(LOWER($E201),XLOOKUP(V$1,Metadata!$A$2:$A1000,Metadata!$B$2:$B1000))),V$1,"""")"),"")</f>
        <v/>
      </c>
      <c r="W201" s="34" t="str">
        <f>IFERROR(__xludf.DUMMYFUNCTION("IF(IF(W$1="""","""",REGEXMATCH(LOWER($E201),XLOOKUP(W$1,Metadata!$A$2:$A1000,Metadata!$B$2:$B1000))),W$1,"""")"),"")</f>
        <v/>
      </c>
      <c r="X201" s="34" t="str">
        <f>IFERROR(__xludf.DUMMYFUNCTION("IF(IF(X$1="""","""",REGEXMATCH(LOWER($E201),XLOOKUP(X$1,Metadata!$A$2:$A1000,Metadata!$B$2:$B1000))),X$1,"""")"),"Ambush")</f>
        <v>Ambush</v>
      </c>
      <c r="Y201" s="34" t="str">
        <f>IFERROR(__xludf.DUMMYFUNCTION("IF(IF(Y$1="""","""",REGEXMATCH(LOWER($E201),XLOOKUP(Y$1,Metadata!$A$2:$A1000,Metadata!$B$2:$B1000))),Y$1,"""")"),"")</f>
        <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I202">XLOOKUP($A202,Cards!$A$2:$A1000,Cards!$B$2:$I1000,"")</f>
        <v>Mortal Nature</v>
      </c>
      <c r="C202" s="34">
        <v>2.0</v>
      </c>
      <c r="D202" s="34" t="s">
        <v>1370</v>
      </c>
      <c r="E202" s="34" t="s">
        <v>1371</v>
      </c>
      <c r="F202" s="34" t="s">
        <v>24</v>
      </c>
      <c r="G202" s="34">
        <v>7.0</v>
      </c>
      <c r="H202" s="34" t="s">
        <v>1372</v>
      </c>
      <c r="I202" s="34" t="s">
        <v>70</v>
      </c>
      <c r="J202" s="34">
        <f>IFERROR(__xludf.DUMMYFUNCTION("LEN(REGEXREPLACE(XLOOKUP($A202,Cards!$A$2:$A1000,Cards!$H$2:$H1000,""""),"",\s"",""""))"),6.0)</f>
        <v>6</v>
      </c>
      <c r="K202" s="34" t="str">
        <f t="shared" si="1"/>
        <v>         Aggro      </v>
      </c>
      <c r="L202" s="34" t="str">
        <f>IFERROR(__xludf.DUMMYFUNCTION("IF(IF(L$1="""","""",REGEXMATCH(LOWER($E202),XLOOKUP(L$1,Metadata!$A$2:$A1000,Metadata!$B$2:$B1000))),L$1,"""")"),"")</f>
        <v/>
      </c>
      <c r="M202" s="34" t="str">
        <f>IFERROR(__xludf.DUMMYFUNCTION("IF(IF(M$1="""","""",REGEXMATCH(LOWER($E202),XLOOKUP(M$1,Metadata!$A$2:$A1000,Metadata!$B$2:$B1000))),M$1,"""")"),"")</f>
        <v/>
      </c>
      <c r="N202" s="34" t="str">
        <f>IFERROR(__xludf.DUMMYFUNCTION("IF(IF(N$1="""","""",REGEXMATCH(LOWER($E202),XLOOKUP(N$1,Metadata!$A$2:$A1000,Metadata!$B$2:$B1000))),N$1,"""")"),"")</f>
        <v/>
      </c>
      <c r="O202" s="34" t="str">
        <f>IFERROR(__xludf.DUMMYFUNCTION("IF(IF(O$1="""","""",REGEXMATCH(LOWER($E202),XLOOKUP(O$1,Metadata!$A$2:$A1000,Metadata!$B$2:$B1000))),O$1,"""")"),"")</f>
        <v/>
      </c>
      <c r="P202" s="34" t="str">
        <f>IFERROR(__xludf.DUMMYFUNCTION("IF(IF(P$1="""","""",REGEXMATCH(LOWER($E202),XLOOKUP(P$1,Metadata!$A$2:$A1000,Metadata!$B$2:$B1000))),P$1,"""")"),"")</f>
        <v/>
      </c>
      <c r="Q202" s="34" t="str">
        <f>IFERROR(__xludf.DUMMYFUNCTION("IF(IF(Q$1="""","""",REGEXMATCH(LOWER($E202),XLOOKUP(Q$1,Metadata!$A$2:$A1000,Metadata!$B$2:$B1000))),Q$1,"""")"),"")</f>
        <v/>
      </c>
      <c r="R202" s="34" t="str">
        <f>IFERROR(__xludf.DUMMYFUNCTION("IF(IF(R$1="""","""",REGEXMATCH(LOWER($E202),XLOOKUP(R$1,Metadata!$A$2:$A1000,Metadata!$B$2:$B1000))),R$1,"""")"),"")</f>
        <v/>
      </c>
      <c r="S202" s="34" t="str">
        <f>IFERROR(__xludf.DUMMYFUNCTION("IF(IF(S$1="""","""",REGEXMATCH(LOWER($E202),XLOOKUP(S$1,Metadata!$A$2:$A1000,Metadata!$B$2:$B1000))),S$1,"""")"),"")</f>
        <v/>
      </c>
      <c r="T202" s="34" t="str">
        <f>IFERROR(__xludf.DUMMYFUNCTION("IF(IF(T$1="""","""",REGEXMATCH(LOWER($E202),XLOOKUP(T$1,Metadata!$A$2:$A1000,Metadata!$B$2:$B1000))),T$1,"""")"),"")</f>
        <v/>
      </c>
      <c r="U202" s="34" t="str">
        <f>IFERROR(__xludf.DUMMYFUNCTION("IF(IF(U$1="""","""",REGEXMATCH(LOWER($E202),XLOOKUP(U$1,Metadata!$A$2:$A1000,Metadata!$B$2:$B1000))),U$1,"""")"),"Aggro")</f>
        <v>Aggro</v>
      </c>
      <c r="V202" s="34" t="str">
        <f>IFERROR(__xludf.DUMMYFUNCTION("IF(IF(V$1="""","""",REGEXMATCH(LOWER($E202),XLOOKUP(V$1,Metadata!$A$2:$A1000,Metadata!$B$2:$B1000))),V$1,"""")"),"")</f>
        <v/>
      </c>
      <c r="W202" s="34" t="str">
        <f>IFERROR(__xludf.DUMMYFUNCTION("IF(IF(W$1="""","""",REGEXMATCH(LOWER($E202),XLOOKUP(W$1,Metadata!$A$2:$A1000,Metadata!$B$2:$B1000))),W$1,"""")"),"")</f>
        <v/>
      </c>
      <c r="X202" s="34" t="str">
        <f>IFERROR(__xludf.DUMMYFUNCTION("IF(IF(X$1="""","""",REGEXMATCH(LOWER($E202),XLOOKUP(X$1,Metadata!$A$2:$A1000,Metadata!$B$2:$B1000))),X$1,"""")"),"")</f>
        <v/>
      </c>
      <c r="Y202" s="34" t="str">
        <f>IFERROR(__xludf.DUMMYFUNCTION("IF(IF(Y$1="""","""",REGEXMATCH(LOWER($E202),XLOOKUP(Y$1,Metadata!$A$2:$A1000,Metadata!$B$2:$B1000))),Y$1,"""")"),"")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I203">XLOOKUP($A203,Cards!$A$2:$A1000,Cards!$B$2:$I1000,"")</f>
        <v>Mortal</v>
      </c>
      <c r="C203" s="34">
        <v>1.0</v>
      </c>
      <c r="D203" s="34" t="s">
        <v>250</v>
      </c>
      <c r="E203" s="34" t="s">
        <v>1374</v>
      </c>
      <c r="F203" s="34" t="s">
        <v>1375</v>
      </c>
      <c r="G203" s="34">
        <v>2.0</v>
      </c>
      <c r="H203" s="34" t="s">
        <v>1042</v>
      </c>
      <c r="I203" s="34" t="s">
        <v>70</v>
      </c>
      <c r="J203" s="34">
        <f>IFERROR(__xludf.DUMMYFUNCTION("LEN(REGEXREPLACE(XLOOKUP($A203,Cards!$A$2:$A1000,Cards!$H$2:$H1000,""""),"",\s"",""""))"),3.0)</f>
        <v>3</v>
      </c>
      <c r="K203" s="34" t="str">
        <f t="shared" si="1"/>
        <v>               </v>
      </c>
      <c r="L203" s="34" t="str">
        <f>IFERROR(__xludf.DUMMYFUNCTION("IF(IF(L$1="""","""",REGEXMATCH(LOWER($E203),XLOOKUP(L$1,Metadata!$A$2:$A1000,Metadata!$B$2:$B1000))),L$1,"""")"),"")</f>
        <v/>
      </c>
      <c r="M203" s="34" t="str">
        <f>IFERROR(__xludf.DUMMYFUNCTION("IF(IF(M$1="""","""",REGEXMATCH(LOWER($E203),XLOOKUP(M$1,Metadata!$A$2:$A1000,Metadata!$B$2:$B1000))),M$1,"""")"),"")</f>
        <v/>
      </c>
      <c r="N203" s="34" t="str">
        <f>IFERROR(__xludf.DUMMYFUNCTION("IF(IF(N$1="""","""",REGEXMATCH(LOWER($E203),XLOOKUP(N$1,Metadata!$A$2:$A1000,Metadata!$B$2:$B1000))),N$1,"""")"),"")</f>
        <v/>
      </c>
      <c r="O203" s="34" t="str">
        <f>IFERROR(__xludf.DUMMYFUNCTION("IF(IF(O$1="""","""",REGEXMATCH(LOWER($E203),XLOOKUP(O$1,Metadata!$A$2:$A1000,Metadata!$B$2:$B1000))),O$1,"""")"),"")</f>
        <v/>
      </c>
      <c r="P203" s="34" t="str">
        <f>IFERROR(__xludf.DUMMYFUNCTION("IF(IF(P$1="""","""",REGEXMATCH(LOWER($E203),XLOOKUP(P$1,Metadata!$A$2:$A1000,Metadata!$B$2:$B1000))),P$1,"""")"),"")</f>
        <v/>
      </c>
      <c r="Q203" s="34" t="str">
        <f>IFERROR(__xludf.DUMMYFUNCTION("IF(IF(Q$1="""","""",REGEXMATCH(LOWER($E203),XLOOKUP(Q$1,Metadata!$A$2:$A1000,Metadata!$B$2:$B1000))),Q$1,"""")"),"")</f>
        <v/>
      </c>
      <c r="R203" s="34" t="str">
        <f>IFERROR(__xludf.DUMMYFUNCTION("IF(IF(R$1="""","""",REGEXMATCH(LOWER($E203),XLOOKUP(R$1,Metadata!$A$2:$A1000,Metadata!$B$2:$B1000))),R$1,"""")"),"")</f>
        <v/>
      </c>
      <c r="S203" s="34" t="str">
        <f>IFERROR(__xludf.DUMMYFUNCTION("IF(IF(S$1="""","""",REGEXMATCH(LOWER($E203),XLOOKUP(S$1,Metadata!$A$2:$A1000,Metadata!$B$2:$B1000))),S$1,"""")"),"")</f>
        <v/>
      </c>
      <c r="T203" s="34" t="str">
        <f>IFERROR(__xludf.DUMMYFUNCTION("IF(IF(T$1="""","""",REGEXMATCH(LOWER($E203),XLOOKUP(T$1,Metadata!$A$2:$A1000,Metadata!$B$2:$B1000))),T$1,"""")"),"")</f>
        <v/>
      </c>
      <c r="U203" s="34" t="str">
        <f>IFERROR(__xludf.DUMMYFUNCTION("IF(IF(U$1="""","""",REGEXMATCH(LOWER($E203),XLOOKUP(U$1,Metadata!$A$2:$A1000,Metadata!$B$2:$B1000))),U$1,"""")"),"")</f>
        <v/>
      </c>
      <c r="V203" s="34" t="str">
        <f>IFERROR(__xludf.DUMMYFUNCTION("IF(IF(V$1="""","""",REGEXMATCH(LOWER($E203),XLOOKUP(V$1,Metadata!$A$2:$A1000,Metadata!$B$2:$B1000))),V$1,"""")"),"")</f>
        <v/>
      </c>
      <c r="W203" s="34" t="str">
        <f>IFERROR(__xludf.DUMMYFUNCTION("IF(IF(W$1="""","""",REGEXMATCH(LOWER($E203),XLOOKUP(W$1,Metadata!$A$2:$A1000,Metadata!$B$2:$B1000))),W$1,"""")"),"")</f>
        <v/>
      </c>
      <c r="X203" s="34" t="str">
        <f>IFERROR(__xludf.DUMMYFUNCTION("IF(IF(X$1="""","""",REGEXMATCH(LOWER($E203),XLOOKUP(X$1,Metadata!$A$2:$A1000,Metadata!$B$2:$B1000))),X$1,"""")"),"")</f>
        <v/>
      </c>
      <c r="Y203" s="34" t="str">
        <f>IFERROR(__xludf.DUMMYFUNCTION("IF(IF(Y$1="""","""",REGEXMATCH(LOWER($E203),XLOOKUP(Y$1,Metadata!$A$2:$A1000,Metadata!$B$2:$B1000))),Y$1,"""")"),"")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I204">XLOOKUP($A204,Cards!$A$2:$A1000,Cards!$B$2:$I1000,"")</f>
        <v>Mortal Nature</v>
      </c>
      <c r="C204" s="34">
        <v>2.0</v>
      </c>
      <c r="D204" s="34" t="s">
        <v>408</v>
      </c>
      <c r="E204" s="34" t="s">
        <v>1381</v>
      </c>
      <c r="F204" s="34" t="s">
        <v>1382</v>
      </c>
      <c r="G204" s="34">
        <v>3.0</v>
      </c>
      <c r="H204" s="34" t="s">
        <v>1383</v>
      </c>
      <c r="I204" s="34" t="s">
        <v>70</v>
      </c>
      <c r="J204" s="34">
        <f>IFERROR(__xludf.DUMMYFUNCTION("LEN(REGEXREPLACE(XLOOKUP($A204,Cards!$A$2:$A1000,Cards!$H$2:$H1000,""""),"",\s"",""""))"),4.0)</f>
        <v>4</v>
      </c>
      <c r="K204" s="34" t="str">
        <f t="shared" si="1"/>
        <v>      Ramp         </v>
      </c>
      <c r="L204" s="34" t="str">
        <f>IFERROR(__xludf.DUMMYFUNCTION("IF(IF(L$1="""","""",REGEXMATCH(LOWER($E204),XLOOKUP(L$1,Metadata!$A$2:$A1000,Metadata!$B$2:$B1000))),L$1,"""")"),"")</f>
        <v/>
      </c>
      <c r="M204" s="34" t="str">
        <f>IFERROR(__xludf.DUMMYFUNCTION("IF(IF(M$1="""","""",REGEXMATCH(LOWER($E204),XLOOKUP(M$1,Metadata!$A$2:$A1000,Metadata!$B$2:$B1000))),M$1,"""")"),"")</f>
        <v/>
      </c>
      <c r="N204" s="34" t="str">
        <f>IFERROR(__xludf.DUMMYFUNCTION("IF(IF(N$1="""","""",REGEXMATCH(LOWER($E204),XLOOKUP(N$1,Metadata!$A$2:$A1000,Metadata!$B$2:$B1000))),N$1,"""")"),"")</f>
        <v/>
      </c>
      <c r="O204" s="34" t="str">
        <f>IFERROR(__xludf.DUMMYFUNCTION("IF(IF(O$1="""","""",REGEXMATCH(LOWER($E204),XLOOKUP(O$1,Metadata!$A$2:$A1000,Metadata!$B$2:$B1000))),O$1,"""")"),"")</f>
        <v/>
      </c>
      <c r="P204" s="34" t="str">
        <f>IFERROR(__xludf.DUMMYFUNCTION("IF(IF(P$1="""","""",REGEXMATCH(LOWER($E204),XLOOKUP(P$1,Metadata!$A$2:$A1000,Metadata!$B$2:$B1000))),P$1,"""")"),"")</f>
        <v/>
      </c>
      <c r="Q204" s="34" t="str">
        <f>IFERROR(__xludf.DUMMYFUNCTION("IF(IF(Q$1="""","""",REGEXMATCH(LOWER($E204),XLOOKUP(Q$1,Metadata!$A$2:$A1000,Metadata!$B$2:$B1000))),Q$1,"""")"),"")</f>
        <v/>
      </c>
      <c r="R204" s="34" t="str">
        <f>IFERROR(__xludf.DUMMYFUNCTION("IF(IF(R$1="""","""",REGEXMATCH(LOWER($E204),XLOOKUP(R$1,Metadata!$A$2:$A1000,Metadata!$B$2:$B1000))),R$1,"""")"),"Ramp")</f>
        <v>Ramp</v>
      </c>
      <c r="S204" s="34" t="str">
        <f>IFERROR(__xludf.DUMMYFUNCTION("IF(IF(S$1="""","""",REGEXMATCH(LOWER($E204),XLOOKUP(S$1,Metadata!$A$2:$A1000,Metadata!$B$2:$B1000))),S$1,"""")"),"")</f>
        <v/>
      </c>
      <c r="T204" s="34" t="str">
        <f>IFERROR(__xludf.DUMMYFUNCTION("IF(IF(T$1="""","""",REGEXMATCH(LOWER($E204),XLOOKUP(T$1,Metadata!$A$2:$A1000,Metadata!$B$2:$B1000))),T$1,"""")"),"")</f>
        <v/>
      </c>
      <c r="U204" s="34" t="str">
        <f>IFERROR(__xludf.DUMMYFUNCTION("IF(IF(U$1="""","""",REGEXMATCH(LOWER($E204),XLOOKUP(U$1,Metadata!$A$2:$A1000,Metadata!$B$2:$B1000))),U$1,"""")"),"")</f>
        <v/>
      </c>
      <c r="V204" s="34" t="str">
        <f>IFERROR(__xludf.DUMMYFUNCTION("IF(IF(V$1="""","""",REGEXMATCH(LOWER($E204),XLOOKUP(V$1,Metadata!$A$2:$A1000,Metadata!$B$2:$B1000))),V$1,"""")"),"")</f>
        <v/>
      </c>
      <c r="W204" s="34" t="str">
        <f>IFERROR(__xludf.DUMMYFUNCTION("IF(IF(W$1="""","""",REGEXMATCH(LOWER($E204),XLOOKUP(W$1,Metadata!$A$2:$A1000,Metadata!$B$2:$B1000))),W$1,"""")"),"")</f>
        <v/>
      </c>
      <c r="X204" s="34" t="str">
        <f>IFERROR(__xludf.DUMMYFUNCTION("IF(IF(X$1="""","""",REGEXMATCH(LOWER($E204),XLOOKUP(X$1,Metadata!$A$2:$A1000,Metadata!$B$2:$B1000))),X$1,"""")"),"")</f>
        <v/>
      </c>
      <c r="Y204" s="34" t="str">
        <f>IFERROR(__xludf.DUMMYFUNCTION("IF(IF(Y$1="""","""",REGEXMATCH(LOWER($E204),XLOOKUP(Y$1,Metadata!$A$2:$A1000,Metadata!$B$2:$B1000))),Y$1,"""")"),"")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I205">XLOOKUP($A205,Cards!$A$2:$A1000,Cards!$B$2:$I1000,"")</f>
        <v>Mortal</v>
      </c>
      <c r="C205" s="34">
        <v>1.0</v>
      </c>
      <c r="D205" s="34" t="s">
        <v>80</v>
      </c>
      <c r="E205" s="34" t="s">
        <v>1385</v>
      </c>
      <c r="F205" s="34" t="s">
        <v>1386</v>
      </c>
      <c r="G205" s="34">
        <v>2.0</v>
      </c>
      <c r="H205" s="34" t="s">
        <v>1095</v>
      </c>
      <c r="I205" s="34" t="s">
        <v>70</v>
      </c>
      <c r="J205" s="34">
        <f>IFERROR(__xludf.DUMMYFUNCTION("LEN(REGEXREPLACE(XLOOKUP($A205,Cards!$A$2:$A1000,Cards!$H$2:$H1000,""""),"",\s"",""""))"),4.0)</f>
        <v>4</v>
      </c>
      <c r="K205" s="34" t="str">
        <f t="shared" si="1"/>
        <v>         Aggro      </v>
      </c>
      <c r="L205" s="34" t="str">
        <f>IFERROR(__xludf.DUMMYFUNCTION("IF(IF(L$1="""","""",REGEXMATCH(LOWER($E205),XLOOKUP(L$1,Metadata!$A$2:$A1000,Metadata!$B$2:$B1000))),L$1,"""")"),"")</f>
        <v/>
      </c>
      <c r="M205" s="34" t="str">
        <f>IFERROR(__xludf.DUMMYFUNCTION("IF(IF(M$1="""","""",REGEXMATCH(LOWER($E205),XLOOKUP(M$1,Metadata!$A$2:$A1000,Metadata!$B$2:$B1000))),M$1,"""")"),"")</f>
        <v/>
      </c>
      <c r="N205" s="34" t="str">
        <f>IFERROR(__xludf.DUMMYFUNCTION("IF(IF(N$1="""","""",REGEXMATCH(LOWER($E205),XLOOKUP(N$1,Metadata!$A$2:$A1000,Metadata!$B$2:$B1000))),N$1,"""")"),"")</f>
        <v/>
      </c>
      <c r="O205" s="34" t="str">
        <f>IFERROR(__xludf.DUMMYFUNCTION("IF(IF(O$1="""","""",REGEXMATCH(LOWER($E205),XLOOKUP(O$1,Metadata!$A$2:$A1000,Metadata!$B$2:$B1000))),O$1,"""")"),"")</f>
        <v/>
      </c>
      <c r="P205" s="34" t="str">
        <f>IFERROR(__xludf.DUMMYFUNCTION("IF(IF(P$1="""","""",REGEXMATCH(LOWER($E205),XLOOKUP(P$1,Metadata!$A$2:$A1000,Metadata!$B$2:$B1000))),P$1,"""")"),"")</f>
        <v/>
      </c>
      <c r="Q205" s="34" t="str">
        <f>IFERROR(__xludf.DUMMYFUNCTION("IF(IF(Q$1="""","""",REGEXMATCH(LOWER($E205),XLOOKUP(Q$1,Metadata!$A$2:$A1000,Metadata!$B$2:$B1000))),Q$1,"""")"),"")</f>
        <v/>
      </c>
      <c r="R205" s="34" t="str">
        <f>IFERROR(__xludf.DUMMYFUNCTION("IF(IF(R$1="""","""",REGEXMATCH(LOWER($E205),XLOOKUP(R$1,Metadata!$A$2:$A1000,Metadata!$B$2:$B1000))),R$1,"""")"),"")</f>
        <v/>
      </c>
      <c r="S205" s="34" t="str">
        <f>IFERROR(__xludf.DUMMYFUNCTION("IF(IF(S$1="""","""",REGEXMATCH(LOWER($E205),XLOOKUP(S$1,Metadata!$A$2:$A1000,Metadata!$B$2:$B1000))),S$1,"""")"),"")</f>
        <v/>
      </c>
      <c r="T205" s="34" t="str">
        <f>IFERROR(__xludf.DUMMYFUNCTION("IF(IF(T$1="""","""",REGEXMATCH(LOWER($E205),XLOOKUP(T$1,Metadata!$A$2:$A1000,Metadata!$B$2:$B1000))),T$1,"""")"),"")</f>
        <v/>
      </c>
      <c r="U205" s="34" t="str">
        <f>IFERROR(__xludf.DUMMYFUNCTION("IF(IF(U$1="""","""",REGEXMATCH(LOWER($E205),XLOOKUP(U$1,Metadata!$A$2:$A1000,Metadata!$B$2:$B1000))),U$1,"""")"),"Aggro")</f>
        <v>Aggro</v>
      </c>
      <c r="V205" s="34" t="str">
        <f>IFERROR(__xludf.DUMMYFUNCTION("IF(IF(V$1="""","""",REGEXMATCH(LOWER($E205),XLOOKUP(V$1,Metadata!$A$2:$A1000,Metadata!$B$2:$B1000))),V$1,"""")"),"")</f>
        <v/>
      </c>
      <c r="W205" s="34" t="str">
        <f>IFERROR(__xludf.DUMMYFUNCTION("IF(IF(W$1="""","""",REGEXMATCH(LOWER($E205),XLOOKUP(W$1,Metadata!$A$2:$A1000,Metadata!$B$2:$B1000))),W$1,"""")"),"")</f>
        <v/>
      </c>
      <c r="X205" s="34" t="str">
        <f>IFERROR(__xludf.DUMMYFUNCTION("IF(IF(X$1="""","""",REGEXMATCH(LOWER($E205),XLOOKUP(X$1,Metadata!$A$2:$A1000,Metadata!$B$2:$B1000))),X$1,"""")"),"")</f>
        <v/>
      </c>
      <c r="Y205" s="34" t="str">
        <f>IFERROR(__xludf.DUMMYFUNCTION("IF(IF(Y$1="""","""",REGEXMATCH(LOWER($E205),XLOOKUP(Y$1,Metadata!$A$2:$A1000,Metadata!$B$2:$B1000))),Y$1,"""")"),"")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I206">XLOOKUP($A206,Cards!$A$2:$A1000,Cards!$B$2:$I1000,"")</f>
        <v>Mortal Nature</v>
      </c>
      <c r="C206" s="34">
        <v>2.0</v>
      </c>
      <c r="D206" s="34" t="s">
        <v>238</v>
      </c>
      <c r="E206" s="34" t="s">
        <v>1394</v>
      </c>
      <c r="F206" s="34" t="s">
        <v>168</v>
      </c>
      <c r="G206" s="34">
        <v>2.0</v>
      </c>
      <c r="H206" s="34" t="s">
        <v>1395</v>
      </c>
      <c r="I206" s="34" t="s">
        <v>70</v>
      </c>
      <c r="J206" s="34">
        <f>IFERROR(__xludf.DUMMYFUNCTION("LEN(REGEXREPLACE(XLOOKUP($A206,Cards!$A$2:$A1000,Cards!$H$2:$H1000,""""),"",\s"",""""))"),3.0)</f>
        <v>3</v>
      </c>
      <c r="K206" s="34" t="str">
        <f t="shared" si="1"/>
        <v>      Ramp         </v>
      </c>
      <c r="L206" s="34" t="str">
        <f>IFERROR(__xludf.DUMMYFUNCTION("IF(IF(L$1="""","""",REGEXMATCH(LOWER($E206),XLOOKUP(L$1,Metadata!$A$2:$A1000,Metadata!$B$2:$B1000))),L$1,"""")"),"")</f>
        <v/>
      </c>
      <c r="M206" s="34" t="str">
        <f>IFERROR(__xludf.DUMMYFUNCTION("IF(IF(M$1="""","""",REGEXMATCH(LOWER($E206),XLOOKUP(M$1,Metadata!$A$2:$A1000,Metadata!$B$2:$B1000))),M$1,"""")"),"")</f>
        <v/>
      </c>
      <c r="N206" s="34" t="str">
        <f>IFERROR(__xludf.DUMMYFUNCTION("IF(IF(N$1="""","""",REGEXMATCH(LOWER($E206),XLOOKUP(N$1,Metadata!$A$2:$A1000,Metadata!$B$2:$B1000))),N$1,"""")"),"")</f>
        <v/>
      </c>
      <c r="O206" s="34" t="str">
        <f>IFERROR(__xludf.DUMMYFUNCTION("IF(IF(O$1="""","""",REGEXMATCH(LOWER($E206),XLOOKUP(O$1,Metadata!$A$2:$A1000,Metadata!$B$2:$B1000))),O$1,"""")"),"")</f>
        <v/>
      </c>
      <c r="P206" s="34" t="str">
        <f>IFERROR(__xludf.DUMMYFUNCTION("IF(IF(P$1="""","""",REGEXMATCH(LOWER($E206),XLOOKUP(P$1,Metadata!$A$2:$A1000,Metadata!$B$2:$B1000))),P$1,"""")"),"")</f>
        <v/>
      </c>
      <c r="Q206" s="34" t="str">
        <f>IFERROR(__xludf.DUMMYFUNCTION("IF(IF(Q$1="""","""",REGEXMATCH(LOWER($E206),XLOOKUP(Q$1,Metadata!$A$2:$A1000,Metadata!$B$2:$B1000))),Q$1,"""")"),"")</f>
        <v/>
      </c>
      <c r="R206" s="34" t="str">
        <f>IFERROR(__xludf.DUMMYFUNCTION("IF(IF(R$1="""","""",REGEXMATCH(LOWER($E206),XLOOKUP(R$1,Metadata!$A$2:$A1000,Metadata!$B$2:$B1000))),R$1,"""")"),"Ramp")</f>
        <v>Ramp</v>
      </c>
      <c r="S206" s="34" t="str">
        <f>IFERROR(__xludf.DUMMYFUNCTION("IF(IF(S$1="""","""",REGEXMATCH(LOWER($E206),XLOOKUP(S$1,Metadata!$A$2:$A1000,Metadata!$B$2:$B1000))),S$1,"""")"),"")</f>
        <v/>
      </c>
      <c r="T206" s="34" t="str">
        <f>IFERROR(__xludf.DUMMYFUNCTION("IF(IF(T$1="""","""",REGEXMATCH(LOWER($E206),XLOOKUP(T$1,Metadata!$A$2:$A1000,Metadata!$B$2:$B1000))),T$1,"""")"),"")</f>
        <v/>
      </c>
      <c r="U206" s="34" t="str">
        <f>IFERROR(__xludf.DUMMYFUNCTION("IF(IF(U$1="""","""",REGEXMATCH(LOWER($E206),XLOOKUP(U$1,Metadata!$A$2:$A1000,Metadata!$B$2:$B1000))),U$1,"""")"),"")</f>
        <v/>
      </c>
      <c r="V206" s="34" t="str">
        <f>IFERROR(__xludf.DUMMYFUNCTION("IF(IF(V$1="""","""",REGEXMATCH(LOWER($E206),XLOOKUP(V$1,Metadata!$A$2:$A1000,Metadata!$B$2:$B1000))),V$1,"""")"),"")</f>
        <v/>
      </c>
      <c r="W206" s="34" t="str">
        <f>IFERROR(__xludf.DUMMYFUNCTION("IF(IF(W$1="""","""",REGEXMATCH(LOWER($E206),XLOOKUP(W$1,Metadata!$A$2:$A1000,Metadata!$B$2:$B1000))),W$1,"""")"),"")</f>
        <v/>
      </c>
      <c r="X206" s="34" t="str">
        <f>IFERROR(__xludf.DUMMYFUNCTION("IF(IF(X$1="""","""",REGEXMATCH(LOWER($E206),XLOOKUP(X$1,Metadata!$A$2:$A1000,Metadata!$B$2:$B1000))),X$1,"""")"),"")</f>
        <v/>
      </c>
      <c r="Y206" s="34" t="str">
        <f>IFERROR(__xludf.DUMMYFUNCTION("IF(IF(Y$1="""","""",REGEXMATCH(LOWER($E206),XLOOKUP(Y$1,Metadata!$A$2:$A1000,Metadata!$B$2:$B1000))),Y$1,"""")"),"")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I207">XLOOKUP($A207,Cards!$A$2:$A1000,Cards!$B$2:$I1000,"")</f>
        <v>Mortal Nature</v>
      </c>
      <c r="C207" s="34">
        <v>2.0</v>
      </c>
      <c r="D207" s="34" t="s">
        <v>1397</v>
      </c>
      <c r="E207" s="34" t="s">
        <v>1398</v>
      </c>
      <c r="F207" s="34"/>
      <c r="G207" s="34">
        <v>3.0</v>
      </c>
      <c r="H207" s="34" t="s">
        <v>1383</v>
      </c>
      <c r="I207" s="34" t="s">
        <v>70</v>
      </c>
      <c r="J207" s="34">
        <f>IFERROR(__xludf.DUMMYFUNCTION("LEN(REGEXREPLACE(XLOOKUP($A207,Cards!$A$2:$A1000,Cards!$H$2:$H1000,""""),"",\s"",""""))"),4.0)</f>
        <v>4</v>
      </c>
      <c r="K207" s="34" t="str">
        <f t="shared" si="1"/>
        <v>               </v>
      </c>
      <c r="L207" s="34" t="str">
        <f>IFERROR(__xludf.DUMMYFUNCTION("IF(IF(L$1="""","""",REGEXMATCH(LOWER($E207),XLOOKUP(L$1,Metadata!$A$2:$A1000,Metadata!$B$2:$B1000))),L$1,"""")"),"")</f>
        <v/>
      </c>
      <c r="M207" s="34" t="str">
        <f>IFERROR(__xludf.DUMMYFUNCTION("IF(IF(M$1="""","""",REGEXMATCH(LOWER($E207),XLOOKUP(M$1,Metadata!$A$2:$A1000,Metadata!$B$2:$B1000))),M$1,"""")"),"")</f>
        <v/>
      </c>
      <c r="N207" s="34" t="str">
        <f>IFERROR(__xludf.DUMMYFUNCTION("IF(IF(N$1="""","""",REGEXMATCH(LOWER($E207),XLOOKUP(N$1,Metadata!$A$2:$A1000,Metadata!$B$2:$B1000))),N$1,"""")"),"")</f>
        <v/>
      </c>
      <c r="O207" s="34" t="str">
        <f>IFERROR(__xludf.DUMMYFUNCTION("IF(IF(O$1="""","""",REGEXMATCH(LOWER($E207),XLOOKUP(O$1,Metadata!$A$2:$A1000,Metadata!$B$2:$B1000))),O$1,"""")"),"")</f>
        <v/>
      </c>
      <c r="P207" s="34" t="str">
        <f>IFERROR(__xludf.DUMMYFUNCTION("IF(IF(P$1="""","""",REGEXMATCH(LOWER($E207),XLOOKUP(P$1,Metadata!$A$2:$A1000,Metadata!$B$2:$B1000))),P$1,"""")"),"")</f>
        <v/>
      </c>
      <c r="Q207" s="34" t="str">
        <f>IFERROR(__xludf.DUMMYFUNCTION("IF(IF(Q$1="""","""",REGEXMATCH(LOWER($E207),XLOOKUP(Q$1,Metadata!$A$2:$A1000,Metadata!$B$2:$B1000))),Q$1,"""")"),"")</f>
        <v/>
      </c>
      <c r="R207" s="34" t="str">
        <f>IFERROR(__xludf.DUMMYFUNCTION("IF(IF(R$1="""","""",REGEXMATCH(LOWER($E207),XLOOKUP(R$1,Metadata!$A$2:$A1000,Metadata!$B$2:$B1000))),R$1,"""")"),"")</f>
        <v/>
      </c>
      <c r="S207" s="34" t="str">
        <f>IFERROR(__xludf.DUMMYFUNCTION("IF(IF(S$1="""","""",REGEXMATCH(LOWER($E207),XLOOKUP(S$1,Metadata!$A$2:$A1000,Metadata!$B$2:$B1000))),S$1,"""")"),"")</f>
        <v/>
      </c>
      <c r="T207" s="34" t="str">
        <f>IFERROR(__xludf.DUMMYFUNCTION("IF(IF(T$1="""","""",REGEXMATCH(LOWER($E207),XLOOKUP(T$1,Metadata!$A$2:$A1000,Metadata!$B$2:$B1000))),T$1,"""")"),"")</f>
        <v/>
      </c>
      <c r="U207" s="34" t="str">
        <f>IFERROR(__xludf.DUMMYFUNCTION("IF(IF(U$1="""","""",REGEXMATCH(LOWER($E207),XLOOKUP(U$1,Metadata!$A$2:$A1000,Metadata!$B$2:$B1000))),U$1,"""")"),"")</f>
        <v/>
      </c>
      <c r="V207" s="34" t="str">
        <f>IFERROR(__xludf.DUMMYFUNCTION("IF(IF(V$1="""","""",REGEXMATCH(LOWER($E207),XLOOKUP(V$1,Metadata!$A$2:$A1000,Metadata!$B$2:$B1000))),V$1,"""")"),"")</f>
        <v/>
      </c>
      <c r="W207" s="34" t="str">
        <f>IFERROR(__xludf.DUMMYFUNCTION("IF(IF(W$1="""","""",REGEXMATCH(LOWER($E207),XLOOKUP(W$1,Metadata!$A$2:$A1000,Metadata!$B$2:$B1000))),W$1,"""")"),"")</f>
        <v/>
      </c>
      <c r="X207" s="34" t="str">
        <f>IFERROR(__xludf.DUMMYFUNCTION("IF(IF(X$1="""","""",REGEXMATCH(LOWER($E207),XLOOKUP(X$1,Metadata!$A$2:$A1000,Metadata!$B$2:$B1000))),X$1,"""")"),"")</f>
        <v/>
      </c>
      <c r="Y207" s="34" t="str">
        <f>IFERROR(__xludf.DUMMYFUNCTION("IF(IF(Y$1="""","""",REGEXMATCH(LOWER($E207),XLOOKUP(Y$1,Metadata!$A$2:$A1000,Metadata!$B$2:$B1000))),Y$1,"""")"),"")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I208">XLOOKUP($A208,Cards!$A$2:$A1000,Cards!$B$2:$I1000,"")</f>
        <v>Mortal</v>
      </c>
      <c r="C208" s="34">
        <v>1.0</v>
      </c>
      <c r="D208" s="34" t="s">
        <v>938</v>
      </c>
      <c r="E208" s="34" t="s">
        <v>1400</v>
      </c>
      <c r="F208" s="34" t="s">
        <v>1401</v>
      </c>
      <c r="G208" s="34">
        <v>3.0</v>
      </c>
      <c r="H208" s="34" t="s">
        <v>1095</v>
      </c>
      <c r="I208" s="34" t="s">
        <v>70</v>
      </c>
      <c r="J208" s="34">
        <f>IFERROR(__xludf.DUMMYFUNCTION("LEN(REGEXREPLACE(XLOOKUP($A208,Cards!$A$2:$A1000,Cards!$H$2:$H1000,""""),"",\s"",""""))"),4.0)</f>
        <v>4</v>
      </c>
      <c r="K208" s="34" t="str">
        <f t="shared" si="1"/>
        <v>         Aggro      </v>
      </c>
      <c r="L208" s="34" t="str">
        <f>IFERROR(__xludf.DUMMYFUNCTION("IF(IF(L$1="""","""",REGEXMATCH(LOWER($E208),XLOOKUP(L$1,Metadata!$A$2:$A1000,Metadata!$B$2:$B1000))),L$1,"""")"),"")</f>
        <v/>
      </c>
      <c r="M208" s="34" t="str">
        <f>IFERROR(__xludf.DUMMYFUNCTION("IF(IF(M$1="""","""",REGEXMATCH(LOWER($E208),XLOOKUP(M$1,Metadata!$A$2:$A1000,Metadata!$B$2:$B1000))),M$1,"""")"),"")</f>
        <v/>
      </c>
      <c r="N208" s="34" t="str">
        <f>IFERROR(__xludf.DUMMYFUNCTION("IF(IF(N$1="""","""",REGEXMATCH(LOWER($E208),XLOOKUP(N$1,Metadata!$A$2:$A1000,Metadata!$B$2:$B1000))),N$1,"""")"),"")</f>
        <v/>
      </c>
      <c r="O208" s="34" t="str">
        <f>IFERROR(__xludf.DUMMYFUNCTION("IF(IF(O$1="""","""",REGEXMATCH(LOWER($E208),XLOOKUP(O$1,Metadata!$A$2:$A1000,Metadata!$B$2:$B1000))),O$1,"""")"),"")</f>
        <v/>
      </c>
      <c r="P208" s="34" t="str">
        <f>IFERROR(__xludf.DUMMYFUNCTION("IF(IF(P$1="""","""",REGEXMATCH(LOWER($E208),XLOOKUP(P$1,Metadata!$A$2:$A1000,Metadata!$B$2:$B1000))),P$1,"""")"),"")</f>
        <v/>
      </c>
      <c r="Q208" s="34" t="str">
        <f>IFERROR(__xludf.DUMMYFUNCTION("IF(IF(Q$1="""","""",REGEXMATCH(LOWER($E208),XLOOKUP(Q$1,Metadata!$A$2:$A1000,Metadata!$B$2:$B1000))),Q$1,"""")"),"")</f>
        <v/>
      </c>
      <c r="R208" s="34" t="str">
        <f>IFERROR(__xludf.DUMMYFUNCTION("IF(IF(R$1="""","""",REGEXMATCH(LOWER($E208),XLOOKUP(R$1,Metadata!$A$2:$A1000,Metadata!$B$2:$B1000))),R$1,"""")"),"")</f>
        <v/>
      </c>
      <c r="S208" s="34" t="str">
        <f>IFERROR(__xludf.DUMMYFUNCTION("IF(IF(S$1="""","""",REGEXMATCH(LOWER($E208),XLOOKUP(S$1,Metadata!$A$2:$A1000,Metadata!$B$2:$B1000))),S$1,"""")"),"")</f>
        <v/>
      </c>
      <c r="T208" s="34" t="str">
        <f>IFERROR(__xludf.DUMMYFUNCTION("IF(IF(T$1="""","""",REGEXMATCH(LOWER($E208),XLOOKUP(T$1,Metadata!$A$2:$A1000,Metadata!$B$2:$B1000))),T$1,"""")"),"")</f>
        <v/>
      </c>
      <c r="U208" s="34" t="str">
        <f>IFERROR(__xludf.DUMMYFUNCTION("IF(IF(U$1="""","""",REGEXMATCH(LOWER($E208),XLOOKUP(U$1,Metadata!$A$2:$A1000,Metadata!$B$2:$B1000))),U$1,"""")"),"Aggro")</f>
        <v>Aggro</v>
      </c>
      <c r="V208" s="34" t="str">
        <f>IFERROR(__xludf.DUMMYFUNCTION("IF(IF(V$1="""","""",REGEXMATCH(LOWER($E208),XLOOKUP(V$1,Metadata!$A$2:$A1000,Metadata!$B$2:$B1000))),V$1,"""")"),"")</f>
        <v/>
      </c>
      <c r="W208" s="34" t="str">
        <f>IFERROR(__xludf.DUMMYFUNCTION("IF(IF(W$1="""","""",REGEXMATCH(LOWER($E208),XLOOKUP(W$1,Metadata!$A$2:$A1000,Metadata!$B$2:$B1000))),W$1,"""")"),"")</f>
        <v/>
      </c>
      <c r="X208" s="34" t="str">
        <f>IFERROR(__xludf.DUMMYFUNCTION("IF(IF(X$1="""","""",REGEXMATCH(LOWER($E208),XLOOKUP(X$1,Metadata!$A$2:$A1000,Metadata!$B$2:$B1000))),X$1,"""")"),"")</f>
        <v/>
      </c>
      <c r="Y208" s="34" t="str">
        <f>IFERROR(__xludf.DUMMYFUNCTION("IF(IF(Y$1="""","""",REGEXMATCH(LOWER($E208),XLOOKUP(Y$1,Metadata!$A$2:$A1000,Metadata!$B$2:$B1000))),Y$1,"""")"),"")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I209">XLOOKUP($A209,Cards!$A$2:$A1000,Cards!$B$2:$I1000,"")</f>
        <v>Mortal Nature</v>
      </c>
      <c r="C209" s="34">
        <v>2.0</v>
      </c>
      <c r="D209" s="34" t="s">
        <v>447</v>
      </c>
      <c r="E209" s="34" t="s">
        <v>1412</v>
      </c>
      <c r="F209" s="34" t="s">
        <v>1413</v>
      </c>
      <c r="G209" s="34">
        <v>3.0</v>
      </c>
      <c r="H209" s="34" t="s">
        <v>1383</v>
      </c>
      <c r="I209" s="34" t="s">
        <v>70</v>
      </c>
      <c r="J209" s="34">
        <f>IFERROR(__xludf.DUMMYFUNCTION("LEN(REGEXREPLACE(XLOOKUP($A209,Cards!$A$2:$A1000,Cards!$H$2:$H1000,""""),"",\s"",""""))"),4.0)</f>
        <v>4</v>
      </c>
      <c r="K209" s="34" t="str">
        <f t="shared" si="1"/>
        <v>               </v>
      </c>
      <c r="L209" s="34" t="str">
        <f>IFERROR(__xludf.DUMMYFUNCTION("IF(IF(L$1="""","""",REGEXMATCH(LOWER($E209),XLOOKUP(L$1,Metadata!$A$2:$A1000,Metadata!$B$2:$B1000))),L$1,"""")"),"")</f>
        <v/>
      </c>
      <c r="M209" s="34" t="str">
        <f>IFERROR(__xludf.DUMMYFUNCTION("IF(IF(M$1="""","""",REGEXMATCH(LOWER($E209),XLOOKUP(M$1,Metadata!$A$2:$A1000,Metadata!$B$2:$B1000))),M$1,"""")"),"")</f>
        <v/>
      </c>
      <c r="N209" s="34" t="str">
        <f>IFERROR(__xludf.DUMMYFUNCTION("IF(IF(N$1="""","""",REGEXMATCH(LOWER($E209),XLOOKUP(N$1,Metadata!$A$2:$A1000,Metadata!$B$2:$B1000))),N$1,"""")"),"")</f>
        <v/>
      </c>
      <c r="O209" s="34" t="str">
        <f>IFERROR(__xludf.DUMMYFUNCTION("IF(IF(O$1="""","""",REGEXMATCH(LOWER($E209),XLOOKUP(O$1,Metadata!$A$2:$A1000,Metadata!$B$2:$B1000))),O$1,"""")"),"")</f>
        <v/>
      </c>
      <c r="P209" s="34" t="str">
        <f>IFERROR(__xludf.DUMMYFUNCTION("IF(IF(P$1="""","""",REGEXMATCH(LOWER($E209),XLOOKUP(P$1,Metadata!$A$2:$A1000,Metadata!$B$2:$B1000))),P$1,"""")"),"")</f>
        <v/>
      </c>
      <c r="Q209" s="34" t="str">
        <f>IFERROR(__xludf.DUMMYFUNCTION("IF(IF(Q$1="""","""",REGEXMATCH(LOWER($E209),XLOOKUP(Q$1,Metadata!$A$2:$A1000,Metadata!$B$2:$B1000))),Q$1,"""")"),"")</f>
        <v/>
      </c>
      <c r="R209" s="34" t="str">
        <f>IFERROR(__xludf.DUMMYFUNCTION("IF(IF(R$1="""","""",REGEXMATCH(LOWER($E209),XLOOKUP(R$1,Metadata!$A$2:$A1000,Metadata!$B$2:$B1000))),R$1,"""")"),"")</f>
        <v/>
      </c>
      <c r="S209" s="34" t="str">
        <f>IFERROR(__xludf.DUMMYFUNCTION("IF(IF(S$1="""","""",REGEXMATCH(LOWER($E209),XLOOKUP(S$1,Metadata!$A$2:$A1000,Metadata!$B$2:$B1000))),S$1,"""")"),"")</f>
        <v/>
      </c>
      <c r="T209" s="34" t="str">
        <f>IFERROR(__xludf.DUMMYFUNCTION("IF(IF(T$1="""","""",REGEXMATCH(LOWER($E209),XLOOKUP(T$1,Metadata!$A$2:$A1000,Metadata!$B$2:$B1000))),T$1,"""")"),"")</f>
        <v/>
      </c>
      <c r="U209" s="34" t="str">
        <f>IFERROR(__xludf.DUMMYFUNCTION("IF(IF(U$1="""","""",REGEXMATCH(LOWER($E209),XLOOKUP(U$1,Metadata!$A$2:$A1000,Metadata!$B$2:$B1000))),U$1,"""")"),"")</f>
        <v/>
      </c>
      <c r="V209" s="34" t="str">
        <f>IFERROR(__xludf.DUMMYFUNCTION("IF(IF(V$1="""","""",REGEXMATCH(LOWER($E209),XLOOKUP(V$1,Metadata!$A$2:$A1000,Metadata!$B$2:$B1000))),V$1,"""")"),"")</f>
        <v/>
      </c>
      <c r="W209" s="34" t="str">
        <f>IFERROR(__xludf.DUMMYFUNCTION("IF(IF(W$1="""","""",REGEXMATCH(LOWER($E209),XLOOKUP(W$1,Metadata!$A$2:$A1000,Metadata!$B$2:$B1000))),W$1,"""")"),"")</f>
        <v/>
      </c>
      <c r="X209" s="34" t="str">
        <f>IFERROR(__xludf.DUMMYFUNCTION("IF(IF(X$1="""","""",REGEXMATCH(LOWER($E209),XLOOKUP(X$1,Metadata!$A$2:$A1000,Metadata!$B$2:$B1000))),X$1,"""")"),"")</f>
        <v/>
      </c>
      <c r="Y209" s="34" t="str">
        <f>IFERROR(__xludf.DUMMYFUNCTION("IF(IF(Y$1="""","""",REGEXMATCH(LOWER($E209),XLOOKUP(Y$1,Metadata!$A$2:$A1000,Metadata!$B$2:$B1000))),Y$1,"""")"),"")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I210">XLOOKUP($A210,Cards!$A$2:$A1000,Cards!$B$2:$I1000,"")</f>
        <v>Mortal</v>
      </c>
      <c r="C210" s="34">
        <v>1.0</v>
      </c>
      <c r="D210" s="34" t="s">
        <v>149</v>
      </c>
      <c r="E210" s="34" t="s">
        <v>1415</v>
      </c>
      <c r="F210" s="34" t="s">
        <v>1416</v>
      </c>
      <c r="G210" s="34">
        <v>3.0</v>
      </c>
      <c r="H210" s="34" t="s">
        <v>1285</v>
      </c>
      <c r="I210" s="34" t="s">
        <v>70</v>
      </c>
      <c r="J210" s="34">
        <f>IFERROR(__xludf.DUMMYFUNCTION("LEN(REGEXREPLACE(XLOOKUP($A210,Cards!$A$2:$A1000,Cards!$H$2:$H1000,""""),"",\s"",""""))"),4.0)</f>
        <v>4</v>
      </c>
      <c r="K210" s="34" t="str">
        <f t="shared" si="1"/>
        <v>     Unearth  Control     Ambush   </v>
      </c>
      <c r="L210" s="34" t="str">
        <f>IFERROR(__xludf.DUMMYFUNCTION("IF(IF(L$1="""","""",REGEXMATCH(LOWER($E210),XLOOKUP(L$1,Metadata!$A$2:$A1000,Metadata!$B$2:$B1000))),L$1,"""")"),"")</f>
        <v/>
      </c>
      <c r="M210" s="34" t="str">
        <f>IFERROR(__xludf.DUMMYFUNCTION("IF(IF(M$1="""","""",REGEXMATCH(LOWER($E210),XLOOKUP(M$1,Metadata!$A$2:$A1000,Metadata!$B$2:$B1000))),M$1,"""")"),"")</f>
        <v/>
      </c>
      <c r="N210" s="34" t="str">
        <f>IFERROR(__xludf.DUMMYFUNCTION("IF(IF(N$1="""","""",REGEXMATCH(LOWER($E210),XLOOKUP(N$1,Metadata!$A$2:$A1000,Metadata!$B$2:$B1000))),N$1,"""")"),"")</f>
        <v/>
      </c>
      <c r="O210" s="34" t="str">
        <f>IFERROR(__xludf.DUMMYFUNCTION("IF(IF(O$1="""","""",REGEXMATCH(LOWER($E210),XLOOKUP(O$1,Metadata!$A$2:$A1000,Metadata!$B$2:$B1000))),O$1,"""")"),"")</f>
        <v/>
      </c>
      <c r="P210" s="34" t="str">
        <f>IFERROR(__xludf.DUMMYFUNCTION("IF(IF(P$1="""","""",REGEXMATCH(LOWER($E210),XLOOKUP(P$1,Metadata!$A$2:$A1000,Metadata!$B$2:$B1000))),P$1,"""")"),"")</f>
        <v/>
      </c>
      <c r="Q210" s="34" t="str">
        <f>IFERROR(__xludf.DUMMYFUNCTION("IF(IF(Q$1="""","""",REGEXMATCH(LOWER($E210),XLOOKUP(Q$1,Metadata!$A$2:$A1000,Metadata!$B$2:$B1000))),Q$1,"""")"),"Unearth")</f>
        <v>Unearth</v>
      </c>
      <c r="R210" s="34" t="str">
        <f>IFERROR(__xludf.DUMMYFUNCTION("IF(IF(R$1="""","""",REGEXMATCH(LOWER($E210),XLOOKUP(R$1,Metadata!$A$2:$A1000,Metadata!$B$2:$B1000))),R$1,"""")"),"")</f>
        <v/>
      </c>
      <c r="S210" s="34" t="str">
        <f>IFERROR(__xludf.DUMMYFUNCTION("IF(IF(S$1="""","""",REGEXMATCH(LOWER($E210),XLOOKUP(S$1,Metadata!$A$2:$A1000,Metadata!$B$2:$B1000))),S$1,"""")"),"Control")</f>
        <v>Control</v>
      </c>
      <c r="T210" s="34" t="str">
        <f>IFERROR(__xludf.DUMMYFUNCTION("IF(IF(T$1="""","""",REGEXMATCH(LOWER($E210),XLOOKUP(T$1,Metadata!$A$2:$A1000,Metadata!$B$2:$B1000))),T$1,"""")"),"")</f>
        <v/>
      </c>
      <c r="U210" s="34" t="str">
        <f>IFERROR(__xludf.DUMMYFUNCTION("IF(IF(U$1="""","""",REGEXMATCH(LOWER($E210),XLOOKUP(U$1,Metadata!$A$2:$A1000,Metadata!$B$2:$B1000))),U$1,"""")"),"")</f>
        <v/>
      </c>
      <c r="V210" s="34" t="str">
        <f>IFERROR(__xludf.DUMMYFUNCTION("IF(IF(V$1="""","""",REGEXMATCH(LOWER($E210),XLOOKUP(V$1,Metadata!$A$2:$A1000,Metadata!$B$2:$B1000))),V$1,"""")"),"")</f>
        <v/>
      </c>
      <c r="W210" s="34" t="str">
        <f>IFERROR(__xludf.DUMMYFUNCTION("IF(IF(W$1="""","""",REGEXMATCH(LOWER($E210),XLOOKUP(W$1,Metadata!$A$2:$A1000,Metadata!$B$2:$B1000))),W$1,"""")"),"")</f>
        <v/>
      </c>
      <c r="X210" s="34" t="str">
        <f>IFERROR(__xludf.DUMMYFUNCTION("IF(IF(X$1="""","""",REGEXMATCH(LOWER($E210),XLOOKUP(X$1,Metadata!$A$2:$A1000,Metadata!$B$2:$B1000))),X$1,"""")"),"Ambush")</f>
        <v>Ambush</v>
      </c>
      <c r="Y210" s="34" t="str">
        <f>IFERROR(__xludf.DUMMYFUNCTION("IF(IF(Y$1="""","""",REGEXMATCH(LOWER($E210),XLOOKUP(Y$1,Metadata!$A$2:$A1000,Metadata!$B$2:$B1000))),Y$1,"""")"),"")</f>
        <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I211">XLOOKUP($A211,Cards!$A$2:$A1000,Cards!$B$2:$I1000,"")</f>
        <v>Mortal Void</v>
      </c>
      <c r="C211" s="34">
        <v>2.0</v>
      </c>
      <c r="D211" s="34" t="s">
        <v>37</v>
      </c>
      <c r="E211" s="34" t="s">
        <v>1430</v>
      </c>
      <c r="F211" s="34" t="s">
        <v>838</v>
      </c>
      <c r="G211" s="34">
        <v>3.0</v>
      </c>
      <c r="H211" s="34" t="s">
        <v>1431</v>
      </c>
      <c r="I211" s="34" t="s">
        <v>70</v>
      </c>
      <c r="J211" s="34">
        <f>IFERROR(__xludf.DUMMYFUNCTION("LEN(REGEXREPLACE(XLOOKUP($A211,Cards!$A$2:$A1000,Cards!$H$2:$H1000,""""),"",\s"",""""))"),4.0)</f>
        <v>4</v>
      </c>
      <c r="K211" s="34" t="str">
        <f t="shared" si="1"/>
        <v>     Unearth  Control   Empty-Crystal  Ambush   </v>
      </c>
      <c r="L211" s="34" t="str">
        <f>IFERROR(__xludf.DUMMYFUNCTION("IF(IF(L$1="""","""",REGEXMATCH(LOWER($E211),XLOOKUP(L$1,Metadata!$A$2:$A1000,Metadata!$B$2:$B1000))),L$1,"""")"),"")</f>
        <v/>
      </c>
      <c r="M211" s="34" t="str">
        <f>IFERROR(__xludf.DUMMYFUNCTION("IF(IF(M$1="""","""",REGEXMATCH(LOWER($E211),XLOOKUP(M$1,Metadata!$A$2:$A1000,Metadata!$B$2:$B1000))),M$1,"""")"),"")</f>
        <v/>
      </c>
      <c r="N211" s="34" t="str">
        <f>IFERROR(__xludf.DUMMYFUNCTION("IF(IF(N$1="""","""",REGEXMATCH(LOWER($E211),XLOOKUP(N$1,Metadata!$A$2:$A1000,Metadata!$B$2:$B1000))),N$1,"""")"),"")</f>
        <v/>
      </c>
      <c r="O211" s="34" t="str">
        <f>IFERROR(__xludf.DUMMYFUNCTION("IF(IF(O$1="""","""",REGEXMATCH(LOWER($E211),XLOOKUP(O$1,Metadata!$A$2:$A1000,Metadata!$B$2:$B1000))),O$1,"""")"),"")</f>
        <v/>
      </c>
      <c r="P211" s="34" t="str">
        <f>IFERROR(__xludf.DUMMYFUNCTION("IF(IF(P$1="""","""",REGEXMATCH(LOWER($E211),XLOOKUP(P$1,Metadata!$A$2:$A1000,Metadata!$B$2:$B1000))),P$1,"""")"),"")</f>
        <v/>
      </c>
      <c r="Q211" s="34" t="str">
        <f>IFERROR(__xludf.DUMMYFUNCTION("IF(IF(Q$1="""","""",REGEXMATCH(LOWER($E211),XLOOKUP(Q$1,Metadata!$A$2:$A1000,Metadata!$B$2:$B1000))),Q$1,"""")"),"Unearth")</f>
        <v>Unearth</v>
      </c>
      <c r="R211" s="34" t="str">
        <f>IFERROR(__xludf.DUMMYFUNCTION("IF(IF(R$1="""","""",REGEXMATCH(LOWER($E211),XLOOKUP(R$1,Metadata!$A$2:$A1000,Metadata!$B$2:$B1000))),R$1,"""")"),"")</f>
        <v/>
      </c>
      <c r="S211" s="34" t="str">
        <f>IFERROR(__xludf.DUMMYFUNCTION("IF(IF(S$1="""","""",REGEXMATCH(LOWER($E211),XLOOKUP(S$1,Metadata!$A$2:$A1000,Metadata!$B$2:$B1000))),S$1,"""")"),"Control")</f>
        <v>Control</v>
      </c>
      <c r="T211" s="34" t="str">
        <f>IFERROR(__xludf.DUMMYFUNCTION("IF(IF(T$1="""","""",REGEXMATCH(LOWER($E211),XLOOKUP(T$1,Metadata!$A$2:$A1000,Metadata!$B$2:$B1000))),T$1,"""")"),"")</f>
        <v/>
      </c>
      <c r="U211" s="34" t="str">
        <f>IFERROR(__xludf.DUMMYFUNCTION("IF(IF(U$1="""","""",REGEXMATCH(LOWER($E211),XLOOKUP(U$1,Metadata!$A$2:$A1000,Metadata!$B$2:$B1000))),U$1,"""")"),"")</f>
        <v/>
      </c>
      <c r="V211" s="34" t="str">
        <f>IFERROR(__xludf.DUMMYFUNCTION("IF(IF(V$1="""","""",REGEXMATCH(LOWER($E211),XLOOKUP(V$1,Metadata!$A$2:$A1000,Metadata!$B$2:$B1000))),V$1,"""")"),"Empty-Crystal")</f>
        <v>Empty-Crystal</v>
      </c>
      <c r="W211" s="34" t="str">
        <f>IFERROR(__xludf.DUMMYFUNCTION("IF(IF(W$1="""","""",REGEXMATCH(LOWER($E211),XLOOKUP(W$1,Metadata!$A$2:$A1000,Metadata!$B$2:$B1000))),W$1,"""")"),"")</f>
        <v/>
      </c>
      <c r="X211" s="34" t="str">
        <f>IFERROR(__xludf.DUMMYFUNCTION("IF(IF(X$1="""","""",REGEXMATCH(LOWER($E211),XLOOKUP(X$1,Metadata!$A$2:$A1000,Metadata!$B$2:$B1000))),X$1,"""")"),"Ambush")</f>
        <v>Ambush</v>
      </c>
      <c r="Y211" s="34" t="str">
        <f>IFERROR(__xludf.DUMMYFUNCTION("IF(IF(Y$1="""","""",REGEXMATCH(LOWER($E211),XLOOKUP(Y$1,Metadata!$A$2:$A1000,Metadata!$B$2:$B1000))),Y$1,"""")"),"")</f>
        <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I212">XLOOKUP($A212,Cards!$A$2:$A1000,Cards!$B$2:$I1000,"")</f>
        <v>Mortal</v>
      </c>
      <c r="C212" s="34">
        <v>1.0</v>
      </c>
      <c r="D212" s="34" t="s">
        <v>149</v>
      </c>
      <c r="E212" s="34" t="s">
        <v>1433</v>
      </c>
      <c r="F212" s="34" t="s">
        <v>1434</v>
      </c>
      <c r="G212" s="34">
        <v>2.0</v>
      </c>
      <c r="H212" s="34" t="s">
        <v>1245</v>
      </c>
      <c r="I212" s="34" t="s">
        <v>70</v>
      </c>
      <c r="J212" s="34">
        <f>IFERROR(__xludf.DUMMYFUNCTION("LEN(REGEXREPLACE(XLOOKUP($A212,Cards!$A$2:$A1000,Cards!$H$2:$H1000,""""),"",\s"",""""))"),3.0)</f>
        <v>3</v>
      </c>
      <c r="K212" s="34" t="str">
        <f t="shared" si="1"/>
        <v>     Unearth   Copy       </v>
      </c>
      <c r="L212" s="34" t="str">
        <f>IFERROR(__xludf.DUMMYFUNCTION("IF(IF(L$1="""","""",REGEXMATCH(LOWER($E212),XLOOKUP(L$1,Metadata!$A$2:$A1000,Metadata!$B$2:$B1000))),L$1,"""")"),"")</f>
        <v/>
      </c>
      <c r="M212" s="34" t="str">
        <f>IFERROR(__xludf.DUMMYFUNCTION("IF(IF(M$1="""","""",REGEXMATCH(LOWER($E212),XLOOKUP(M$1,Metadata!$A$2:$A1000,Metadata!$B$2:$B1000))),M$1,"""")"),"")</f>
        <v/>
      </c>
      <c r="N212" s="34" t="str">
        <f>IFERROR(__xludf.DUMMYFUNCTION("IF(IF(N$1="""","""",REGEXMATCH(LOWER($E212),XLOOKUP(N$1,Metadata!$A$2:$A1000,Metadata!$B$2:$B1000))),N$1,"""")"),"")</f>
        <v/>
      </c>
      <c r="O212" s="34" t="str">
        <f>IFERROR(__xludf.DUMMYFUNCTION("IF(IF(O$1="""","""",REGEXMATCH(LOWER($E212),XLOOKUP(O$1,Metadata!$A$2:$A1000,Metadata!$B$2:$B1000))),O$1,"""")"),"")</f>
        <v/>
      </c>
      <c r="P212" s="34" t="str">
        <f>IFERROR(__xludf.DUMMYFUNCTION("IF(IF(P$1="""","""",REGEXMATCH(LOWER($E212),XLOOKUP(P$1,Metadata!$A$2:$A1000,Metadata!$B$2:$B1000))),P$1,"""")"),"")</f>
        <v/>
      </c>
      <c r="Q212" s="34" t="str">
        <f>IFERROR(__xludf.DUMMYFUNCTION("IF(IF(Q$1="""","""",REGEXMATCH(LOWER($E212),XLOOKUP(Q$1,Metadata!$A$2:$A1000,Metadata!$B$2:$B1000))),Q$1,"""")"),"Unearth")</f>
        <v>Unearth</v>
      </c>
      <c r="R212" s="34" t="str">
        <f>IFERROR(__xludf.DUMMYFUNCTION("IF(IF(R$1="""","""",REGEXMATCH(LOWER($E212),XLOOKUP(R$1,Metadata!$A$2:$A1000,Metadata!$B$2:$B1000))),R$1,"""")"),"")</f>
        <v/>
      </c>
      <c r="S212" s="34" t="str">
        <f>IFERROR(__xludf.DUMMYFUNCTION("IF(IF(S$1="""","""",REGEXMATCH(LOWER($E212),XLOOKUP(S$1,Metadata!$A$2:$A1000,Metadata!$B$2:$B1000))),S$1,"""")"),"")</f>
        <v/>
      </c>
      <c r="T212" s="34" t="str">
        <f>IFERROR(__xludf.DUMMYFUNCTION("IF(IF(T$1="""","""",REGEXMATCH(LOWER($E212),XLOOKUP(T$1,Metadata!$A$2:$A1000,Metadata!$B$2:$B1000))),T$1,"""")"),"Copy")</f>
        <v>Copy</v>
      </c>
      <c r="U212" s="34" t="str">
        <f>IFERROR(__xludf.DUMMYFUNCTION("IF(IF(U$1="""","""",REGEXMATCH(LOWER($E212),XLOOKUP(U$1,Metadata!$A$2:$A1000,Metadata!$B$2:$B1000))),U$1,"""")"),"")</f>
        <v/>
      </c>
      <c r="V212" s="34" t="str">
        <f>IFERROR(__xludf.DUMMYFUNCTION("IF(IF(V$1="""","""",REGEXMATCH(LOWER($E212),XLOOKUP(V$1,Metadata!$A$2:$A1000,Metadata!$B$2:$B1000))),V$1,"""")"),"")</f>
        <v/>
      </c>
      <c r="W212" s="34" t="str">
        <f>IFERROR(__xludf.DUMMYFUNCTION("IF(IF(W$1="""","""",REGEXMATCH(LOWER($E212),XLOOKUP(W$1,Metadata!$A$2:$A1000,Metadata!$B$2:$B1000))),W$1,"""")"),"")</f>
        <v/>
      </c>
      <c r="X212" s="34" t="str">
        <f>IFERROR(__xludf.DUMMYFUNCTION("IF(IF(X$1="""","""",REGEXMATCH(LOWER($E212),XLOOKUP(X$1,Metadata!$A$2:$A1000,Metadata!$B$2:$B1000))),X$1,"""")"),"")</f>
        <v/>
      </c>
      <c r="Y212" s="34" t="str">
        <f>IFERROR(__xludf.DUMMYFUNCTION("IF(IF(Y$1="""","""",REGEXMATCH(LOWER($E212),XLOOKUP(Y$1,Metadata!$A$2:$A1000,Metadata!$B$2:$B1000))),Y$1,"""")"),"")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I213">XLOOKUP($A213,Cards!$A$2:$A1000,Cards!$B$2:$I1000,"")</f>
        <v>Mortal Void</v>
      </c>
      <c r="C213" s="34">
        <v>2.0</v>
      </c>
      <c r="D213" s="34" t="s">
        <v>1446</v>
      </c>
      <c r="E213" s="34" t="s">
        <v>1447</v>
      </c>
      <c r="F213" s="34" t="s">
        <v>838</v>
      </c>
      <c r="G213" s="34">
        <v>3.0</v>
      </c>
      <c r="H213" s="34" t="s">
        <v>1448</v>
      </c>
      <c r="I213" s="34" t="s">
        <v>70</v>
      </c>
      <c r="J213" s="34">
        <f>IFERROR(__xludf.DUMMYFUNCTION("LEN(REGEXREPLACE(XLOOKUP($A213,Cards!$A$2:$A1000,Cards!$H$2:$H1000,""""),"",\s"",""""))"),3.0)</f>
        <v>3</v>
      </c>
      <c r="K213" s="34" t="str">
        <f t="shared" si="1"/>
        <v>     Unearth          </v>
      </c>
      <c r="L213" s="34" t="str">
        <f>IFERROR(__xludf.DUMMYFUNCTION("IF(IF(L$1="""","""",REGEXMATCH(LOWER($E213),XLOOKUP(L$1,Metadata!$A$2:$A1000,Metadata!$B$2:$B1000))),L$1,"""")"),"")</f>
        <v/>
      </c>
      <c r="M213" s="34" t="str">
        <f>IFERROR(__xludf.DUMMYFUNCTION("IF(IF(M$1="""","""",REGEXMATCH(LOWER($E213),XLOOKUP(M$1,Metadata!$A$2:$A1000,Metadata!$B$2:$B1000))),M$1,"""")"),"")</f>
        <v/>
      </c>
      <c r="N213" s="34" t="str">
        <f>IFERROR(__xludf.DUMMYFUNCTION("IF(IF(N$1="""","""",REGEXMATCH(LOWER($E213),XLOOKUP(N$1,Metadata!$A$2:$A1000,Metadata!$B$2:$B1000))),N$1,"""")"),"")</f>
        <v/>
      </c>
      <c r="O213" s="34" t="str">
        <f>IFERROR(__xludf.DUMMYFUNCTION("IF(IF(O$1="""","""",REGEXMATCH(LOWER($E213),XLOOKUP(O$1,Metadata!$A$2:$A1000,Metadata!$B$2:$B1000))),O$1,"""")"),"")</f>
        <v/>
      </c>
      <c r="P213" s="34" t="str">
        <f>IFERROR(__xludf.DUMMYFUNCTION("IF(IF(P$1="""","""",REGEXMATCH(LOWER($E213),XLOOKUP(P$1,Metadata!$A$2:$A1000,Metadata!$B$2:$B1000))),P$1,"""")"),"")</f>
        <v/>
      </c>
      <c r="Q213" s="34" t="str">
        <f>IFERROR(__xludf.DUMMYFUNCTION("IF(IF(Q$1="""","""",REGEXMATCH(LOWER($E213),XLOOKUP(Q$1,Metadata!$A$2:$A1000,Metadata!$B$2:$B1000))),Q$1,"""")"),"Unearth")</f>
        <v>Unearth</v>
      </c>
      <c r="R213" s="34" t="str">
        <f>IFERROR(__xludf.DUMMYFUNCTION("IF(IF(R$1="""","""",REGEXMATCH(LOWER($E213),XLOOKUP(R$1,Metadata!$A$2:$A1000,Metadata!$B$2:$B1000))),R$1,"""")"),"")</f>
        <v/>
      </c>
      <c r="S213" s="34" t="str">
        <f>IFERROR(__xludf.DUMMYFUNCTION("IF(IF(S$1="""","""",REGEXMATCH(LOWER($E213),XLOOKUP(S$1,Metadata!$A$2:$A1000,Metadata!$B$2:$B1000))),S$1,"""")"),"")</f>
        <v/>
      </c>
      <c r="T213" s="34" t="str">
        <f>IFERROR(__xludf.DUMMYFUNCTION("IF(IF(T$1="""","""",REGEXMATCH(LOWER($E213),XLOOKUP(T$1,Metadata!$A$2:$A1000,Metadata!$B$2:$B1000))),T$1,"""")"),"")</f>
        <v/>
      </c>
      <c r="U213" s="34" t="str">
        <f>IFERROR(__xludf.DUMMYFUNCTION("IF(IF(U$1="""","""",REGEXMATCH(LOWER($E213),XLOOKUP(U$1,Metadata!$A$2:$A1000,Metadata!$B$2:$B1000))),U$1,"""")"),"")</f>
        <v/>
      </c>
      <c r="V213" s="34" t="str">
        <f>IFERROR(__xludf.DUMMYFUNCTION("IF(IF(V$1="""","""",REGEXMATCH(LOWER($E213),XLOOKUP(V$1,Metadata!$A$2:$A1000,Metadata!$B$2:$B1000))),V$1,"""")"),"")</f>
        <v/>
      </c>
      <c r="W213" s="34" t="str">
        <f>IFERROR(__xludf.DUMMYFUNCTION("IF(IF(W$1="""","""",REGEXMATCH(LOWER($E213),XLOOKUP(W$1,Metadata!$A$2:$A1000,Metadata!$B$2:$B1000))),W$1,"""")"),"")</f>
        <v/>
      </c>
      <c r="X213" s="34" t="str">
        <f>IFERROR(__xludf.DUMMYFUNCTION("IF(IF(X$1="""","""",REGEXMATCH(LOWER($E213),XLOOKUP(X$1,Metadata!$A$2:$A1000,Metadata!$B$2:$B1000))),X$1,"""")"),"")</f>
        <v/>
      </c>
      <c r="Y213" s="34" t="str">
        <f>IFERROR(__xludf.DUMMYFUNCTION("IF(IF(Y$1="""","""",REGEXMATCH(LOWER($E213),XLOOKUP(Y$1,Metadata!$A$2:$A1000,Metadata!$B$2:$B1000))),Y$1,"""")"),"")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I214">XLOOKUP($A214,Cards!$A$2:$A1000,Cards!$B$2:$I1000,"")</f>
        <v>Mortal</v>
      </c>
      <c r="C214" s="34">
        <v>1.0</v>
      </c>
      <c r="D214" s="34" t="s">
        <v>322</v>
      </c>
      <c r="E214" s="34" t="s">
        <v>1450</v>
      </c>
      <c r="F214" s="34"/>
      <c r="G214" s="34">
        <v>4.0</v>
      </c>
      <c r="H214" s="34" t="s">
        <v>443</v>
      </c>
      <c r="I214" s="34" t="s">
        <v>70</v>
      </c>
      <c r="J214" s="34">
        <f>IFERROR(__xludf.DUMMYFUNCTION("LEN(REGEXREPLACE(XLOOKUP($A214,Cards!$A$2:$A1000,Cards!$H$2:$H1000,""""),"",\s"",""""))"),5.0)</f>
        <v>5</v>
      </c>
      <c r="K214" s="34" t="str">
        <f t="shared" si="1"/>
        <v>      Ramp         </v>
      </c>
      <c r="L214" s="34" t="str">
        <f>IFERROR(__xludf.DUMMYFUNCTION("IF(IF(L$1="""","""",REGEXMATCH(LOWER($E214),XLOOKUP(L$1,Metadata!$A$2:$A1000,Metadata!$B$2:$B1000))),L$1,"""")"),"")</f>
        <v/>
      </c>
      <c r="M214" s="34" t="str">
        <f>IFERROR(__xludf.DUMMYFUNCTION("IF(IF(M$1="""","""",REGEXMATCH(LOWER($E214),XLOOKUP(M$1,Metadata!$A$2:$A1000,Metadata!$B$2:$B1000))),M$1,"""")"),"")</f>
        <v/>
      </c>
      <c r="N214" s="34" t="str">
        <f>IFERROR(__xludf.DUMMYFUNCTION("IF(IF(N$1="""","""",REGEXMATCH(LOWER($E214),XLOOKUP(N$1,Metadata!$A$2:$A1000,Metadata!$B$2:$B1000))),N$1,"""")"),"")</f>
        <v/>
      </c>
      <c r="O214" s="34" t="str">
        <f>IFERROR(__xludf.DUMMYFUNCTION("IF(IF(O$1="""","""",REGEXMATCH(LOWER($E214),XLOOKUP(O$1,Metadata!$A$2:$A1000,Metadata!$B$2:$B1000))),O$1,"""")"),"")</f>
        <v/>
      </c>
      <c r="P214" s="34" t="str">
        <f>IFERROR(__xludf.DUMMYFUNCTION("IF(IF(P$1="""","""",REGEXMATCH(LOWER($E214),XLOOKUP(P$1,Metadata!$A$2:$A1000,Metadata!$B$2:$B1000))),P$1,"""")"),"")</f>
        <v/>
      </c>
      <c r="Q214" s="34" t="str">
        <f>IFERROR(__xludf.DUMMYFUNCTION("IF(IF(Q$1="""","""",REGEXMATCH(LOWER($E214),XLOOKUP(Q$1,Metadata!$A$2:$A1000,Metadata!$B$2:$B1000))),Q$1,"""")"),"")</f>
        <v/>
      </c>
      <c r="R214" s="34" t="str">
        <f>IFERROR(__xludf.DUMMYFUNCTION("IF(IF(R$1="""","""",REGEXMATCH(LOWER($E214),XLOOKUP(R$1,Metadata!$A$2:$A1000,Metadata!$B$2:$B1000))),R$1,"""")"),"Ramp")</f>
        <v>Ramp</v>
      </c>
      <c r="S214" s="34" t="str">
        <f>IFERROR(__xludf.DUMMYFUNCTION("IF(IF(S$1="""","""",REGEXMATCH(LOWER($E214),XLOOKUP(S$1,Metadata!$A$2:$A1000,Metadata!$B$2:$B1000))),S$1,"""")"),"")</f>
        <v/>
      </c>
      <c r="T214" s="34" t="str">
        <f>IFERROR(__xludf.DUMMYFUNCTION("IF(IF(T$1="""","""",REGEXMATCH(LOWER($E214),XLOOKUP(T$1,Metadata!$A$2:$A1000,Metadata!$B$2:$B1000))),T$1,"""")"),"")</f>
        <v/>
      </c>
      <c r="U214" s="34" t="str">
        <f>IFERROR(__xludf.DUMMYFUNCTION("IF(IF(U$1="""","""",REGEXMATCH(LOWER($E214),XLOOKUP(U$1,Metadata!$A$2:$A1000,Metadata!$B$2:$B1000))),U$1,"""")"),"")</f>
        <v/>
      </c>
      <c r="V214" s="34" t="str">
        <f>IFERROR(__xludf.DUMMYFUNCTION("IF(IF(V$1="""","""",REGEXMATCH(LOWER($E214),XLOOKUP(V$1,Metadata!$A$2:$A1000,Metadata!$B$2:$B1000))),V$1,"""")"),"")</f>
        <v/>
      </c>
      <c r="W214" s="34" t="str">
        <f>IFERROR(__xludf.DUMMYFUNCTION("IF(IF(W$1="""","""",REGEXMATCH(LOWER($E214),XLOOKUP(W$1,Metadata!$A$2:$A1000,Metadata!$B$2:$B1000))),W$1,"""")"),"")</f>
        <v/>
      </c>
      <c r="X214" s="34" t="str">
        <f>IFERROR(__xludf.DUMMYFUNCTION("IF(IF(X$1="""","""",REGEXMATCH(LOWER($E214),XLOOKUP(X$1,Metadata!$A$2:$A1000,Metadata!$B$2:$B1000))),X$1,"""")"),"")</f>
        <v/>
      </c>
      <c r="Y214" s="34" t="str">
        <f>IFERROR(__xludf.DUMMYFUNCTION("IF(IF(Y$1="""","""",REGEXMATCH(LOWER($E214),XLOOKUP(Y$1,Metadata!$A$2:$A1000,Metadata!$B$2:$B1000))),Y$1,"""")"),"")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I215">XLOOKUP($A215,Cards!$A$2:$A1000,Cards!$B$2:$I1000,"")</f>
        <v>Mortal Void</v>
      </c>
      <c r="C215" s="34">
        <v>2.0</v>
      </c>
      <c r="D215" s="34" t="s">
        <v>342</v>
      </c>
      <c r="E215" s="34" t="s">
        <v>1461</v>
      </c>
      <c r="F215" s="34" t="s">
        <v>1462</v>
      </c>
      <c r="G215" s="34">
        <v>2.0</v>
      </c>
      <c r="H215" s="34" t="s">
        <v>1431</v>
      </c>
      <c r="I215" s="34" t="s">
        <v>70</v>
      </c>
      <c r="J215" s="34">
        <f>IFERROR(__xludf.DUMMYFUNCTION("LEN(REGEXREPLACE(XLOOKUP($A215,Cards!$A$2:$A1000,Cards!$H$2:$H1000,""""),"",\s"",""""))"),4.0)</f>
        <v>4</v>
      </c>
      <c r="K215" s="34" t="str">
        <f t="shared" si="1"/>
        <v>    Void   Control     Ambush   </v>
      </c>
      <c r="L215" s="34" t="str">
        <f>IFERROR(__xludf.DUMMYFUNCTION("IF(IF(L$1="""","""",REGEXMATCH(LOWER($E215),XLOOKUP(L$1,Metadata!$A$2:$A1000,Metadata!$B$2:$B1000))),L$1,"""")"),"")</f>
        <v/>
      </c>
      <c r="M215" s="34" t="str">
        <f>IFERROR(__xludf.DUMMYFUNCTION("IF(IF(M$1="""","""",REGEXMATCH(LOWER($E215),XLOOKUP(M$1,Metadata!$A$2:$A1000,Metadata!$B$2:$B1000))),M$1,"""")"),"")</f>
        <v/>
      </c>
      <c r="N215" s="34" t="str">
        <f>IFERROR(__xludf.DUMMYFUNCTION("IF(IF(N$1="""","""",REGEXMATCH(LOWER($E215),XLOOKUP(N$1,Metadata!$A$2:$A1000,Metadata!$B$2:$B1000))),N$1,"""")"),"")</f>
        <v/>
      </c>
      <c r="O215" s="34" t="str">
        <f>IFERROR(__xludf.DUMMYFUNCTION("IF(IF(O$1="""","""",REGEXMATCH(LOWER($E215),XLOOKUP(O$1,Metadata!$A$2:$A1000,Metadata!$B$2:$B1000))),O$1,"""")"),"")</f>
        <v/>
      </c>
      <c r="P215" s="34" t="str">
        <f>IFERROR(__xludf.DUMMYFUNCTION("IF(IF(P$1="""","""",REGEXMATCH(LOWER($E215),XLOOKUP(P$1,Metadata!$A$2:$A1000,Metadata!$B$2:$B1000))),P$1,"""")"),"Void")</f>
        <v>Void</v>
      </c>
      <c r="Q215" s="34" t="str">
        <f>IFERROR(__xludf.DUMMYFUNCTION("IF(IF(Q$1="""","""",REGEXMATCH(LOWER($E215),XLOOKUP(Q$1,Metadata!$A$2:$A1000,Metadata!$B$2:$B1000))),Q$1,"""")"),"")</f>
        <v/>
      </c>
      <c r="R215" s="34" t="str">
        <f>IFERROR(__xludf.DUMMYFUNCTION("IF(IF(R$1="""","""",REGEXMATCH(LOWER($E215),XLOOKUP(R$1,Metadata!$A$2:$A1000,Metadata!$B$2:$B1000))),R$1,"""")"),"")</f>
        <v/>
      </c>
      <c r="S215" s="34" t="str">
        <f>IFERROR(__xludf.DUMMYFUNCTION("IF(IF(S$1="""","""",REGEXMATCH(LOWER($E215),XLOOKUP(S$1,Metadata!$A$2:$A1000,Metadata!$B$2:$B1000))),S$1,"""")"),"Control")</f>
        <v>Control</v>
      </c>
      <c r="T215" s="34" t="str">
        <f>IFERROR(__xludf.DUMMYFUNCTION("IF(IF(T$1="""","""",REGEXMATCH(LOWER($E215),XLOOKUP(T$1,Metadata!$A$2:$A1000,Metadata!$B$2:$B1000))),T$1,"""")"),"")</f>
        <v/>
      </c>
      <c r="U215" s="34" t="str">
        <f>IFERROR(__xludf.DUMMYFUNCTION("IF(IF(U$1="""","""",REGEXMATCH(LOWER($E215),XLOOKUP(U$1,Metadata!$A$2:$A1000,Metadata!$B$2:$B1000))),U$1,"""")"),"")</f>
        <v/>
      </c>
      <c r="V215" s="34" t="str">
        <f>IFERROR(__xludf.DUMMYFUNCTION("IF(IF(V$1="""","""",REGEXMATCH(LOWER($E215),XLOOKUP(V$1,Metadata!$A$2:$A1000,Metadata!$B$2:$B1000))),V$1,"""")"),"")</f>
        <v/>
      </c>
      <c r="W215" s="34" t="str">
        <f>IFERROR(__xludf.DUMMYFUNCTION("IF(IF(W$1="""","""",REGEXMATCH(LOWER($E215),XLOOKUP(W$1,Metadata!$A$2:$A1000,Metadata!$B$2:$B1000))),W$1,"""")"),"")</f>
        <v/>
      </c>
      <c r="X215" s="34" t="str">
        <f>IFERROR(__xludf.DUMMYFUNCTION("IF(IF(X$1="""","""",REGEXMATCH(LOWER($E215),XLOOKUP(X$1,Metadata!$A$2:$A1000,Metadata!$B$2:$B1000))),X$1,"""")"),"Ambush")</f>
        <v>Ambush</v>
      </c>
      <c r="Y215" s="34" t="str">
        <f>IFERROR(__xludf.DUMMYFUNCTION("IF(IF(Y$1="""","""",REGEXMATCH(LOWER($E215),XLOOKUP(Y$1,Metadata!$A$2:$A1000,Metadata!$B$2:$B1000))),Y$1,"""")"),"")</f>
        <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I216">XLOOKUP($A216,Cards!$A$2:$A1000,Cards!$B$2:$I1000,"")</f>
        <v>Mortal Void</v>
      </c>
      <c r="C216" s="34">
        <v>2.0</v>
      </c>
      <c r="D216" s="34" t="s">
        <v>1464</v>
      </c>
      <c r="E216" s="34" t="s">
        <v>1465</v>
      </c>
      <c r="F216" s="34"/>
      <c r="G216" s="34">
        <v>3.0</v>
      </c>
      <c r="H216" s="34" t="s">
        <v>1466</v>
      </c>
      <c r="I216" s="34" t="s">
        <v>70</v>
      </c>
      <c r="J216" s="34">
        <f>IFERROR(__xludf.DUMMYFUNCTION("LEN(REGEXREPLACE(XLOOKUP($A216,Cards!$A$2:$A1000,Cards!$H$2:$H1000,""""),"",\s"",""""))"),5.0)</f>
        <v>5</v>
      </c>
      <c r="K216" s="34" t="str">
        <f t="shared" si="1"/>
        <v>     Unearth  Control  Aggro   Ambush   </v>
      </c>
      <c r="L216" s="34" t="str">
        <f>IFERROR(__xludf.DUMMYFUNCTION("IF(IF(L$1="""","""",REGEXMATCH(LOWER($E216),XLOOKUP(L$1,Metadata!$A$2:$A1000,Metadata!$B$2:$B1000))),L$1,"""")"),"")</f>
        <v/>
      </c>
      <c r="M216" s="34" t="str">
        <f>IFERROR(__xludf.DUMMYFUNCTION("IF(IF(M$1="""","""",REGEXMATCH(LOWER($E216),XLOOKUP(M$1,Metadata!$A$2:$A1000,Metadata!$B$2:$B1000))),M$1,"""")"),"")</f>
        <v/>
      </c>
      <c r="N216" s="34" t="str">
        <f>IFERROR(__xludf.DUMMYFUNCTION("IF(IF(N$1="""","""",REGEXMATCH(LOWER($E216),XLOOKUP(N$1,Metadata!$A$2:$A1000,Metadata!$B$2:$B1000))),N$1,"""")"),"")</f>
        <v/>
      </c>
      <c r="O216" s="34" t="str">
        <f>IFERROR(__xludf.DUMMYFUNCTION("IF(IF(O$1="""","""",REGEXMATCH(LOWER($E216),XLOOKUP(O$1,Metadata!$A$2:$A1000,Metadata!$B$2:$B1000))),O$1,"""")"),"")</f>
        <v/>
      </c>
      <c r="P216" s="34" t="str">
        <f>IFERROR(__xludf.DUMMYFUNCTION("IF(IF(P$1="""","""",REGEXMATCH(LOWER($E216),XLOOKUP(P$1,Metadata!$A$2:$A1000,Metadata!$B$2:$B1000))),P$1,"""")"),"")</f>
        <v/>
      </c>
      <c r="Q216" s="34" t="str">
        <f>IFERROR(__xludf.DUMMYFUNCTION("IF(IF(Q$1="""","""",REGEXMATCH(LOWER($E216),XLOOKUP(Q$1,Metadata!$A$2:$A1000,Metadata!$B$2:$B1000))),Q$1,"""")"),"Unearth")</f>
        <v>Unearth</v>
      </c>
      <c r="R216" s="34" t="str">
        <f>IFERROR(__xludf.DUMMYFUNCTION("IF(IF(R$1="""","""",REGEXMATCH(LOWER($E216),XLOOKUP(R$1,Metadata!$A$2:$A1000,Metadata!$B$2:$B1000))),R$1,"""")"),"")</f>
        <v/>
      </c>
      <c r="S216" s="34" t="str">
        <f>IFERROR(__xludf.DUMMYFUNCTION("IF(IF(S$1="""","""",REGEXMATCH(LOWER($E216),XLOOKUP(S$1,Metadata!$A$2:$A1000,Metadata!$B$2:$B1000))),S$1,"""")"),"Control")</f>
        <v>Control</v>
      </c>
      <c r="T216" s="34" t="str">
        <f>IFERROR(__xludf.DUMMYFUNCTION("IF(IF(T$1="""","""",REGEXMATCH(LOWER($E216),XLOOKUP(T$1,Metadata!$A$2:$A1000,Metadata!$B$2:$B1000))),T$1,"""")"),"")</f>
        <v/>
      </c>
      <c r="U216" s="34" t="str">
        <f>IFERROR(__xludf.DUMMYFUNCTION("IF(IF(U$1="""","""",REGEXMATCH(LOWER($E216),XLOOKUP(U$1,Metadata!$A$2:$A1000,Metadata!$B$2:$B1000))),U$1,"""")"),"Aggro")</f>
        <v>Aggro</v>
      </c>
      <c r="V216" s="34" t="str">
        <f>IFERROR(__xludf.DUMMYFUNCTION("IF(IF(V$1="""","""",REGEXMATCH(LOWER($E216),XLOOKUP(V$1,Metadata!$A$2:$A1000,Metadata!$B$2:$B1000))),V$1,"""")"),"")</f>
        <v/>
      </c>
      <c r="W216" s="34" t="str">
        <f>IFERROR(__xludf.DUMMYFUNCTION("IF(IF(W$1="""","""",REGEXMATCH(LOWER($E216),XLOOKUP(W$1,Metadata!$A$2:$A1000,Metadata!$B$2:$B1000))),W$1,"""")"),"")</f>
        <v/>
      </c>
      <c r="X216" s="34" t="str">
        <f>IFERROR(__xludf.DUMMYFUNCTION("IF(IF(X$1="""","""",REGEXMATCH(LOWER($E216),XLOOKUP(X$1,Metadata!$A$2:$A1000,Metadata!$B$2:$B1000))),X$1,"""")"),"Ambush")</f>
        <v>Ambush</v>
      </c>
      <c r="Y216" s="34" t="str">
        <f>IFERROR(__xludf.DUMMYFUNCTION("IF(IF(Y$1="""","""",REGEXMATCH(LOWER($E216),XLOOKUP(Y$1,Metadata!$A$2:$A1000,Metadata!$B$2:$B1000))),Y$1,"""")"),"")</f>
        <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I217">XLOOKUP($A217,Cards!$A$2:$A1000,Cards!$B$2:$I1000,"")</f>
        <v>Mortal Void</v>
      </c>
      <c r="C217" s="34">
        <v>2.0</v>
      </c>
      <c r="D217" s="34" t="s">
        <v>1175</v>
      </c>
      <c r="E217" s="34" t="s">
        <v>1468</v>
      </c>
      <c r="F217" s="34"/>
      <c r="G217" s="34">
        <v>7.0</v>
      </c>
      <c r="H217" s="34" t="s">
        <v>1469</v>
      </c>
      <c r="I217" s="34" t="s">
        <v>70</v>
      </c>
      <c r="J217" s="34">
        <f>IFERROR(__xludf.DUMMYFUNCTION("LEN(REGEXREPLACE(XLOOKUP($A217,Cards!$A$2:$A1000,Cards!$H$2:$H1000,""""),"",\s"",""""))"),6.0)</f>
        <v>6</v>
      </c>
      <c r="K217" s="34" t="str">
        <f t="shared" si="1"/>
        <v>       Control   Empty-Crystal  Ambush   </v>
      </c>
      <c r="L217" s="34" t="str">
        <f>IFERROR(__xludf.DUMMYFUNCTION("IF(IF(L$1="""","""",REGEXMATCH(LOWER($E217),XLOOKUP(L$1,Metadata!$A$2:$A1000,Metadata!$B$2:$B1000))),L$1,"""")"),"")</f>
        <v/>
      </c>
      <c r="M217" s="34" t="str">
        <f>IFERROR(__xludf.DUMMYFUNCTION("IF(IF(M$1="""","""",REGEXMATCH(LOWER($E217),XLOOKUP(M$1,Metadata!$A$2:$A1000,Metadata!$B$2:$B1000))),M$1,"""")"),"")</f>
        <v/>
      </c>
      <c r="N217" s="34" t="str">
        <f>IFERROR(__xludf.DUMMYFUNCTION("IF(IF(N$1="""","""",REGEXMATCH(LOWER($E217),XLOOKUP(N$1,Metadata!$A$2:$A1000,Metadata!$B$2:$B1000))),N$1,"""")"),"")</f>
        <v/>
      </c>
      <c r="O217" s="34" t="str">
        <f>IFERROR(__xludf.DUMMYFUNCTION("IF(IF(O$1="""","""",REGEXMATCH(LOWER($E217),XLOOKUP(O$1,Metadata!$A$2:$A1000,Metadata!$B$2:$B1000))),O$1,"""")"),"")</f>
        <v/>
      </c>
      <c r="P217" s="34" t="str">
        <f>IFERROR(__xludf.DUMMYFUNCTION("IF(IF(P$1="""","""",REGEXMATCH(LOWER($E217),XLOOKUP(P$1,Metadata!$A$2:$A1000,Metadata!$B$2:$B1000))),P$1,"""")"),"")</f>
        <v/>
      </c>
      <c r="Q217" s="34" t="str">
        <f>IFERROR(__xludf.DUMMYFUNCTION("IF(IF(Q$1="""","""",REGEXMATCH(LOWER($E217),XLOOKUP(Q$1,Metadata!$A$2:$A1000,Metadata!$B$2:$B1000))),Q$1,"""")"),"")</f>
        <v/>
      </c>
      <c r="R217" s="34" t="str">
        <f>IFERROR(__xludf.DUMMYFUNCTION("IF(IF(R$1="""","""",REGEXMATCH(LOWER($E217),XLOOKUP(R$1,Metadata!$A$2:$A1000,Metadata!$B$2:$B1000))),R$1,"""")"),"")</f>
        <v/>
      </c>
      <c r="S217" s="34" t="str">
        <f>IFERROR(__xludf.DUMMYFUNCTION("IF(IF(S$1="""","""",REGEXMATCH(LOWER($E217),XLOOKUP(S$1,Metadata!$A$2:$A1000,Metadata!$B$2:$B1000))),S$1,"""")"),"Control")</f>
        <v>Control</v>
      </c>
      <c r="T217" s="34" t="str">
        <f>IFERROR(__xludf.DUMMYFUNCTION("IF(IF(T$1="""","""",REGEXMATCH(LOWER($E217),XLOOKUP(T$1,Metadata!$A$2:$A1000,Metadata!$B$2:$B1000))),T$1,"""")"),"")</f>
        <v/>
      </c>
      <c r="U217" s="34" t="str">
        <f>IFERROR(__xludf.DUMMYFUNCTION("IF(IF(U$1="""","""",REGEXMATCH(LOWER($E217),XLOOKUP(U$1,Metadata!$A$2:$A1000,Metadata!$B$2:$B1000))),U$1,"""")"),"")</f>
        <v/>
      </c>
      <c r="V217" s="34" t="str">
        <f>IFERROR(__xludf.DUMMYFUNCTION("IF(IF(V$1="""","""",REGEXMATCH(LOWER($E217),XLOOKUP(V$1,Metadata!$A$2:$A1000,Metadata!$B$2:$B1000))),V$1,"""")"),"Empty-Crystal")</f>
        <v>Empty-Crystal</v>
      </c>
      <c r="W217" s="34" t="str">
        <f>IFERROR(__xludf.DUMMYFUNCTION("IF(IF(W$1="""","""",REGEXMATCH(LOWER($E217),XLOOKUP(W$1,Metadata!$A$2:$A1000,Metadata!$B$2:$B1000))),W$1,"""")"),"")</f>
        <v/>
      </c>
      <c r="X217" s="34" t="str">
        <f>IFERROR(__xludf.DUMMYFUNCTION("IF(IF(X$1="""","""",REGEXMATCH(LOWER($E217),XLOOKUP(X$1,Metadata!$A$2:$A1000,Metadata!$B$2:$B1000))),X$1,"""")"),"Ambush")</f>
        <v>Ambush</v>
      </c>
      <c r="Y217" s="34" t="str">
        <f>IFERROR(__xludf.DUMMYFUNCTION("IF(IF(Y$1="""","""",REGEXMATCH(LOWER($E217),XLOOKUP(Y$1,Metadata!$A$2:$A1000,Metadata!$B$2:$B1000))),Y$1,"""")"),"")</f>
        <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I218">XLOOKUP($A218,Cards!$A$2:$A1000,Cards!$B$2:$I1000,"")</f>
        <v>Mortal Void</v>
      </c>
      <c r="C218" s="34">
        <v>2.0</v>
      </c>
      <c r="D218" s="34" t="s">
        <v>37</v>
      </c>
      <c r="E218" s="34" t="s">
        <v>1471</v>
      </c>
      <c r="F218" s="34"/>
      <c r="G218" s="34">
        <v>1.0</v>
      </c>
      <c r="H218" s="34" t="s">
        <v>1472</v>
      </c>
      <c r="I218" s="34" t="s">
        <v>26</v>
      </c>
      <c r="J218" s="34">
        <f>IFERROR(__xludf.DUMMYFUNCTION("LEN(REGEXREPLACE(XLOOKUP($A218,Cards!$A$2:$A1000,Cards!$H$2:$H1000,""""),"",\s"",""""))"),2.0)</f>
        <v>2</v>
      </c>
      <c r="K218" s="34" t="str">
        <f t="shared" si="1"/>
        <v>       Control     Ambush   </v>
      </c>
      <c r="L218" s="34" t="str">
        <f>IFERROR(__xludf.DUMMYFUNCTION("IF(IF(L$1="""","""",REGEXMATCH(LOWER($E218),XLOOKUP(L$1,Metadata!$A$2:$A1000,Metadata!$B$2:$B1000))),L$1,"""")"),"")</f>
        <v/>
      </c>
      <c r="M218" s="34" t="str">
        <f>IFERROR(__xludf.DUMMYFUNCTION("IF(IF(M$1="""","""",REGEXMATCH(LOWER($E218),XLOOKUP(M$1,Metadata!$A$2:$A1000,Metadata!$B$2:$B1000))),M$1,"""")"),"")</f>
        <v/>
      </c>
      <c r="N218" s="34" t="str">
        <f>IFERROR(__xludf.DUMMYFUNCTION("IF(IF(N$1="""","""",REGEXMATCH(LOWER($E218),XLOOKUP(N$1,Metadata!$A$2:$A1000,Metadata!$B$2:$B1000))),N$1,"""")"),"")</f>
        <v/>
      </c>
      <c r="O218" s="34" t="str">
        <f>IFERROR(__xludf.DUMMYFUNCTION("IF(IF(O$1="""","""",REGEXMATCH(LOWER($E218),XLOOKUP(O$1,Metadata!$A$2:$A1000,Metadata!$B$2:$B1000))),O$1,"""")"),"")</f>
        <v/>
      </c>
      <c r="P218" s="34" t="str">
        <f>IFERROR(__xludf.DUMMYFUNCTION("IF(IF(P$1="""","""",REGEXMATCH(LOWER($E218),XLOOKUP(P$1,Metadata!$A$2:$A1000,Metadata!$B$2:$B1000))),P$1,"""")"),"")</f>
        <v/>
      </c>
      <c r="Q218" s="34" t="str">
        <f>IFERROR(__xludf.DUMMYFUNCTION("IF(IF(Q$1="""","""",REGEXMATCH(LOWER($E218),XLOOKUP(Q$1,Metadata!$A$2:$A1000,Metadata!$B$2:$B1000))),Q$1,"""")"),"")</f>
        <v/>
      </c>
      <c r="R218" s="34" t="str">
        <f>IFERROR(__xludf.DUMMYFUNCTION("IF(IF(R$1="""","""",REGEXMATCH(LOWER($E218),XLOOKUP(R$1,Metadata!$A$2:$A1000,Metadata!$B$2:$B1000))),R$1,"""")"),"")</f>
        <v/>
      </c>
      <c r="S218" s="34" t="str">
        <f>IFERROR(__xludf.DUMMYFUNCTION("IF(IF(S$1="""","""",REGEXMATCH(LOWER($E218),XLOOKUP(S$1,Metadata!$A$2:$A1000,Metadata!$B$2:$B1000))),S$1,"""")"),"Control")</f>
        <v>Control</v>
      </c>
      <c r="T218" s="34" t="str">
        <f>IFERROR(__xludf.DUMMYFUNCTION("IF(IF(T$1="""","""",REGEXMATCH(LOWER($E218),XLOOKUP(T$1,Metadata!$A$2:$A1000,Metadata!$B$2:$B1000))),T$1,"""")"),"")</f>
        <v/>
      </c>
      <c r="U218" s="34" t="str">
        <f>IFERROR(__xludf.DUMMYFUNCTION("IF(IF(U$1="""","""",REGEXMATCH(LOWER($E218),XLOOKUP(U$1,Metadata!$A$2:$A1000,Metadata!$B$2:$B1000))),U$1,"""")"),"")</f>
        <v/>
      </c>
      <c r="V218" s="34" t="str">
        <f>IFERROR(__xludf.DUMMYFUNCTION("IF(IF(V$1="""","""",REGEXMATCH(LOWER($E218),XLOOKUP(V$1,Metadata!$A$2:$A1000,Metadata!$B$2:$B1000))),V$1,"""")"),"")</f>
        <v/>
      </c>
      <c r="W218" s="34" t="str">
        <f>IFERROR(__xludf.DUMMYFUNCTION("IF(IF(W$1="""","""",REGEXMATCH(LOWER($E218),XLOOKUP(W$1,Metadata!$A$2:$A1000,Metadata!$B$2:$B1000))),W$1,"""")"),"")</f>
        <v/>
      </c>
      <c r="X218" s="34" t="str">
        <f>IFERROR(__xludf.DUMMYFUNCTION("IF(IF(X$1="""","""",REGEXMATCH(LOWER($E218),XLOOKUP(X$1,Metadata!$A$2:$A1000,Metadata!$B$2:$B1000))),X$1,"""")"),"Ambush")</f>
        <v>Ambush</v>
      </c>
      <c r="Y218" s="34" t="str">
        <f>IFERROR(__xludf.DUMMYFUNCTION("IF(IF(Y$1="""","""",REGEXMATCH(LOWER($E218),XLOOKUP(Y$1,Metadata!$A$2:$A1000,Metadata!$B$2:$B1000))),Y$1,"""")"),"")</f>
        <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I219">XLOOKUP($A219,Cards!$A$2:$A1000,Cards!$B$2:$I1000,"")</f>
        <v>Mortal</v>
      </c>
      <c r="C219" s="34">
        <v>1.0</v>
      </c>
      <c r="D219" s="34" t="s">
        <v>149</v>
      </c>
      <c r="E219" s="34" t="s">
        <v>1474</v>
      </c>
      <c r="F219" s="34" t="s">
        <v>1475</v>
      </c>
      <c r="G219" s="34">
        <v>2.0</v>
      </c>
      <c r="H219" s="34" t="s">
        <v>443</v>
      </c>
      <c r="I219" s="34" t="s">
        <v>32</v>
      </c>
      <c r="J219" s="34">
        <f>IFERROR(__xludf.DUMMYFUNCTION("LEN(REGEXREPLACE(XLOOKUP($A219,Cards!$A$2:$A1000,Cards!$H$2:$H1000,""""),"",\s"",""""))"),5.0)</f>
        <v>5</v>
      </c>
      <c r="K219" s="34" t="str">
        <f t="shared" si="1"/>
        <v>       Control     Ambush   </v>
      </c>
      <c r="L219" s="34" t="str">
        <f>IFERROR(__xludf.DUMMYFUNCTION("IF(IF(L$1="""","""",REGEXMATCH(LOWER($E219),XLOOKUP(L$1,Metadata!$A$2:$A1000,Metadata!$B$2:$B1000))),L$1,"""")"),"")</f>
        <v/>
      </c>
      <c r="M219" s="34" t="str">
        <f>IFERROR(__xludf.DUMMYFUNCTION("IF(IF(M$1="""","""",REGEXMATCH(LOWER($E219),XLOOKUP(M$1,Metadata!$A$2:$A1000,Metadata!$B$2:$B1000))),M$1,"""")"),"")</f>
        <v/>
      </c>
      <c r="N219" s="34" t="str">
        <f>IFERROR(__xludf.DUMMYFUNCTION("IF(IF(N$1="""","""",REGEXMATCH(LOWER($E219),XLOOKUP(N$1,Metadata!$A$2:$A1000,Metadata!$B$2:$B1000))),N$1,"""")"),"")</f>
        <v/>
      </c>
      <c r="O219" s="34" t="str">
        <f>IFERROR(__xludf.DUMMYFUNCTION("IF(IF(O$1="""","""",REGEXMATCH(LOWER($E219),XLOOKUP(O$1,Metadata!$A$2:$A1000,Metadata!$B$2:$B1000))),O$1,"""")"),"")</f>
        <v/>
      </c>
      <c r="P219" s="34" t="str">
        <f>IFERROR(__xludf.DUMMYFUNCTION("IF(IF(P$1="""","""",REGEXMATCH(LOWER($E219),XLOOKUP(P$1,Metadata!$A$2:$A1000,Metadata!$B$2:$B1000))),P$1,"""")"),"")</f>
        <v/>
      </c>
      <c r="Q219" s="34" t="str">
        <f>IFERROR(__xludf.DUMMYFUNCTION("IF(IF(Q$1="""","""",REGEXMATCH(LOWER($E219),XLOOKUP(Q$1,Metadata!$A$2:$A1000,Metadata!$B$2:$B1000))),Q$1,"""")"),"")</f>
        <v/>
      </c>
      <c r="R219" s="34" t="str">
        <f>IFERROR(__xludf.DUMMYFUNCTION("IF(IF(R$1="""","""",REGEXMATCH(LOWER($E219),XLOOKUP(R$1,Metadata!$A$2:$A1000,Metadata!$B$2:$B1000))),R$1,"""")"),"")</f>
        <v/>
      </c>
      <c r="S219" s="34" t="str">
        <f>IFERROR(__xludf.DUMMYFUNCTION("IF(IF(S$1="""","""",REGEXMATCH(LOWER($E219),XLOOKUP(S$1,Metadata!$A$2:$A1000,Metadata!$B$2:$B1000))),S$1,"""")"),"Control")</f>
        <v>Control</v>
      </c>
      <c r="T219" s="34" t="str">
        <f>IFERROR(__xludf.DUMMYFUNCTION("IF(IF(T$1="""","""",REGEXMATCH(LOWER($E219),XLOOKUP(T$1,Metadata!$A$2:$A1000,Metadata!$B$2:$B1000))),T$1,"""")"),"")</f>
        <v/>
      </c>
      <c r="U219" s="34" t="str">
        <f>IFERROR(__xludf.DUMMYFUNCTION("IF(IF(U$1="""","""",REGEXMATCH(LOWER($E219),XLOOKUP(U$1,Metadata!$A$2:$A1000,Metadata!$B$2:$B1000))),U$1,"""")"),"")</f>
        <v/>
      </c>
      <c r="V219" s="34" t="str">
        <f>IFERROR(__xludf.DUMMYFUNCTION("IF(IF(V$1="""","""",REGEXMATCH(LOWER($E219),XLOOKUP(V$1,Metadata!$A$2:$A1000,Metadata!$B$2:$B1000))),V$1,"""")"),"")</f>
        <v/>
      </c>
      <c r="W219" s="34" t="str">
        <f>IFERROR(__xludf.DUMMYFUNCTION("IF(IF(W$1="""","""",REGEXMATCH(LOWER($E219),XLOOKUP(W$1,Metadata!$A$2:$A1000,Metadata!$B$2:$B1000))),W$1,"""")"),"")</f>
        <v/>
      </c>
      <c r="X219" s="34" t="str">
        <f>IFERROR(__xludf.DUMMYFUNCTION("IF(IF(X$1="""","""",REGEXMATCH(LOWER($E219),XLOOKUP(X$1,Metadata!$A$2:$A1000,Metadata!$B$2:$B1000))),X$1,"""")"),"Ambush")</f>
        <v>Ambush</v>
      </c>
      <c r="Y219" s="34" t="str">
        <f>IFERROR(__xludf.DUMMYFUNCTION("IF(IF(Y$1="""","""",REGEXMATCH(LOWER($E219),XLOOKUP(Y$1,Metadata!$A$2:$A1000,Metadata!$B$2:$B1000))),Y$1,"""")"),"")</f>
        <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I220">XLOOKUP($A220,Cards!$A$2:$A1000,Cards!$B$2:$I1000,"")</f>
        <v>Mortal</v>
      </c>
      <c r="C220" s="34">
        <v>1.0</v>
      </c>
      <c r="D220" s="34" t="s">
        <v>133</v>
      </c>
      <c r="E220" s="34" t="s">
        <v>1483</v>
      </c>
      <c r="F220" s="34" t="s">
        <v>1484</v>
      </c>
      <c r="G220" s="34">
        <v>3.0</v>
      </c>
      <c r="H220" s="34" t="s">
        <v>1042</v>
      </c>
      <c r="I220" s="34" t="s">
        <v>32</v>
      </c>
      <c r="J220" s="34">
        <f>IFERROR(__xludf.DUMMYFUNCTION("LEN(REGEXREPLACE(XLOOKUP($A220,Cards!$A$2:$A1000,Cards!$H$2:$H1000,""""),"",\s"",""""))"),3.0)</f>
        <v>3</v>
      </c>
      <c r="K220" s="34" t="str">
        <f t="shared" si="1"/>
        <v>               </v>
      </c>
      <c r="L220" s="34" t="str">
        <f>IFERROR(__xludf.DUMMYFUNCTION("IF(IF(L$1="""","""",REGEXMATCH(LOWER($E220),XLOOKUP(L$1,Metadata!$A$2:$A1000,Metadata!$B$2:$B1000))),L$1,"""")"),"")</f>
        <v/>
      </c>
      <c r="M220" s="34" t="str">
        <f>IFERROR(__xludf.DUMMYFUNCTION("IF(IF(M$1="""","""",REGEXMATCH(LOWER($E220),XLOOKUP(M$1,Metadata!$A$2:$A1000,Metadata!$B$2:$B1000))),M$1,"""")"),"")</f>
        <v/>
      </c>
      <c r="N220" s="34" t="str">
        <f>IFERROR(__xludf.DUMMYFUNCTION("IF(IF(N$1="""","""",REGEXMATCH(LOWER($E220),XLOOKUP(N$1,Metadata!$A$2:$A1000,Metadata!$B$2:$B1000))),N$1,"""")"),"")</f>
        <v/>
      </c>
      <c r="O220" s="34" t="str">
        <f>IFERROR(__xludf.DUMMYFUNCTION("IF(IF(O$1="""","""",REGEXMATCH(LOWER($E220),XLOOKUP(O$1,Metadata!$A$2:$A1000,Metadata!$B$2:$B1000))),O$1,"""")"),"")</f>
        <v/>
      </c>
      <c r="P220" s="34" t="str">
        <f>IFERROR(__xludf.DUMMYFUNCTION("IF(IF(P$1="""","""",REGEXMATCH(LOWER($E220),XLOOKUP(P$1,Metadata!$A$2:$A1000,Metadata!$B$2:$B1000))),P$1,"""")"),"")</f>
        <v/>
      </c>
      <c r="Q220" s="34" t="str">
        <f>IFERROR(__xludf.DUMMYFUNCTION("IF(IF(Q$1="""","""",REGEXMATCH(LOWER($E220),XLOOKUP(Q$1,Metadata!$A$2:$A1000,Metadata!$B$2:$B1000))),Q$1,"""")"),"")</f>
        <v/>
      </c>
      <c r="R220" s="34" t="str">
        <f>IFERROR(__xludf.DUMMYFUNCTION("IF(IF(R$1="""","""",REGEXMATCH(LOWER($E220),XLOOKUP(R$1,Metadata!$A$2:$A1000,Metadata!$B$2:$B1000))),R$1,"""")"),"")</f>
        <v/>
      </c>
      <c r="S220" s="34" t="str">
        <f>IFERROR(__xludf.DUMMYFUNCTION("IF(IF(S$1="""","""",REGEXMATCH(LOWER($E220),XLOOKUP(S$1,Metadata!$A$2:$A1000,Metadata!$B$2:$B1000))),S$1,"""")"),"")</f>
        <v/>
      </c>
      <c r="T220" s="34" t="str">
        <f>IFERROR(__xludf.DUMMYFUNCTION("IF(IF(T$1="""","""",REGEXMATCH(LOWER($E220),XLOOKUP(T$1,Metadata!$A$2:$A1000,Metadata!$B$2:$B1000))),T$1,"""")"),"")</f>
        <v/>
      </c>
      <c r="U220" s="34" t="str">
        <f>IFERROR(__xludf.DUMMYFUNCTION("IF(IF(U$1="""","""",REGEXMATCH(LOWER($E220),XLOOKUP(U$1,Metadata!$A$2:$A1000,Metadata!$B$2:$B1000))),U$1,"""")"),"")</f>
        <v/>
      </c>
      <c r="V220" s="34" t="str">
        <f>IFERROR(__xludf.DUMMYFUNCTION("IF(IF(V$1="""","""",REGEXMATCH(LOWER($E220),XLOOKUP(V$1,Metadata!$A$2:$A1000,Metadata!$B$2:$B1000))),V$1,"""")"),"")</f>
        <v/>
      </c>
      <c r="W220" s="34" t="str">
        <f>IFERROR(__xludf.DUMMYFUNCTION("IF(IF(W$1="""","""",REGEXMATCH(LOWER($E220),XLOOKUP(W$1,Metadata!$A$2:$A1000,Metadata!$B$2:$B1000))),W$1,"""")"),"")</f>
        <v/>
      </c>
      <c r="X220" s="34" t="str">
        <f>IFERROR(__xludf.DUMMYFUNCTION("IF(IF(X$1="""","""",REGEXMATCH(LOWER($E220),XLOOKUP(X$1,Metadata!$A$2:$A1000,Metadata!$B$2:$B1000))),X$1,"""")"),"")</f>
        <v/>
      </c>
      <c r="Y220" s="34" t="str">
        <f>IFERROR(__xludf.DUMMYFUNCTION("IF(IF(Y$1="""","""",REGEXMATCH(LOWER($E220),XLOOKUP(Y$1,Metadata!$A$2:$A1000,Metadata!$B$2:$B1000))),Y$1,"""")"),"")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I221">XLOOKUP($A221,Cards!$A$2:$A1000,Cards!$B$2:$I1000,"")</f>
        <v>Mortal</v>
      </c>
      <c r="C221" s="34">
        <v>1.0</v>
      </c>
      <c r="D221" s="34" t="s">
        <v>1464</v>
      </c>
      <c r="E221" s="34" t="s">
        <v>1491</v>
      </c>
      <c r="F221" s="34" t="s">
        <v>1492</v>
      </c>
      <c r="G221" s="34">
        <v>4.0</v>
      </c>
      <c r="H221" s="34" t="s">
        <v>1095</v>
      </c>
      <c r="I221" s="34" t="s">
        <v>32</v>
      </c>
      <c r="J221" s="34">
        <f>IFERROR(__xludf.DUMMYFUNCTION("LEN(REGEXREPLACE(XLOOKUP($A221,Cards!$A$2:$A1000,Cards!$H$2:$H1000,""""),"",\s"",""""))"),4.0)</f>
        <v>4</v>
      </c>
      <c r="K221" s="34" t="str">
        <f t="shared" si="1"/>
        <v>       Control     Ambush   </v>
      </c>
      <c r="L221" s="34" t="str">
        <f>IFERROR(__xludf.DUMMYFUNCTION("IF(IF(L$1="""","""",REGEXMATCH(LOWER($E221),XLOOKUP(L$1,Metadata!$A$2:$A1000,Metadata!$B$2:$B1000))),L$1,"""")"),"")</f>
        <v/>
      </c>
      <c r="M221" s="34" t="str">
        <f>IFERROR(__xludf.DUMMYFUNCTION("IF(IF(M$1="""","""",REGEXMATCH(LOWER($E221),XLOOKUP(M$1,Metadata!$A$2:$A1000,Metadata!$B$2:$B1000))),M$1,"""")"),"")</f>
        <v/>
      </c>
      <c r="N221" s="34" t="str">
        <f>IFERROR(__xludf.DUMMYFUNCTION("IF(IF(N$1="""","""",REGEXMATCH(LOWER($E221),XLOOKUP(N$1,Metadata!$A$2:$A1000,Metadata!$B$2:$B1000))),N$1,"""")"),"")</f>
        <v/>
      </c>
      <c r="O221" s="34" t="str">
        <f>IFERROR(__xludf.DUMMYFUNCTION("IF(IF(O$1="""","""",REGEXMATCH(LOWER($E221),XLOOKUP(O$1,Metadata!$A$2:$A1000,Metadata!$B$2:$B1000))),O$1,"""")"),"")</f>
        <v/>
      </c>
      <c r="P221" s="34" t="str">
        <f>IFERROR(__xludf.DUMMYFUNCTION("IF(IF(P$1="""","""",REGEXMATCH(LOWER($E221),XLOOKUP(P$1,Metadata!$A$2:$A1000,Metadata!$B$2:$B1000))),P$1,"""")"),"")</f>
        <v/>
      </c>
      <c r="Q221" s="34" t="str">
        <f>IFERROR(__xludf.DUMMYFUNCTION("IF(IF(Q$1="""","""",REGEXMATCH(LOWER($E221),XLOOKUP(Q$1,Metadata!$A$2:$A1000,Metadata!$B$2:$B1000))),Q$1,"""")"),"")</f>
        <v/>
      </c>
      <c r="R221" s="34" t="str">
        <f>IFERROR(__xludf.DUMMYFUNCTION("IF(IF(R$1="""","""",REGEXMATCH(LOWER($E221),XLOOKUP(R$1,Metadata!$A$2:$A1000,Metadata!$B$2:$B1000))),R$1,"""")"),"")</f>
        <v/>
      </c>
      <c r="S221" s="34" t="str">
        <f>IFERROR(__xludf.DUMMYFUNCTION("IF(IF(S$1="""","""",REGEXMATCH(LOWER($E221),XLOOKUP(S$1,Metadata!$A$2:$A1000,Metadata!$B$2:$B1000))),S$1,"""")"),"Control")</f>
        <v>Control</v>
      </c>
      <c r="T221" s="34" t="str">
        <f>IFERROR(__xludf.DUMMYFUNCTION("IF(IF(T$1="""","""",REGEXMATCH(LOWER($E221),XLOOKUP(T$1,Metadata!$A$2:$A1000,Metadata!$B$2:$B1000))),T$1,"""")"),"")</f>
        <v/>
      </c>
      <c r="U221" s="34" t="str">
        <f>IFERROR(__xludf.DUMMYFUNCTION("IF(IF(U$1="""","""",REGEXMATCH(LOWER($E221),XLOOKUP(U$1,Metadata!$A$2:$A1000,Metadata!$B$2:$B1000))),U$1,"""")"),"")</f>
        <v/>
      </c>
      <c r="V221" s="34" t="str">
        <f>IFERROR(__xludf.DUMMYFUNCTION("IF(IF(V$1="""","""",REGEXMATCH(LOWER($E221),XLOOKUP(V$1,Metadata!$A$2:$A1000,Metadata!$B$2:$B1000))),V$1,"""")"),"")</f>
        <v/>
      </c>
      <c r="W221" s="34" t="str">
        <f>IFERROR(__xludf.DUMMYFUNCTION("IF(IF(W$1="""","""",REGEXMATCH(LOWER($E221),XLOOKUP(W$1,Metadata!$A$2:$A1000,Metadata!$B$2:$B1000))),W$1,"""")"),"")</f>
        <v/>
      </c>
      <c r="X221" s="34" t="str">
        <f>IFERROR(__xludf.DUMMYFUNCTION("IF(IF(X$1="""","""",REGEXMATCH(LOWER($E221),XLOOKUP(X$1,Metadata!$A$2:$A1000,Metadata!$B$2:$B1000))),X$1,"""")"),"Ambush")</f>
        <v>Ambush</v>
      </c>
      <c r="Y221" s="34" t="str">
        <f>IFERROR(__xludf.DUMMYFUNCTION("IF(IF(Y$1="""","""",REGEXMATCH(LOWER($E221),XLOOKUP(Y$1,Metadata!$A$2:$A1000,Metadata!$B$2:$B1000))),Y$1,"""")"),"")</f>
        <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I222">XLOOKUP($A222,Cards!$A$2:$A1000,Cards!$B$2:$I1000,"")</f>
        <v>Nature</v>
      </c>
      <c r="C222" s="34">
        <v>2.0</v>
      </c>
      <c r="D222" s="34" t="s">
        <v>111</v>
      </c>
      <c r="E222" s="34" t="s">
        <v>1502</v>
      </c>
      <c r="F222" s="34" t="s">
        <v>24</v>
      </c>
      <c r="G222" s="34">
        <v>0.0</v>
      </c>
      <c r="H222" s="34" t="s">
        <v>1503</v>
      </c>
      <c r="I222" s="34" t="s">
        <v>32</v>
      </c>
      <c r="J222" s="34">
        <f>IFERROR(__xludf.DUMMYFUNCTION("LEN(REGEXREPLACE(XLOOKUP($A222,Cards!$A$2:$A1000,Cards!$H$2:$H1000,""""),"",\s"",""""))"),2.0)</f>
        <v>2</v>
      </c>
      <c r="K222" s="34" t="str">
        <f t="shared" si="1"/>
        <v>   Nature            </v>
      </c>
      <c r="L222" s="34" t="str">
        <f>IFERROR(__xludf.DUMMYFUNCTION("IF(IF(L$1="""","""",REGEXMATCH(LOWER($E222),XLOOKUP(L$1,Metadata!$A$2:$A1000,Metadata!$B$2:$B1000))),L$1,"""")"),"")</f>
        <v/>
      </c>
      <c r="M222" s="34" t="str">
        <f>IFERROR(__xludf.DUMMYFUNCTION("IF(IF(M$1="""","""",REGEXMATCH(LOWER($E222),XLOOKUP(M$1,Metadata!$A$2:$A1000,Metadata!$B$2:$B1000))),M$1,"""")"),"")</f>
        <v/>
      </c>
      <c r="N222" s="34" t="str">
        <f>IFERROR(__xludf.DUMMYFUNCTION("IF(IF(N$1="""","""",REGEXMATCH(LOWER($E222),XLOOKUP(N$1,Metadata!$A$2:$A1000,Metadata!$B$2:$B1000))),N$1,"""")"),"")</f>
        <v/>
      </c>
      <c r="O222" s="34" t="str">
        <f>IFERROR(__xludf.DUMMYFUNCTION("IF(IF(O$1="""","""",REGEXMATCH(LOWER($E222),XLOOKUP(O$1,Metadata!$A$2:$A1000,Metadata!$B$2:$B1000))),O$1,"""")"),"Nature")</f>
        <v>Nature</v>
      </c>
      <c r="P222" s="34" t="str">
        <f>IFERROR(__xludf.DUMMYFUNCTION("IF(IF(P$1="""","""",REGEXMATCH(LOWER($E222),XLOOKUP(P$1,Metadata!$A$2:$A1000,Metadata!$B$2:$B1000))),P$1,"""")"),"")</f>
        <v/>
      </c>
      <c r="Q222" s="34" t="str">
        <f>IFERROR(__xludf.DUMMYFUNCTION("IF(IF(Q$1="""","""",REGEXMATCH(LOWER($E222),XLOOKUP(Q$1,Metadata!$A$2:$A1000,Metadata!$B$2:$B1000))),Q$1,"""")"),"")</f>
        <v/>
      </c>
      <c r="R222" s="34" t="str">
        <f>IFERROR(__xludf.DUMMYFUNCTION("IF(IF(R$1="""","""",REGEXMATCH(LOWER($E222),XLOOKUP(R$1,Metadata!$A$2:$A1000,Metadata!$B$2:$B1000))),R$1,"""")"),"")</f>
        <v/>
      </c>
      <c r="S222" s="34" t="str">
        <f>IFERROR(__xludf.DUMMYFUNCTION("IF(IF(S$1="""","""",REGEXMATCH(LOWER($E222),XLOOKUP(S$1,Metadata!$A$2:$A1000,Metadata!$B$2:$B1000))),S$1,"""")"),"")</f>
        <v/>
      </c>
      <c r="T222" s="34" t="str">
        <f>IFERROR(__xludf.DUMMYFUNCTION("IF(IF(T$1="""","""",REGEXMATCH(LOWER($E222),XLOOKUP(T$1,Metadata!$A$2:$A1000,Metadata!$B$2:$B1000))),T$1,"""")"),"")</f>
        <v/>
      </c>
      <c r="U222" s="34" t="str">
        <f>IFERROR(__xludf.DUMMYFUNCTION("IF(IF(U$1="""","""",REGEXMATCH(LOWER($E222),XLOOKUP(U$1,Metadata!$A$2:$A1000,Metadata!$B$2:$B1000))),U$1,"""")"),"")</f>
        <v/>
      </c>
      <c r="V222" s="34" t="str">
        <f>IFERROR(__xludf.DUMMYFUNCTION("IF(IF(V$1="""","""",REGEXMATCH(LOWER($E222),XLOOKUP(V$1,Metadata!$A$2:$A1000,Metadata!$B$2:$B1000))),V$1,"""")"),"")</f>
        <v/>
      </c>
      <c r="W222" s="34" t="str">
        <f>IFERROR(__xludf.DUMMYFUNCTION("IF(IF(W$1="""","""",REGEXMATCH(LOWER($E222),XLOOKUP(W$1,Metadata!$A$2:$A1000,Metadata!$B$2:$B1000))),W$1,"""")"),"")</f>
        <v/>
      </c>
      <c r="X222" s="34" t="str">
        <f>IFERROR(__xludf.DUMMYFUNCTION("IF(IF(X$1="""","""",REGEXMATCH(LOWER($E222),XLOOKUP(X$1,Metadata!$A$2:$A1000,Metadata!$B$2:$B1000))),X$1,"""")"),"")</f>
        <v/>
      </c>
      <c r="Y222" s="34" t="str">
        <f>IFERROR(__xludf.DUMMYFUNCTION("IF(IF(Y$1="""","""",REGEXMATCH(LOWER($E222),XLOOKUP(Y$1,Metadata!$A$2:$A1000,Metadata!$B$2:$B1000))),Y$1,"""")"),"")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I223">XLOOKUP($A223,Cards!$A$2:$A1000,Cards!$B$2:$I1000,"")</f>
        <v>Mortal</v>
      </c>
      <c r="C223" s="34">
        <v>1.0</v>
      </c>
      <c r="D223" s="34" t="s">
        <v>447</v>
      </c>
      <c r="E223" s="34" t="s">
        <v>1505</v>
      </c>
      <c r="F223" s="34" t="s">
        <v>659</v>
      </c>
      <c r="G223" s="34">
        <v>7.0</v>
      </c>
      <c r="H223" s="34" t="s">
        <v>1506</v>
      </c>
      <c r="I223" s="34" t="s">
        <v>32</v>
      </c>
      <c r="J223" s="34">
        <f>IFERROR(__xludf.DUMMYFUNCTION("LEN(REGEXREPLACE(XLOOKUP($A223,Cards!$A$2:$A1000,Cards!$H$2:$H1000,""""),"",\s"",""""))"),6.0)</f>
        <v>6</v>
      </c>
      <c r="K223" s="34" t="str">
        <f t="shared" si="1"/>
        <v>         Aggro      </v>
      </c>
      <c r="L223" s="34" t="str">
        <f>IFERROR(__xludf.DUMMYFUNCTION("IF(IF(L$1="""","""",REGEXMATCH(LOWER($E223),XLOOKUP(L$1,Metadata!$A$2:$A1000,Metadata!$B$2:$B1000))),L$1,"""")"),"")</f>
        <v/>
      </c>
      <c r="M223" s="34" t="str">
        <f>IFERROR(__xludf.DUMMYFUNCTION("IF(IF(M$1="""","""",REGEXMATCH(LOWER($E223),XLOOKUP(M$1,Metadata!$A$2:$A1000,Metadata!$B$2:$B1000))),M$1,"""")"),"")</f>
        <v/>
      </c>
      <c r="N223" s="34" t="str">
        <f>IFERROR(__xludf.DUMMYFUNCTION("IF(IF(N$1="""","""",REGEXMATCH(LOWER($E223),XLOOKUP(N$1,Metadata!$A$2:$A1000,Metadata!$B$2:$B1000))),N$1,"""")"),"")</f>
        <v/>
      </c>
      <c r="O223" s="34" t="str">
        <f>IFERROR(__xludf.DUMMYFUNCTION("IF(IF(O$1="""","""",REGEXMATCH(LOWER($E223),XLOOKUP(O$1,Metadata!$A$2:$A1000,Metadata!$B$2:$B1000))),O$1,"""")"),"")</f>
        <v/>
      </c>
      <c r="P223" s="34" t="str">
        <f>IFERROR(__xludf.DUMMYFUNCTION("IF(IF(P$1="""","""",REGEXMATCH(LOWER($E223),XLOOKUP(P$1,Metadata!$A$2:$A1000,Metadata!$B$2:$B1000))),P$1,"""")"),"")</f>
        <v/>
      </c>
      <c r="Q223" s="34" t="str">
        <f>IFERROR(__xludf.DUMMYFUNCTION("IF(IF(Q$1="""","""",REGEXMATCH(LOWER($E223),XLOOKUP(Q$1,Metadata!$A$2:$A1000,Metadata!$B$2:$B1000))),Q$1,"""")"),"")</f>
        <v/>
      </c>
      <c r="R223" s="34" t="str">
        <f>IFERROR(__xludf.DUMMYFUNCTION("IF(IF(R$1="""","""",REGEXMATCH(LOWER($E223),XLOOKUP(R$1,Metadata!$A$2:$A1000,Metadata!$B$2:$B1000))),R$1,"""")"),"")</f>
        <v/>
      </c>
      <c r="S223" s="34" t="str">
        <f>IFERROR(__xludf.DUMMYFUNCTION("IF(IF(S$1="""","""",REGEXMATCH(LOWER($E223),XLOOKUP(S$1,Metadata!$A$2:$A1000,Metadata!$B$2:$B1000))),S$1,"""")"),"")</f>
        <v/>
      </c>
      <c r="T223" s="34" t="str">
        <f>IFERROR(__xludf.DUMMYFUNCTION("IF(IF(T$1="""","""",REGEXMATCH(LOWER($E223),XLOOKUP(T$1,Metadata!$A$2:$A1000,Metadata!$B$2:$B1000))),T$1,"""")"),"")</f>
        <v/>
      </c>
      <c r="U223" s="34" t="str">
        <f>IFERROR(__xludf.DUMMYFUNCTION("IF(IF(U$1="""","""",REGEXMATCH(LOWER($E223),XLOOKUP(U$1,Metadata!$A$2:$A1000,Metadata!$B$2:$B1000))),U$1,"""")"),"Aggro")</f>
        <v>Aggro</v>
      </c>
      <c r="V223" s="34" t="str">
        <f>IFERROR(__xludf.DUMMYFUNCTION("IF(IF(V$1="""","""",REGEXMATCH(LOWER($E223),XLOOKUP(V$1,Metadata!$A$2:$A1000,Metadata!$B$2:$B1000))),V$1,"""")"),"")</f>
        <v/>
      </c>
      <c r="W223" s="34" t="str">
        <f>IFERROR(__xludf.DUMMYFUNCTION("IF(IF(W$1="""","""",REGEXMATCH(LOWER($E223),XLOOKUP(W$1,Metadata!$A$2:$A1000,Metadata!$B$2:$B1000))),W$1,"""")"),"")</f>
        <v/>
      </c>
      <c r="X223" s="34" t="str">
        <f>IFERROR(__xludf.DUMMYFUNCTION("IF(IF(X$1="""","""",REGEXMATCH(LOWER($E223),XLOOKUP(X$1,Metadata!$A$2:$A1000,Metadata!$B$2:$B1000))),X$1,"""")"),"")</f>
        <v/>
      </c>
      <c r="Y223" s="34" t="str">
        <f>IFERROR(__xludf.DUMMYFUNCTION("IF(IF(Y$1="""","""",REGEXMATCH(LOWER($E223),XLOOKUP(Y$1,Metadata!$A$2:$A1000,Metadata!$B$2:$B1000))),Y$1,"""")"),"")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I224">XLOOKUP($A224,Cards!$A$2:$A1000,Cards!$B$2:$I1000,"")</f>
        <v>Mortal</v>
      </c>
      <c r="C224" s="34">
        <v>1.0</v>
      </c>
      <c r="D224" s="34" t="s">
        <v>387</v>
      </c>
      <c r="E224" s="34" t="s">
        <v>1516</v>
      </c>
      <c r="F224" s="34" t="s">
        <v>1517</v>
      </c>
      <c r="G224" s="34">
        <v>4.0</v>
      </c>
      <c r="H224" s="34" t="s">
        <v>1264</v>
      </c>
      <c r="I224" s="34" t="s">
        <v>32</v>
      </c>
      <c r="J224" s="34">
        <f>IFERROR(__xludf.DUMMYFUNCTION("LEN(REGEXREPLACE(XLOOKUP($A224,Cards!$A$2:$A1000,Cards!$H$2:$H1000,""""),"",\s"",""""))"),6.0)</f>
        <v>6</v>
      </c>
      <c r="K224" s="34" t="str">
        <f t="shared" si="1"/>
        <v>  Mortal    Ramp         </v>
      </c>
      <c r="L224" s="34" t="str">
        <f>IFERROR(__xludf.DUMMYFUNCTION("IF(IF(L$1="""","""",REGEXMATCH(LOWER($E224),XLOOKUP(L$1,Metadata!$A$2:$A1000,Metadata!$B$2:$B1000))),L$1,"""")"),"")</f>
        <v/>
      </c>
      <c r="M224" s="34" t="str">
        <f>IFERROR(__xludf.DUMMYFUNCTION("IF(IF(M$1="""","""",REGEXMATCH(LOWER($E224),XLOOKUP(M$1,Metadata!$A$2:$A1000,Metadata!$B$2:$B1000))),M$1,"""")"),"")</f>
        <v/>
      </c>
      <c r="N224" s="34" t="str">
        <f>IFERROR(__xludf.DUMMYFUNCTION("IF(IF(N$1="""","""",REGEXMATCH(LOWER($E224),XLOOKUP(N$1,Metadata!$A$2:$A1000,Metadata!$B$2:$B1000))),N$1,"""")"),"Mortal")</f>
        <v>Mortal</v>
      </c>
      <c r="O224" s="34" t="str">
        <f>IFERROR(__xludf.DUMMYFUNCTION("IF(IF(O$1="""","""",REGEXMATCH(LOWER($E224),XLOOKUP(O$1,Metadata!$A$2:$A1000,Metadata!$B$2:$B1000))),O$1,"""")"),"")</f>
        <v/>
      </c>
      <c r="P224" s="34" t="str">
        <f>IFERROR(__xludf.DUMMYFUNCTION("IF(IF(P$1="""","""",REGEXMATCH(LOWER($E224),XLOOKUP(P$1,Metadata!$A$2:$A1000,Metadata!$B$2:$B1000))),P$1,"""")"),"")</f>
        <v/>
      </c>
      <c r="Q224" s="34" t="str">
        <f>IFERROR(__xludf.DUMMYFUNCTION("IF(IF(Q$1="""","""",REGEXMATCH(LOWER($E224),XLOOKUP(Q$1,Metadata!$A$2:$A1000,Metadata!$B$2:$B1000))),Q$1,"""")"),"")</f>
        <v/>
      </c>
      <c r="R224" s="34" t="str">
        <f>IFERROR(__xludf.DUMMYFUNCTION("IF(IF(R$1="""","""",REGEXMATCH(LOWER($E224),XLOOKUP(R$1,Metadata!$A$2:$A1000,Metadata!$B$2:$B1000))),R$1,"""")"),"Ramp")</f>
        <v>Ramp</v>
      </c>
      <c r="S224" s="34" t="str">
        <f>IFERROR(__xludf.DUMMYFUNCTION("IF(IF(S$1="""","""",REGEXMATCH(LOWER($E224),XLOOKUP(S$1,Metadata!$A$2:$A1000,Metadata!$B$2:$B1000))),S$1,"""")"),"")</f>
        <v/>
      </c>
      <c r="T224" s="34" t="str">
        <f>IFERROR(__xludf.DUMMYFUNCTION("IF(IF(T$1="""","""",REGEXMATCH(LOWER($E224),XLOOKUP(T$1,Metadata!$A$2:$A1000,Metadata!$B$2:$B1000))),T$1,"""")"),"")</f>
        <v/>
      </c>
      <c r="U224" s="34" t="str">
        <f>IFERROR(__xludf.DUMMYFUNCTION("IF(IF(U$1="""","""",REGEXMATCH(LOWER($E224),XLOOKUP(U$1,Metadata!$A$2:$A1000,Metadata!$B$2:$B1000))),U$1,"""")"),"")</f>
        <v/>
      </c>
      <c r="V224" s="34" t="str">
        <f>IFERROR(__xludf.DUMMYFUNCTION("IF(IF(V$1="""","""",REGEXMATCH(LOWER($E224),XLOOKUP(V$1,Metadata!$A$2:$A1000,Metadata!$B$2:$B1000))),V$1,"""")"),"")</f>
        <v/>
      </c>
      <c r="W224" s="34" t="str">
        <f>IFERROR(__xludf.DUMMYFUNCTION("IF(IF(W$1="""","""",REGEXMATCH(LOWER($E224),XLOOKUP(W$1,Metadata!$A$2:$A1000,Metadata!$B$2:$B1000))),W$1,"""")"),"")</f>
        <v/>
      </c>
      <c r="X224" s="34" t="str">
        <f>IFERROR(__xludf.DUMMYFUNCTION("IF(IF(X$1="""","""",REGEXMATCH(LOWER($E224),XLOOKUP(X$1,Metadata!$A$2:$A1000,Metadata!$B$2:$B1000))),X$1,"""")"),"")</f>
        <v/>
      </c>
      <c r="Y224" s="34" t="str">
        <f>IFERROR(__xludf.DUMMYFUNCTION("IF(IF(Y$1="""","""",REGEXMATCH(LOWER($E224),XLOOKUP(Y$1,Metadata!$A$2:$A1000,Metadata!$B$2:$B1000))),Y$1,"""")"),"")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I225">XLOOKUP($A225,Cards!$A$2:$A1000,Cards!$B$2:$I1000,"")</f>
        <v>Nature</v>
      </c>
      <c r="C225" s="34">
        <v>2.0</v>
      </c>
      <c r="D225" s="34" t="s">
        <v>1524</v>
      </c>
      <c r="E225" s="34" t="s">
        <v>1525</v>
      </c>
      <c r="F225" s="34" t="s">
        <v>240</v>
      </c>
      <c r="G225" s="34">
        <v>3.0</v>
      </c>
      <c r="H225" s="34" t="s">
        <v>1526</v>
      </c>
      <c r="I225" s="34" t="s">
        <v>32</v>
      </c>
      <c r="J225" s="34">
        <f>IFERROR(__xludf.DUMMYFUNCTION("LEN(REGEXREPLACE(XLOOKUP($A225,Cards!$A$2:$A1000,Cards!$H$2:$H1000,""""),"",\s"",""""))"),4.0)</f>
        <v>4</v>
      </c>
      <c r="K225" s="34" t="str">
        <f t="shared" si="1"/>
        <v>               </v>
      </c>
      <c r="L225" s="34" t="str">
        <f>IFERROR(__xludf.DUMMYFUNCTION("IF(IF(L$1="""","""",REGEXMATCH(LOWER($E225),XLOOKUP(L$1,Metadata!$A$2:$A1000,Metadata!$B$2:$B1000))),L$1,"""")"),"")</f>
        <v/>
      </c>
      <c r="M225" s="34" t="str">
        <f>IFERROR(__xludf.DUMMYFUNCTION("IF(IF(M$1="""","""",REGEXMATCH(LOWER($E225),XLOOKUP(M$1,Metadata!$A$2:$A1000,Metadata!$B$2:$B1000))),M$1,"""")"),"")</f>
        <v/>
      </c>
      <c r="N225" s="34" t="str">
        <f>IFERROR(__xludf.DUMMYFUNCTION("IF(IF(N$1="""","""",REGEXMATCH(LOWER($E225),XLOOKUP(N$1,Metadata!$A$2:$A1000,Metadata!$B$2:$B1000))),N$1,"""")"),"")</f>
        <v/>
      </c>
      <c r="O225" s="34" t="str">
        <f>IFERROR(__xludf.DUMMYFUNCTION("IF(IF(O$1="""","""",REGEXMATCH(LOWER($E225),XLOOKUP(O$1,Metadata!$A$2:$A1000,Metadata!$B$2:$B1000))),O$1,"""")"),"")</f>
        <v/>
      </c>
      <c r="P225" s="34" t="str">
        <f>IFERROR(__xludf.DUMMYFUNCTION("IF(IF(P$1="""","""",REGEXMATCH(LOWER($E225),XLOOKUP(P$1,Metadata!$A$2:$A1000,Metadata!$B$2:$B1000))),P$1,"""")"),"")</f>
        <v/>
      </c>
      <c r="Q225" s="34" t="str">
        <f>IFERROR(__xludf.DUMMYFUNCTION("IF(IF(Q$1="""","""",REGEXMATCH(LOWER($E225),XLOOKUP(Q$1,Metadata!$A$2:$A1000,Metadata!$B$2:$B1000))),Q$1,"""")"),"")</f>
        <v/>
      </c>
      <c r="R225" s="34" t="str">
        <f>IFERROR(__xludf.DUMMYFUNCTION("IF(IF(R$1="""","""",REGEXMATCH(LOWER($E225),XLOOKUP(R$1,Metadata!$A$2:$A1000,Metadata!$B$2:$B1000))),R$1,"""")"),"")</f>
        <v/>
      </c>
      <c r="S225" s="34" t="str">
        <f>IFERROR(__xludf.DUMMYFUNCTION("IF(IF(S$1="""","""",REGEXMATCH(LOWER($E225),XLOOKUP(S$1,Metadata!$A$2:$A1000,Metadata!$B$2:$B1000))),S$1,"""")"),"")</f>
        <v/>
      </c>
      <c r="T225" s="34" t="str">
        <f>IFERROR(__xludf.DUMMYFUNCTION("IF(IF(T$1="""","""",REGEXMATCH(LOWER($E225),XLOOKUP(T$1,Metadata!$A$2:$A1000,Metadata!$B$2:$B1000))),T$1,"""")"),"")</f>
        <v/>
      </c>
      <c r="U225" s="34" t="str">
        <f>IFERROR(__xludf.DUMMYFUNCTION("IF(IF(U$1="""","""",REGEXMATCH(LOWER($E225),XLOOKUP(U$1,Metadata!$A$2:$A1000,Metadata!$B$2:$B1000))),U$1,"""")"),"")</f>
        <v/>
      </c>
      <c r="V225" s="34" t="str">
        <f>IFERROR(__xludf.DUMMYFUNCTION("IF(IF(V$1="""","""",REGEXMATCH(LOWER($E225),XLOOKUP(V$1,Metadata!$A$2:$A1000,Metadata!$B$2:$B1000))),V$1,"""")"),"")</f>
        <v/>
      </c>
      <c r="W225" s="34" t="str">
        <f>IFERROR(__xludf.DUMMYFUNCTION("IF(IF(W$1="""","""",REGEXMATCH(LOWER($E225),XLOOKUP(W$1,Metadata!$A$2:$A1000,Metadata!$B$2:$B1000))),W$1,"""")"),"")</f>
        <v/>
      </c>
      <c r="X225" s="34" t="str">
        <f>IFERROR(__xludf.DUMMYFUNCTION("IF(IF(X$1="""","""",REGEXMATCH(LOWER($E225),XLOOKUP(X$1,Metadata!$A$2:$A1000,Metadata!$B$2:$B1000))),X$1,"""")"),"")</f>
        <v/>
      </c>
      <c r="Y225" s="34" t="str">
        <f>IFERROR(__xludf.DUMMYFUNCTION("IF(IF(Y$1="""","""",REGEXMATCH(LOWER($E225),XLOOKUP(Y$1,Metadata!$A$2:$A1000,Metadata!$B$2:$B1000))),Y$1,"""")"),"")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I226">XLOOKUP($A226,Cards!$A$2:$A1000,Cards!$B$2:$I1000,"")</f>
        <v>Nature</v>
      </c>
      <c r="C226" s="34">
        <v>2.0</v>
      </c>
      <c r="D226" s="34" t="s">
        <v>37</v>
      </c>
      <c r="E226" s="34" t="s">
        <v>1528</v>
      </c>
      <c r="F226" s="34" t="s">
        <v>1529</v>
      </c>
      <c r="G226" s="34">
        <v>2.0</v>
      </c>
      <c r="H226" s="34" t="s">
        <v>1530</v>
      </c>
      <c r="I226" s="34" t="s">
        <v>70</v>
      </c>
      <c r="J226" s="34">
        <f>IFERROR(__xludf.DUMMYFUNCTION("LEN(REGEXREPLACE(XLOOKUP($A226,Cards!$A$2:$A1000,Cards!$H$2:$H1000,""""),"",\s"",""""))"),3.0)</f>
        <v>3</v>
      </c>
      <c r="K226" s="34" t="str">
        <f t="shared" si="1"/>
        <v>               </v>
      </c>
      <c r="L226" s="34" t="str">
        <f>IFERROR(__xludf.DUMMYFUNCTION("IF(IF(L$1="""","""",REGEXMATCH(LOWER($E226),XLOOKUP(L$1,Metadata!$A$2:$A1000,Metadata!$B$2:$B1000))),L$1,"""")"),"")</f>
        <v/>
      </c>
      <c r="M226" s="34" t="str">
        <f>IFERROR(__xludf.DUMMYFUNCTION("IF(IF(M$1="""","""",REGEXMATCH(LOWER($E226),XLOOKUP(M$1,Metadata!$A$2:$A1000,Metadata!$B$2:$B1000))),M$1,"""")"),"")</f>
        <v/>
      </c>
      <c r="N226" s="34" t="str">
        <f>IFERROR(__xludf.DUMMYFUNCTION("IF(IF(N$1="""","""",REGEXMATCH(LOWER($E226),XLOOKUP(N$1,Metadata!$A$2:$A1000,Metadata!$B$2:$B1000))),N$1,"""")"),"")</f>
        <v/>
      </c>
      <c r="O226" s="34" t="str">
        <f>IFERROR(__xludf.DUMMYFUNCTION("IF(IF(O$1="""","""",REGEXMATCH(LOWER($E226),XLOOKUP(O$1,Metadata!$A$2:$A1000,Metadata!$B$2:$B1000))),O$1,"""")"),"")</f>
        <v/>
      </c>
      <c r="P226" s="34" t="str">
        <f>IFERROR(__xludf.DUMMYFUNCTION("IF(IF(P$1="""","""",REGEXMATCH(LOWER($E226),XLOOKUP(P$1,Metadata!$A$2:$A1000,Metadata!$B$2:$B1000))),P$1,"""")"),"")</f>
        <v/>
      </c>
      <c r="Q226" s="34" t="str">
        <f>IFERROR(__xludf.DUMMYFUNCTION("IF(IF(Q$1="""","""",REGEXMATCH(LOWER($E226),XLOOKUP(Q$1,Metadata!$A$2:$A1000,Metadata!$B$2:$B1000))),Q$1,"""")"),"")</f>
        <v/>
      </c>
      <c r="R226" s="34" t="str">
        <f>IFERROR(__xludf.DUMMYFUNCTION("IF(IF(R$1="""","""",REGEXMATCH(LOWER($E226),XLOOKUP(R$1,Metadata!$A$2:$A1000,Metadata!$B$2:$B1000))),R$1,"""")"),"")</f>
        <v/>
      </c>
      <c r="S226" s="34" t="str">
        <f>IFERROR(__xludf.DUMMYFUNCTION("IF(IF(S$1="""","""",REGEXMATCH(LOWER($E226),XLOOKUP(S$1,Metadata!$A$2:$A1000,Metadata!$B$2:$B1000))),S$1,"""")"),"")</f>
        <v/>
      </c>
      <c r="T226" s="34" t="str">
        <f>IFERROR(__xludf.DUMMYFUNCTION("IF(IF(T$1="""","""",REGEXMATCH(LOWER($E226),XLOOKUP(T$1,Metadata!$A$2:$A1000,Metadata!$B$2:$B1000))),T$1,"""")"),"")</f>
        <v/>
      </c>
      <c r="U226" s="34" t="str">
        <f>IFERROR(__xludf.DUMMYFUNCTION("IF(IF(U$1="""","""",REGEXMATCH(LOWER($E226),XLOOKUP(U$1,Metadata!$A$2:$A1000,Metadata!$B$2:$B1000))),U$1,"""")"),"")</f>
        <v/>
      </c>
      <c r="V226" s="34" t="str">
        <f>IFERROR(__xludf.DUMMYFUNCTION("IF(IF(V$1="""","""",REGEXMATCH(LOWER($E226),XLOOKUP(V$1,Metadata!$A$2:$A1000,Metadata!$B$2:$B1000))),V$1,"""")"),"")</f>
        <v/>
      </c>
      <c r="W226" s="34" t="str">
        <f>IFERROR(__xludf.DUMMYFUNCTION("IF(IF(W$1="""","""",REGEXMATCH(LOWER($E226),XLOOKUP(W$1,Metadata!$A$2:$A1000,Metadata!$B$2:$B1000))),W$1,"""")"),"")</f>
        <v/>
      </c>
      <c r="X226" s="34" t="str">
        <f>IFERROR(__xludf.DUMMYFUNCTION("IF(IF(X$1="""","""",REGEXMATCH(LOWER($E226),XLOOKUP(X$1,Metadata!$A$2:$A1000,Metadata!$B$2:$B1000))),X$1,"""")"),"")</f>
        <v/>
      </c>
      <c r="Y226" s="34" t="str">
        <f>IFERROR(__xludf.DUMMYFUNCTION("IF(IF(Y$1="""","""",REGEXMATCH(LOWER($E226),XLOOKUP(Y$1,Metadata!$A$2:$A1000,Metadata!$B$2:$B1000))),Y$1,"""")"),"")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I227">XLOOKUP($A227,Cards!$A$2:$A1000,Cards!$B$2:$I1000,"")</f>
        <v>Nature</v>
      </c>
      <c r="C227" s="34">
        <v>2.0</v>
      </c>
      <c r="D227" s="34" t="s">
        <v>1532</v>
      </c>
      <c r="E227" s="34" t="s">
        <v>1533</v>
      </c>
      <c r="F227" s="34" t="s">
        <v>1534</v>
      </c>
      <c r="G227" s="34">
        <v>5.0</v>
      </c>
      <c r="H227" s="34" t="s">
        <v>1535</v>
      </c>
      <c r="I227" s="34" t="s">
        <v>70</v>
      </c>
      <c r="J227" s="34">
        <f>IFERROR(__xludf.DUMMYFUNCTION("LEN(REGEXREPLACE(XLOOKUP($A227,Cards!$A$2:$A1000,Cards!$H$2:$H1000,""""),"",\s"",""""))"),6.0)</f>
        <v>6</v>
      </c>
      <c r="K227" s="34" t="str">
        <f t="shared" si="1"/>
        <v>      Ramp   Aggro      </v>
      </c>
      <c r="L227" s="34" t="str">
        <f>IFERROR(__xludf.DUMMYFUNCTION("IF(IF(L$1="""","""",REGEXMATCH(LOWER($E227),XLOOKUP(L$1,Metadata!$A$2:$A1000,Metadata!$B$2:$B1000))),L$1,"""")"),"")</f>
        <v/>
      </c>
      <c r="M227" s="34" t="str">
        <f>IFERROR(__xludf.DUMMYFUNCTION("IF(IF(M$1="""","""",REGEXMATCH(LOWER($E227),XLOOKUP(M$1,Metadata!$A$2:$A1000,Metadata!$B$2:$B1000))),M$1,"""")"),"")</f>
        <v/>
      </c>
      <c r="N227" s="34" t="str">
        <f>IFERROR(__xludf.DUMMYFUNCTION("IF(IF(N$1="""","""",REGEXMATCH(LOWER($E227),XLOOKUP(N$1,Metadata!$A$2:$A1000,Metadata!$B$2:$B1000))),N$1,"""")"),"")</f>
        <v/>
      </c>
      <c r="O227" s="34" t="str">
        <f>IFERROR(__xludf.DUMMYFUNCTION("IF(IF(O$1="""","""",REGEXMATCH(LOWER($E227),XLOOKUP(O$1,Metadata!$A$2:$A1000,Metadata!$B$2:$B1000))),O$1,"""")"),"")</f>
        <v/>
      </c>
      <c r="P227" s="34" t="str">
        <f>IFERROR(__xludf.DUMMYFUNCTION("IF(IF(P$1="""","""",REGEXMATCH(LOWER($E227),XLOOKUP(P$1,Metadata!$A$2:$A1000,Metadata!$B$2:$B1000))),P$1,"""")"),"")</f>
        <v/>
      </c>
      <c r="Q227" s="34" t="str">
        <f>IFERROR(__xludf.DUMMYFUNCTION("IF(IF(Q$1="""","""",REGEXMATCH(LOWER($E227),XLOOKUP(Q$1,Metadata!$A$2:$A1000,Metadata!$B$2:$B1000))),Q$1,"""")"),"")</f>
        <v/>
      </c>
      <c r="R227" s="34" t="str">
        <f>IFERROR(__xludf.DUMMYFUNCTION("IF(IF(R$1="""","""",REGEXMATCH(LOWER($E227),XLOOKUP(R$1,Metadata!$A$2:$A1000,Metadata!$B$2:$B1000))),R$1,"""")"),"Ramp")</f>
        <v>Ramp</v>
      </c>
      <c r="S227" s="34" t="str">
        <f>IFERROR(__xludf.DUMMYFUNCTION("IF(IF(S$1="""","""",REGEXMATCH(LOWER($E227),XLOOKUP(S$1,Metadata!$A$2:$A1000,Metadata!$B$2:$B1000))),S$1,"""")"),"")</f>
        <v/>
      </c>
      <c r="T227" s="34" t="str">
        <f>IFERROR(__xludf.DUMMYFUNCTION("IF(IF(T$1="""","""",REGEXMATCH(LOWER($E227),XLOOKUP(T$1,Metadata!$A$2:$A1000,Metadata!$B$2:$B1000))),T$1,"""")"),"")</f>
        <v/>
      </c>
      <c r="U227" s="34" t="str">
        <f>IFERROR(__xludf.DUMMYFUNCTION("IF(IF(U$1="""","""",REGEXMATCH(LOWER($E227),XLOOKUP(U$1,Metadata!$A$2:$A1000,Metadata!$B$2:$B1000))),U$1,"""")"),"Aggro")</f>
        <v>Aggro</v>
      </c>
      <c r="V227" s="34" t="str">
        <f>IFERROR(__xludf.DUMMYFUNCTION("IF(IF(V$1="""","""",REGEXMATCH(LOWER($E227),XLOOKUP(V$1,Metadata!$A$2:$A1000,Metadata!$B$2:$B1000))),V$1,"""")"),"")</f>
        <v/>
      </c>
      <c r="W227" s="34" t="str">
        <f>IFERROR(__xludf.DUMMYFUNCTION("IF(IF(W$1="""","""",REGEXMATCH(LOWER($E227),XLOOKUP(W$1,Metadata!$A$2:$A1000,Metadata!$B$2:$B1000))),W$1,"""")"),"")</f>
        <v/>
      </c>
      <c r="X227" s="34" t="str">
        <f>IFERROR(__xludf.DUMMYFUNCTION("IF(IF(X$1="""","""",REGEXMATCH(LOWER($E227),XLOOKUP(X$1,Metadata!$A$2:$A1000,Metadata!$B$2:$B1000))),X$1,"""")"),"")</f>
        <v/>
      </c>
      <c r="Y227" s="34" t="str">
        <f>IFERROR(__xludf.DUMMYFUNCTION("IF(IF(Y$1="""","""",REGEXMATCH(LOWER($E227),XLOOKUP(Y$1,Metadata!$A$2:$A1000,Metadata!$B$2:$B1000))),Y$1,"""")"),"")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I228">XLOOKUP($A228,Cards!$A$2:$A1000,Cards!$B$2:$I1000,"")</f>
        <v>Nature</v>
      </c>
      <c r="C228" s="34">
        <v>2.0</v>
      </c>
      <c r="D228" s="34" t="s">
        <v>1537</v>
      </c>
      <c r="E228" s="34" t="s">
        <v>1538</v>
      </c>
      <c r="F228" s="34" t="s">
        <v>213</v>
      </c>
      <c r="G228" s="34">
        <v>4.0</v>
      </c>
      <c r="H228" s="34" t="s">
        <v>1526</v>
      </c>
      <c r="I228" s="34" t="s">
        <v>26</v>
      </c>
      <c r="J228" s="34">
        <f>IFERROR(__xludf.DUMMYFUNCTION("LEN(REGEXREPLACE(XLOOKUP($A228,Cards!$A$2:$A1000,Cards!$H$2:$H1000,""""),"",\s"",""""))"),4.0)</f>
        <v>4</v>
      </c>
      <c r="K228" s="34" t="str">
        <f t="shared" si="1"/>
        <v>     Unearth      Move Ambush   </v>
      </c>
      <c r="L228" s="34" t="str">
        <f>IFERROR(__xludf.DUMMYFUNCTION("IF(IF(L$1="""","""",REGEXMATCH(LOWER($E228),XLOOKUP(L$1,Metadata!$A$2:$A1000,Metadata!$B$2:$B1000))),L$1,"""")"),"")</f>
        <v/>
      </c>
      <c r="M228" s="34" t="str">
        <f>IFERROR(__xludf.DUMMYFUNCTION("IF(IF(M$1="""","""",REGEXMATCH(LOWER($E228),XLOOKUP(M$1,Metadata!$A$2:$A1000,Metadata!$B$2:$B1000))),M$1,"""")"),"")</f>
        <v/>
      </c>
      <c r="N228" s="34" t="str">
        <f>IFERROR(__xludf.DUMMYFUNCTION("IF(IF(N$1="""","""",REGEXMATCH(LOWER($E228),XLOOKUP(N$1,Metadata!$A$2:$A1000,Metadata!$B$2:$B1000))),N$1,"""")"),"")</f>
        <v/>
      </c>
      <c r="O228" s="34" t="str">
        <f>IFERROR(__xludf.DUMMYFUNCTION("IF(IF(O$1="""","""",REGEXMATCH(LOWER($E228),XLOOKUP(O$1,Metadata!$A$2:$A1000,Metadata!$B$2:$B1000))),O$1,"""")"),"")</f>
        <v/>
      </c>
      <c r="P228" s="34" t="str">
        <f>IFERROR(__xludf.DUMMYFUNCTION("IF(IF(P$1="""","""",REGEXMATCH(LOWER($E228),XLOOKUP(P$1,Metadata!$A$2:$A1000,Metadata!$B$2:$B1000))),P$1,"""")"),"")</f>
        <v/>
      </c>
      <c r="Q228" s="34" t="str">
        <f>IFERROR(__xludf.DUMMYFUNCTION("IF(IF(Q$1="""","""",REGEXMATCH(LOWER($E228),XLOOKUP(Q$1,Metadata!$A$2:$A1000,Metadata!$B$2:$B1000))),Q$1,"""")"),"Unearth")</f>
        <v>Unearth</v>
      </c>
      <c r="R228" s="34" t="str">
        <f>IFERROR(__xludf.DUMMYFUNCTION("IF(IF(R$1="""","""",REGEXMATCH(LOWER($E228),XLOOKUP(R$1,Metadata!$A$2:$A1000,Metadata!$B$2:$B1000))),R$1,"""")"),"")</f>
        <v/>
      </c>
      <c r="S228" s="34" t="str">
        <f>IFERROR(__xludf.DUMMYFUNCTION("IF(IF(S$1="""","""",REGEXMATCH(LOWER($E228),XLOOKUP(S$1,Metadata!$A$2:$A1000,Metadata!$B$2:$B1000))),S$1,"""")"),"")</f>
        <v/>
      </c>
      <c r="T228" s="34" t="str">
        <f>IFERROR(__xludf.DUMMYFUNCTION("IF(IF(T$1="""","""",REGEXMATCH(LOWER($E228),XLOOKUP(T$1,Metadata!$A$2:$A1000,Metadata!$B$2:$B1000))),T$1,"""")"),"")</f>
        <v/>
      </c>
      <c r="U228" s="34" t="str">
        <f>IFERROR(__xludf.DUMMYFUNCTION("IF(IF(U$1="""","""",REGEXMATCH(LOWER($E228),XLOOKUP(U$1,Metadata!$A$2:$A1000,Metadata!$B$2:$B1000))),U$1,"""")"),"")</f>
        <v/>
      </c>
      <c r="V228" s="34" t="str">
        <f>IFERROR(__xludf.DUMMYFUNCTION("IF(IF(V$1="""","""",REGEXMATCH(LOWER($E228),XLOOKUP(V$1,Metadata!$A$2:$A1000,Metadata!$B$2:$B1000))),V$1,"""")"),"")</f>
        <v/>
      </c>
      <c r="W228" s="34" t="str">
        <f>IFERROR(__xludf.DUMMYFUNCTION("IF(IF(W$1="""","""",REGEXMATCH(LOWER($E228),XLOOKUP(W$1,Metadata!$A$2:$A1000,Metadata!$B$2:$B1000))),W$1,"""")"),"Move")</f>
        <v>Move</v>
      </c>
      <c r="X228" s="34" t="str">
        <f>IFERROR(__xludf.DUMMYFUNCTION("IF(IF(X$1="""","""",REGEXMATCH(LOWER($E228),XLOOKUP(X$1,Metadata!$A$2:$A1000,Metadata!$B$2:$B1000))),X$1,"""")"),"Ambush")</f>
        <v>Ambush</v>
      </c>
      <c r="Y228" s="34" t="str">
        <f>IFERROR(__xludf.DUMMYFUNCTION("IF(IF(Y$1="""","""",REGEXMATCH(LOWER($E228),XLOOKUP(Y$1,Metadata!$A$2:$A1000,Metadata!$B$2:$B1000))),Y$1,"""")"),"")</f>
        <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I229">XLOOKUP($A229,Cards!$A$2:$A1000,Cards!$B$2:$I1000,"")</f>
        <v>Mortal</v>
      </c>
      <c r="C229" s="34">
        <v>1.0</v>
      </c>
      <c r="D229" s="34" t="s">
        <v>447</v>
      </c>
      <c r="E229" s="34" t="s">
        <v>1540</v>
      </c>
      <c r="F229" s="34"/>
      <c r="G229" s="34">
        <v>7.0</v>
      </c>
      <c r="H229" s="34" t="s">
        <v>1506</v>
      </c>
      <c r="I229" s="34" t="s">
        <v>32</v>
      </c>
      <c r="J229" s="34">
        <f>IFERROR(__xludf.DUMMYFUNCTION("LEN(REGEXREPLACE(XLOOKUP($A229,Cards!$A$2:$A1000,Cards!$H$2:$H1000,""""),"",\s"",""""))"),6.0)</f>
        <v>6</v>
      </c>
      <c r="K229" s="34" t="str">
        <f t="shared" si="1"/>
        <v>       Control     Ambush   </v>
      </c>
      <c r="L229" s="34" t="str">
        <f>IFERROR(__xludf.DUMMYFUNCTION("IF(IF(L$1="""","""",REGEXMATCH(LOWER($E229),XLOOKUP(L$1,Metadata!$A$2:$A1000,Metadata!$B$2:$B1000))),L$1,"""")"),"")</f>
        <v/>
      </c>
      <c r="M229" s="34" t="str">
        <f>IFERROR(__xludf.DUMMYFUNCTION("IF(IF(M$1="""","""",REGEXMATCH(LOWER($E229),XLOOKUP(M$1,Metadata!$A$2:$A1000,Metadata!$B$2:$B1000))),M$1,"""")"),"")</f>
        <v/>
      </c>
      <c r="N229" s="34" t="str">
        <f>IFERROR(__xludf.DUMMYFUNCTION("IF(IF(N$1="""","""",REGEXMATCH(LOWER($E229),XLOOKUP(N$1,Metadata!$A$2:$A1000,Metadata!$B$2:$B1000))),N$1,"""")"),"")</f>
        <v/>
      </c>
      <c r="O229" s="34" t="str">
        <f>IFERROR(__xludf.DUMMYFUNCTION("IF(IF(O$1="""","""",REGEXMATCH(LOWER($E229),XLOOKUP(O$1,Metadata!$A$2:$A1000,Metadata!$B$2:$B1000))),O$1,"""")"),"")</f>
        <v/>
      </c>
      <c r="P229" s="34" t="str">
        <f>IFERROR(__xludf.DUMMYFUNCTION("IF(IF(P$1="""","""",REGEXMATCH(LOWER($E229),XLOOKUP(P$1,Metadata!$A$2:$A1000,Metadata!$B$2:$B1000))),P$1,"""")"),"")</f>
        <v/>
      </c>
      <c r="Q229" s="34" t="str">
        <f>IFERROR(__xludf.DUMMYFUNCTION("IF(IF(Q$1="""","""",REGEXMATCH(LOWER($E229),XLOOKUP(Q$1,Metadata!$A$2:$A1000,Metadata!$B$2:$B1000))),Q$1,"""")"),"")</f>
        <v/>
      </c>
      <c r="R229" s="34" t="str">
        <f>IFERROR(__xludf.DUMMYFUNCTION("IF(IF(R$1="""","""",REGEXMATCH(LOWER($E229),XLOOKUP(R$1,Metadata!$A$2:$A1000,Metadata!$B$2:$B1000))),R$1,"""")"),"")</f>
        <v/>
      </c>
      <c r="S229" s="34" t="str">
        <f>IFERROR(__xludf.DUMMYFUNCTION("IF(IF(S$1="""","""",REGEXMATCH(LOWER($E229),XLOOKUP(S$1,Metadata!$A$2:$A1000,Metadata!$B$2:$B1000))),S$1,"""")"),"Control")</f>
        <v>Control</v>
      </c>
      <c r="T229" s="34" t="str">
        <f>IFERROR(__xludf.DUMMYFUNCTION("IF(IF(T$1="""","""",REGEXMATCH(LOWER($E229),XLOOKUP(T$1,Metadata!$A$2:$A1000,Metadata!$B$2:$B1000))),T$1,"""")"),"")</f>
        <v/>
      </c>
      <c r="U229" s="34" t="str">
        <f>IFERROR(__xludf.DUMMYFUNCTION("IF(IF(U$1="""","""",REGEXMATCH(LOWER($E229),XLOOKUP(U$1,Metadata!$A$2:$A1000,Metadata!$B$2:$B1000))),U$1,"""")"),"")</f>
        <v/>
      </c>
      <c r="V229" s="34" t="str">
        <f>IFERROR(__xludf.DUMMYFUNCTION("IF(IF(V$1="""","""",REGEXMATCH(LOWER($E229),XLOOKUP(V$1,Metadata!$A$2:$A1000,Metadata!$B$2:$B1000))),V$1,"""")"),"")</f>
        <v/>
      </c>
      <c r="W229" s="34" t="str">
        <f>IFERROR(__xludf.DUMMYFUNCTION("IF(IF(W$1="""","""",REGEXMATCH(LOWER($E229),XLOOKUP(W$1,Metadata!$A$2:$A1000,Metadata!$B$2:$B1000))),W$1,"""")"),"")</f>
        <v/>
      </c>
      <c r="X229" s="34" t="str">
        <f>IFERROR(__xludf.DUMMYFUNCTION("IF(IF(X$1="""","""",REGEXMATCH(LOWER($E229),XLOOKUP(X$1,Metadata!$A$2:$A1000,Metadata!$B$2:$B1000))),X$1,"""")"),"Ambush")</f>
        <v>Ambush</v>
      </c>
      <c r="Y229" s="34" t="str">
        <f>IFERROR(__xludf.DUMMYFUNCTION("IF(IF(Y$1="""","""",REGEXMATCH(LOWER($E229),XLOOKUP(Y$1,Metadata!$A$2:$A1000,Metadata!$B$2:$B1000))),Y$1,"""")"),"")</f>
        <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I230">XLOOKUP($A230,Cards!$A$2:$A1000,Cards!$B$2:$I1000,"")</f>
        <v>Mortal</v>
      </c>
      <c r="C230" s="34">
        <v>1.0</v>
      </c>
      <c r="D230" s="34" t="s">
        <v>250</v>
      </c>
      <c r="E230" s="34" t="s">
        <v>1549</v>
      </c>
      <c r="F230" s="34"/>
      <c r="G230" s="34">
        <v>3.0</v>
      </c>
      <c r="H230" s="34" t="s">
        <v>1051</v>
      </c>
      <c r="I230" s="34" t="s">
        <v>32</v>
      </c>
      <c r="J230" s="34">
        <f>IFERROR(__xludf.DUMMYFUNCTION("LEN(REGEXREPLACE(XLOOKUP($A230,Cards!$A$2:$A1000,Cards!$H$2:$H1000,""""),"",\s"",""""))"),2.0)</f>
        <v>2</v>
      </c>
      <c r="K230" s="34" t="str">
        <f t="shared" si="1"/>
        <v>         Aggro      </v>
      </c>
      <c r="L230" s="34" t="str">
        <f>IFERROR(__xludf.DUMMYFUNCTION("IF(IF(L$1="""","""",REGEXMATCH(LOWER($E230),XLOOKUP(L$1,Metadata!$A$2:$A1000,Metadata!$B$2:$B1000))),L$1,"""")"),"")</f>
        <v/>
      </c>
      <c r="M230" s="34" t="str">
        <f>IFERROR(__xludf.DUMMYFUNCTION("IF(IF(M$1="""","""",REGEXMATCH(LOWER($E230),XLOOKUP(M$1,Metadata!$A$2:$A1000,Metadata!$B$2:$B1000))),M$1,"""")"),"")</f>
        <v/>
      </c>
      <c r="N230" s="34" t="str">
        <f>IFERROR(__xludf.DUMMYFUNCTION("IF(IF(N$1="""","""",REGEXMATCH(LOWER($E230),XLOOKUP(N$1,Metadata!$A$2:$A1000,Metadata!$B$2:$B1000))),N$1,"""")"),"")</f>
        <v/>
      </c>
      <c r="O230" s="34" t="str">
        <f>IFERROR(__xludf.DUMMYFUNCTION("IF(IF(O$1="""","""",REGEXMATCH(LOWER($E230),XLOOKUP(O$1,Metadata!$A$2:$A1000,Metadata!$B$2:$B1000))),O$1,"""")"),"")</f>
        <v/>
      </c>
      <c r="P230" s="34" t="str">
        <f>IFERROR(__xludf.DUMMYFUNCTION("IF(IF(P$1="""","""",REGEXMATCH(LOWER($E230),XLOOKUP(P$1,Metadata!$A$2:$A1000,Metadata!$B$2:$B1000))),P$1,"""")"),"")</f>
        <v/>
      </c>
      <c r="Q230" s="34" t="str">
        <f>IFERROR(__xludf.DUMMYFUNCTION("IF(IF(Q$1="""","""",REGEXMATCH(LOWER($E230),XLOOKUP(Q$1,Metadata!$A$2:$A1000,Metadata!$B$2:$B1000))),Q$1,"""")"),"")</f>
        <v/>
      </c>
      <c r="R230" s="34" t="str">
        <f>IFERROR(__xludf.DUMMYFUNCTION("IF(IF(R$1="""","""",REGEXMATCH(LOWER($E230),XLOOKUP(R$1,Metadata!$A$2:$A1000,Metadata!$B$2:$B1000))),R$1,"""")"),"")</f>
        <v/>
      </c>
      <c r="S230" s="34" t="str">
        <f>IFERROR(__xludf.DUMMYFUNCTION("IF(IF(S$1="""","""",REGEXMATCH(LOWER($E230),XLOOKUP(S$1,Metadata!$A$2:$A1000,Metadata!$B$2:$B1000))),S$1,"""")"),"")</f>
        <v/>
      </c>
      <c r="T230" s="34" t="str">
        <f>IFERROR(__xludf.DUMMYFUNCTION("IF(IF(T$1="""","""",REGEXMATCH(LOWER($E230),XLOOKUP(T$1,Metadata!$A$2:$A1000,Metadata!$B$2:$B1000))),T$1,"""")"),"")</f>
        <v/>
      </c>
      <c r="U230" s="34" t="str">
        <f>IFERROR(__xludf.DUMMYFUNCTION("IF(IF(U$1="""","""",REGEXMATCH(LOWER($E230),XLOOKUP(U$1,Metadata!$A$2:$A1000,Metadata!$B$2:$B1000))),U$1,"""")"),"Aggro")</f>
        <v>Aggro</v>
      </c>
      <c r="V230" s="34" t="str">
        <f>IFERROR(__xludf.DUMMYFUNCTION("IF(IF(V$1="""","""",REGEXMATCH(LOWER($E230),XLOOKUP(V$1,Metadata!$A$2:$A1000,Metadata!$B$2:$B1000))),V$1,"""")"),"")</f>
        <v/>
      </c>
      <c r="W230" s="34" t="str">
        <f>IFERROR(__xludf.DUMMYFUNCTION("IF(IF(W$1="""","""",REGEXMATCH(LOWER($E230),XLOOKUP(W$1,Metadata!$A$2:$A1000,Metadata!$B$2:$B1000))),W$1,"""")"),"")</f>
        <v/>
      </c>
      <c r="X230" s="34" t="str">
        <f>IFERROR(__xludf.DUMMYFUNCTION("IF(IF(X$1="""","""",REGEXMATCH(LOWER($E230),XLOOKUP(X$1,Metadata!$A$2:$A1000,Metadata!$B$2:$B1000))),X$1,"""")"),"")</f>
        <v/>
      </c>
      <c r="Y230" s="34" t="str">
        <f>IFERROR(__xludf.DUMMYFUNCTION("IF(IF(Y$1="""","""",REGEXMATCH(LOWER($E230),XLOOKUP(Y$1,Metadata!$A$2:$A1000,Metadata!$B$2:$B1000))),Y$1,"""")"),"")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I231">XLOOKUP($A231,Cards!$A$2:$A1000,Cards!$B$2:$I1000,"")</f>
        <v>Mortal</v>
      </c>
      <c r="C231" s="34">
        <v>1.0</v>
      </c>
      <c r="D231" s="34" t="s">
        <v>335</v>
      </c>
      <c r="E231" s="34" t="s">
        <v>1558</v>
      </c>
      <c r="F231" s="34"/>
      <c r="G231" s="34">
        <v>2.0</v>
      </c>
      <c r="H231" s="34" t="s">
        <v>1164</v>
      </c>
      <c r="I231" s="34" t="s">
        <v>32</v>
      </c>
      <c r="J231" s="34">
        <f>IFERROR(__xludf.DUMMYFUNCTION("LEN(REGEXREPLACE(XLOOKUP($A231,Cards!$A$2:$A1000,Cards!$H$2:$H1000,""""),"",\s"",""""))"),1.0)</f>
        <v>1</v>
      </c>
      <c r="K231" s="34" t="str">
        <f t="shared" si="1"/>
        <v>        Copy Aggro      </v>
      </c>
      <c r="L231" s="34" t="str">
        <f>IFERROR(__xludf.DUMMYFUNCTION("IF(IF(L$1="""","""",REGEXMATCH(LOWER($E231),XLOOKUP(L$1,Metadata!$A$2:$A1000,Metadata!$B$2:$B1000))),L$1,"""")"),"")</f>
        <v/>
      </c>
      <c r="M231" s="34" t="str">
        <f>IFERROR(__xludf.DUMMYFUNCTION("IF(IF(M$1="""","""",REGEXMATCH(LOWER($E231),XLOOKUP(M$1,Metadata!$A$2:$A1000,Metadata!$B$2:$B1000))),M$1,"""")"),"")</f>
        <v/>
      </c>
      <c r="N231" s="34" t="str">
        <f>IFERROR(__xludf.DUMMYFUNCTION("IF(IF(N$1="""","""",REGEXMATCH(LOWER($E231),XLOOKUP(N$1,Metadata!$A$2:$A1000,Metadata!$B$2:$B1000))),N$1,"""")"),"")</f>
        <v/>
      </c>
      <c r="O231" s="34" t="str">
        <f>IFERROR(__xludf.DUMMYFUNCTION("IF(IF(O$1="""","""",REGEXMATCH(LOWER($E231),XLOOKUP(O$1,Metadata!$A$2:$A1000,Metadata!$B$2:$B1000))),O$1,"""")"),"")</f>
        <v/>
      </c>
      <c r="P231" s="34" t="str">
        <f>IFERROR(__xludf.DUMMYFUNCTION("IF(IF(P$1="""","""",REGEXMATCH(LOWER($E231),XLOOKUP(P$1,Metadata!$A$2:$A1000,Metadata!$B$2:$B1000))),P$1,"""")"),"")</f>
        <v/>
      </c>
      <c r="Q231" s="34" t="str">
        <f>IFERROR(__xludf.DUMMYFUNCTION("IF(IF(Q$1="""","""",REGEXMATCH(LOWER($E231),XLOOKUP(Q$1,Metadata!$A$2:$A1000,Metadata!$B$2:$B1000))),Q$1,"""")"),"")</f>
        <v/>
      </c>
      <c r="R231" s="34" t="str">
        <f>IFERROR(__xludf.DUMMYFUNCTION("IF(IF(R$1="""","""",REGEXMATCH(LOWER($E231),XLOOKUP(R$1,Metadata!$A$2:$A1000,Metadata!$B$2:$B1000))),R$1,"""")"),"")</f>
        <v/>
      </c>
      <c r="S231" s="34" t="str">
        <f>IFERROR(__xludf.DUMMYFUNCTION("IF(IF(S$1="""","""",REGEXMATCH(LOWER($E231),XLOOKUP(S$1,Metadata!$A$2:$A1000,Metadata!$B$2:$B1000))),S$1,"""")"),"")</f>
        <v/>
      </c>
      <c r="T231" s="34" t="str">
        <f>IFERROR(__xludf.DUMMYFUNCTION("IF(IF(T$1="""","""",REGEXMATCH(LOWER($E231),XLOOKUP(T$1,Metadata!$A$2:$A1000,Metadata!$B$2:$B1000))),T$1,"""")"),"Copy")</f>
        <v>Copy</v>
      </c>
      <c r="U231" s="34" t="str">
        <f>IFERROR(__xludf.DUMMYFUNCTION("IF(IF(U$1="""","""",REGEXMATCH(LOWER($E231),XLOOKUP(U$1,Metadata!$A$2:$A1000,Metadata!$B$2:$B1000))),U$1,"""")"),"Aggro")</f>
        <v>Aggro</v>
      </c>
      <c r="V231" s="34" t="str">
        <f>IFERROR(__xludf.DUMMYFUNCTION("IF(IF(V$1="""","""",REGEXMATCH(LOWER($E231),XLOOKUP(V$1,Metadata!$A$2:$A1000,Metadata!$B$2:$B1000))),V$1,"""")"),"")</f>
        <v/>
      </c>
      <c r="W231" s="34" t="str">
        <f>IFERROR(__xludf.DUMMYFUNCTION("IF(IF(W$1="""","""",REGEXMATCH(LOWER($E231),XLOOKUP(W$1,Metadata!$A$2:$A1000,Metadata!$B$2:$B1000))),W$1,"""")"),"")</f>
        <v/>
      </c>
      <c r="X231" s="34" t="str">
        <f>IFERROR(__xludf.DUMMYFUNCTION("IF(IF(X$1="""","""",REGEXMATCH(LOWER($E231),XLOOKUP(X$1,Metadata!$A$2:$A1000,Metadata!$B$2:$B1000))),X$1,"""")"),"")</f>
        <v/>
      </c>
      <c r="Y231" s="34" t="str">
        <f>IFERROR(__xludf.DUMMYFUNCTION("IF(IF(Y$1="""","""",REGEXMATCH(LOWER($E231),XLOOKUP(Y$1,Metadata!$A$2:$A1000,Metadata!$B$2:$B1000))),Y$1,"""")"),"")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I232">XLOOKUP($A232,Cards!$A$2:$A1000,Cards!$B$2:$I1000,"")</f>
        <v>Mortal</v>
      </c>
      <c r="C232" s="34">
        <v>1.0</v>
      </c>
      <c r="D232" s="34" t="s">
        <v>447</v>
      </c>
      <c r="E232" s="34"/>
      <c r="F232" s="34" t="s">
        <v>1565</v>
      </c>
      <c r="G232" s="34">
        <v>5.0</v>
      </c>
      <c r="H232" s="34" t="s">
        <v>1167</v>
      </c>
      <c r="I232" s="34" t="s">
        <v>26</v>
      </c>
      <c r="J232" s="34">
        <f>IFERROR(__xludf.DUMMYFUNCTION("LEN(REGEXREPLACE(XLOOKUP($A232,Cards!$A$2:$A1000,Cards!$H$2:$H1000,""""),"",\s"",""""))"),5.0)</f>
        <v>5</v>
      </c>
      <c r="K232" s="34" t="str">
        <f t="shared" si="1"/>
        <v>               </v>
      </c>
      <c r="L232" s="34" t="str">
        <f>IFERROR(__xludf.DUMMYFUNCTION("IF(IF(L$1="""","""",REGEXMATCH(LOWER($E232),XLOOKUP(L$1,Metadata!$A$2:$A1000,Metadata!$B$2:$B1000))),L$1,"""")"),"")</f>
        <v/>
      </c>
      <c r="M232" s="34" t="str">
        <f>IFERROR(__xludf.DUMMYFUNCTION("IF(IF(M$1="""","""",REGEXMATCH(LOWER($E232),XLOOKUP(M$1,Metadata!$A$2:$A1000,Metadata!$B$2:$B1000))),M$1,"""")"),"")</f>
        <v/>
      </c>
      <c r="N232" s="34" t="str">
        <f>IFERROR(__xludf.DUMMYFUNCTION("IF(IF(N$1="""","""",REGEXMATCH(LOWER($E232),XLOOKUP(N$1,Metadata!$A$2:$A1000,Metadata!$B$2:$B1000))),N$1,"""")"),"")</f>
        <v/>
      </c>
      <c r="O232" s="34" t="str">
        <f>IFERROR(__xludf.DUMMYFUNCTION("IF(IF(O$1="""","""",REGEXMATCH(LOWER($E232),XLOOKUP(O$1,Metadata!$A$2:$A1000,Metadata!$B$2:$B1000))),O$1,"""")"),"")</f>
        <v/>
      </c>
      <c r="P232" s="34" t="str">
        <f>IFERROR(__xludf.DUMMYFUNCTION("IF(IF(P$1="""","""",REGEXMATCH(LOWER($E232),XLOOKUP(P$1,Metadata!$A$2:$A1000,Metadata!$B$2:$B1000))),P$1,"""")"),"")</f>
        <v/>
      </c>
      <c r="Q232" s="34" t="str">
        <f>IFERROR(__xludf.DUMMYFUNCTION("IF(IF(Q$1="""","""",REGEXMATCH(LOWER($E232),XLOOKUP(Q$1,Metadata!$A$2:$A1000,Metadata!$B$2:$B1000))),Q$1,"""")"),"")</f>
        <v/>
      </c>
      <c r="R232" s="34" t="str">
        <f>IFERROR(__xludf.DUMMYFUNCTION("IF(IF(R$1="""","""",REGEXMATCH(LOWER($E232),XLOOKUP(R$1,Metadata!$A$2:$A1000,Metadata!$B$2:$B1000))),R$1,"""")"),"")</f>
        <v/>
      </c>
      <c r="S232" s="34" t="str">
        <f>IFERROR(__xludf.DUMMYFUNCTION("IF(IF(S$1="""","""",REGEXMATCH(LOWER($E232),XLOOKUP(S$1,Metadata!$A$2:$A1000,Metadata!$B$2:$B1000))),S$1,"""")"),"")</f>
        <v/>
      </c>
      <c r="T232" s="34" t="str">
        <f>IFERROR(__xludf.DUMMYFUNCTION("IF(IF(T$1="""","""",REGEXMATCH(LOWER($E232),XLOOKUP(T$1,Metadata!$A$2:$A1000,Metadata!$B$2:$B1000))),T$1,"""")"),"")</f>
        <v/>
      </c>
      <c r="U232" s="34" t="str">
        <f>IFERROR(__xludf.DUMMYFUNCTION("IF(IF(U$1="""","""",REGEXMATCH(LOWER($E232),XLOOKUP(U$1,Metadata!$A$2:$A1000,Metadata!$B$2:$B1000))),U$1,"""")"),"")</f>
        <v/>
      </c>
      <c r="V232" s="34" t="str">
        <f>IFERROR(__xludf.DUMMYFUNCTION("IF(IF(V$1="""","""",REGEXMATCH(LOWER($E232),XLOOKUP(V$1,Metadata!$A$2:$A1000,Metadata!$B$2:$B1000))),V$1,"""")"),"")</f>
        <v/>
      </c>
      <c r="W232" s="34" t="str">
        <f>IFERROR(__xludf.DUMMYFUNCTION("IF(IF(W$1="""","""",REGEXMATCH(LOWER($E232),XLOOKUP(W$1,Metadata!$A$2:$A1000,Metadata!$B$2:$B1000))),W$1,"""")"),"")</f>
        <v/>
      </c>
      <c r="X232" s="34" t="str">
        <f>IFERROR(__xludf.DUMMYFUNCTION("IF(IF(X$1="""","""",REGEXMATCH(LOWER($E232),XLOOKUP(X$1,Metadata!$A$2:$A1000,Metadata!$B$2:$B1000))),X$1,"""")"),"")</f>
        <v/>
      </c>
      <c r="Y232" s="34" t="str">
        <f>IFERROR(__xludf.DUMMYFUNCTION("IF(IF(Y$1="""","""",REGEXMATCH(LOWER($E232),XLOOKUP(Y$1,Metadata!$A$2:$A1000,Metadata!$B$2:$B1000))),Y$1,"""")"),"")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I233">XLOOKUP($A233,Cards!$A$2:$A1000,Cards!$B$2:$I1000,"")</f>
        <v>Mortal</v>
      </c>
      <c r="C233" s="34">
        <v>1.0</v>
      </c>
      <c r="D233" s="34" t="s">
        <v>149</v>
      </c>
      <c r="E233" s="34"/>
      <c r="F233" s="34" t="s">
        <v>1575</v>
      </c>
      <c r="G233" s="34">
        <v>4.0</v>
      </c>
      <c r="H233" s="34" t="s">
        <v>1285</v>
      </c>
      <c r="I233" s="34" t="s">
        <v>26</v>
      </c>
      <c r="J233" s="34">
        <f>IFERROR(__xludf.DUMMYFUNCTION("LEN(REGEXREPLACE(XLOOKUP($A233,Cards!$A$2:$A1000,Cards!$H$2:$H1000,""""),"",\s"",""""))"),4.0)</f>
        <v>4</v>
      </c>
      <c r="K233" s="34" t="str">
        <f t="shared" si="1"/>
        <v>               </v>
      </c>
      <c r="L233" s="34" t="str">
        <f>IFERROR(__xludf.DUMMYFUNCTION("IF(IF(L$1="""","""",REGEXMATCH(LOWER($E233),XLOOKUP(L$1,Metadata!$A$2:$A1000,Metadata!$B$2:$B1000))),L$1,"""")"),"")</f>
        <v/>
      </c>
      <c r="M233" s="34" t="str">
        <f>IFERROR(__xludf.DUMMYFUNCTION("IF(IF(M$1="""","""",REGEXMATCH(LOWER($E233),XLOOKUP(M$1,Metadata!$A$2:$A1000,Metadata!$B$2:$B1000))),M$1,"""")"),"")</f>
        <v/>
      </c>
      <c r="N233" s="34" t="str">
        <f>IFERROR(__xludf.DUMMYFUNCTION("IF(IF(N$1="""","""",REGEXMATCH(LOWER($E233),XLOOKUP(N$1,Metadata!$A$2:$A1000,Metadata!$B$2:$B1000))),N$1,"""")"),"")</f>
        <v/>
      </c>
      <c r="O233" s="34" t="str">
        <f>IFERROR(__xludf.DUMMYFUNCTION("IF(IF(O$1="""","""",REGEXMATCH(LOWER($E233),XLOOKUP(O$1,Metadata!$A$2:$A1000,Metadata!$B$2:$B1000))),O$1,"""")"),"")</f>
        <v/>
      </c>
      <c r="P233" s="34" t="str">
        <f>IFERROR(__xludf.DUMMYFUNCTION("IF(IF(P$1="""","""",REGEXMATCH(LOWER($E233),XLOOKUP(P$1,Metadata!$A$2:$A1000,Metadata!$B$2:$B1000))),P$1,"""")"),"")</f>
        <v/>
      </c>
      <c r="Q233" s="34" t="str">
        <f>IFERROR(__xludf.DUMMYFUNCTION("IF(IF(Q$1="""","""",REGEXMATCH(LOWER($E233),XLOOKUP(Q$1,Metadata!$A$2:$A1000,Metadata!$B$2:$B1000))),Q$1,"""")"),"")</f>
        <v/>
      </c>
      <c r="R233" s="34" t="str">
        <f>IFERROR(__xludf.DUMMYFUNCTION("IF(IF(R$1="""","""",REGEXMATCH(LOWER($E233),XLOOKUP(R$1,Metadata!$A$2:$A1000,Metadata!$B$2:$B1000))),R$1,"""")"),"")</f>
        <v/>
      </c>
      <c r="S233" s="34" t="str">
        <f>IFERROR(__xludf.DUMMYFUNCTION("IF(IF(S$1="""","""",REGEXMATCH(LOWER($E233),XLOOKUP(S$1,Metadata!$A$2:$A1000,Metadata!$B$2:$B1000))),S$1,"""")"),"")</f>
        <v/>
      </c>
      <c r="T233" s="34" t="str">
        <f>IFERROR(__xludf.DUMMYFUNCTION("IF(IF(T$1="""","""",REGEXMATCH(LOWER($E233),XLOOKUP(T$1,Metadata!$A$2:$A1000,Metadata!$B$2:$B1000))),T$1,"""")"),"")</f>
        <v/>
      </c>
      <c r="U233" s="34" t="str">
        <f>IFERROR(__xludf.DUMMYFUNCTION("IF(IF(U$1="""","""",REGEXMATCH(LOWER($E233),XLOOKUP(U$1,Metadata!$A$2:$A1000,Metadata!$B$2:$B1000))),U$1,"""")"),"")</f>
        <v/>
      </c>
      <c r="V233" s="34" t="str">
        <f>IFERROR(__xludf.DUMMYFUNCTION("IF(IF(V$1="""","""",REGEXMATCH(LOWER($E233),XLOOKUP(V$1,Metadata!$A$2:$A1000,Metadata!$B$2:$B1000))),V$1,"""")"),"")</f>
        <v/>
      </c>
      <c r="W233" s="34" t="str">
        <f>IFERROR(__xludf.DUMMYFUNCTION("IF(IF(W$1="""","""",REGEXMATCH(LOWER($E233),XLOOKUP(W$1,Metadata!$A$2:$A1000,Metadata!$B$2:$B1000))),W$1,"""")"),"")</f>
        <v/>
      </c>
      <c r="X233" s="34" t="str">
        <f>IFERROR(__xludf.DUMMYFUNCTION("IF(IF(X$1="""","""",REGEXMATCH(LOWER($E233),XLOOKUP(X$1,Metadata!$A$2:$A1000,Metadata!$B$2:$B1000))),X$1,"""")"),"")</f>
        <v/>
      </c>
      <c r="Y233" s="34" t="str">
        <f>IFERROR(__xludf.DUMMYFUNCTION("IF(IF(Y$1="""","""",REGEXMATCH(LOWER($E233),XLOOKUP(Y$1,Metadata!$A$2:$A1000,Metadata!$B$2:$B1000))),Y$1,"""")"),"")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I234">XLOOKUP($A234,Cards!$A$2:$A1000,Cards!$B$2:$I1000,"")</f>
        <v>Mortal</v>
      </c>
      <c r="C234" s="34">
        <v>1.0</v>
      </c>
      <c r="D234" s="34" t="s">
        <v>1587</v>
      </c>
      <c r="E234" s="34"/>
      <c r="F234" s="34"/>
      <c r="G234" s="34">
        <v>3.0</v>
      </c>
      <c r="H234" s="34" t="s">
        <v>1042</v>
      </c>
      <c r="I234" s="34" t="s">
        <v>26</v>
      </c>
      <c r="J234" s="34">
        <f>IFERROR(__xludf.DUMMYFUNCTION("LEN(REGEXREPLACE(XLOOKUP($A234,Cards!$A$2:$A1000,Cards!$H$2:$H1000,""""),"",\s"",""""))"),3.0)</f>
        <v>3</v>
      </c>
      <c r="K234" s="34" t="str">
        <f t="shared" si="1"/>
        <v>               </v>
      </c>
      <c r="L234" s="34" t="str">
        <f>IFERROR(__xludf.DUMMYFUNCTION("IF(IF(L$1="""","""",REGEXMATCH(LOWER($E234),XLOOKUP(L$1,Metadata!$A$2:$A1000,Metadata!$B$2:$B1000))),L$1,"""")"),"")</f>
        <v/>
      </c>
      <c r="M234" s="34" t="str">
        <f>IFERROR(__xludf.DUMMYFUNCTION("IF(IF(M$1="""","""",REGEXMATCH(LOWER($E234),XLOOKUP(M$1,Metadata!$A$2:$A1000,Metadata!$B$2:$B1000))),M$1,"""")"),"")</f>
        <v/>
      </c>
      <c r="N234" s="34" t="str">
        <f>IFERROR(__xludf.DUMMYFUNCTION("IF(IF(N$1="""","""",REGEXMATCH(LOWER($E234),XLOOKUP(N$1,Metadata!$A$2:$A1000,Metadata!$B$2:$B1000))),N$1,"""")"),"")</f>
        <v/>
      </c>
      <c r="O234" s="34" t="str">
        <f>IFERROR(__xludf.DUMMYFUNCTION("IF(IF(O$1="""","""",REGEXMATCH(LOWER($E234),XLOOKUP(O$1,Metadata!$A$2:$A1000,Metadata!$B$2:$B1000))),O$1,"""")"),"")</f>
        <v/>
      </c>
      <c r="P234" s="34" t="str">
        <f>IFERROR(__xludf.DUMMYFUNCTION("IF(IF(P$1="""","""",REGEXMATCH(LOWER($E234),XLOOKUP(P$1,Metadata!$A$2:$A1000,Metadata!$B$2:$B1000))),P$1,"""")"),"")</f>
        <v/>
      </c>
      <c r="Q234" s="34" t="str">
        <f>IFERROR(__xludf.DUMMYFUNCTION("IF(IF(Q$1="""","""",REGEXMATCH(LOWER($E234),XLOOKUP(Q$1,Metadata!$A$2:$A1000,Metadata!$B$2:$B1000))),Q$1,"""")"),"")</f>
        <v/>
      </c>
      <c r="R234" s="34" t="str">
        <f>IFERROR(__xludf.DUMMYFUNCTION("IF(IF(R$1="""","""",REGEXMATCH(LOWER($E234),XLOOKUP(R$1,Metadata!$A$2:$A1000,Metadata!$B$2:$B1000))),R$1,"""")"),"")</f>
        <v/>
      </c>
      <c r="S234" s="34" t="str">
        <f>IFERROR(__xludf.DUMMYFUNCTION("IF(IF(S$1="""","""",REGEXMATCH(LOWER($E234),XLOOKUP(S$1,Metadata!$A$2:$A1000,Metadata!$B$2:$B1000))),S$1,"""")"),"")</f>
        <v/>
      </c>
      <c r="T234" s="34" t="str">
        <f>IFERROR(__xludf.DUMMYFUNCTION("IF(IF(T$1="""","""",REGEXMATCH(LOWER($E234),XLOOKUP(T$1,Metadata!$A$2:$A1000,Metadata!$B$2:$B1000))),T$1,"""")"),"")</f>
        <v/>
      </c>
      <c r="U234" s="34" t="str">
        <f>IFERROR(__xludf.DUMMYFUNCTION("IF(IF(U$1="""","""",REGEXMATCH(LOWER($E234),XLOOKUP(U$1,Metadata!$A$2:$A1000,Metadata!$B$2:$B1000))),U$1,"""")"),"")</f>
        <v/>
      </c>
      <c r="V234" s="34" t="str">
        <f>IFERROR(__xludf.DUMMYFUNCTION("IF(IF(V$1="""","""",REGEXMATCH(LOWER($E234),XLOOKUP(V$1,Metadata!$A$2:$A1000,Metadata!$B$2:$B1000))),V$1,"""")"),"")</f>
        <v/>
      </c>
      <c r="W234" s="34" t="str">
        <f>IFERROR(__xludf.DUMMYFUNCTION("IF(IF(W$1="""","""",REGEXMATCH(LOWER($E234),XLOOKUP(W$1,Metadata!$A$2:$A1000,Metadata!$B$2:$B1000))),W$1,"""")"),"")</f>
        <v/>
      </c>
      <c r="X234" s="34" t="str">
        <f>IFERROR(__xludf.DUMMYFUNCTION("IF(IF(X$1="""","""",REGEXMATCH(LOWER($E234),XLOOKUP(X$1,Metadata!$A$2:$A1000,Metadata!$B$2:$B1000))),X$1,"""")"),"")</f>
        <v/>
      </c>
      <c r="Y234" s="34" t="str">
        <f>IFERROR(__xludf.DUMMYFUNCTION("IF(IF(Y$1="""","""",REGEXMATCH(LOWER($E234),XLOOKUP(Y$1,Metadata!$A$2:$A1000,Metadata!$B$2:$B1000))),Y$1,"""")"),"")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I235">XLOOKUP($A235,Cards!$A$2:$A1000,Cards!$B$2:$I1000,"")</f>
        <v>Nature</v>
      </c>
      <c r="C235" s="34">
        <v>2.0</v>
      </c>
      <c r="D235" s="34" t="s">
        <v>919</v>
      </c>
      <c r="E235" s="34" t="s">
        <v>1593</v>
      </c>
      <c r="F235" s="34" t="s">
        <v>24</v>
      </c>
      <c r="G235" s="34">
        <v>2.0</v>
      </c>
      <c r="H235" s="34" t="s">
        <v>1503</v>
      </c>
      <c r="I235" s="34" t="s">
        <v>26</v>
      </c>
      <c r="J235" s="34">
        <f>IFERROR(__xludf.DUMMYFUNCTION("LEN(REGEXREPLACE(XLOOKUP($A235,Cards!$A$2:$A1000,Cards!$H$2:$H1000,""""),"",\s"",""""))"),2.0)</f>
        <v>2</v>
      </c>
      <c r="K235" s="34" t="str">
        <f t="shared" si="1"/>
        <v>               </v>
      </c>
      <c r="L235" s="34" t="str">
        <f>IFERROR(__xludf.DUMMYFUNCTION("IF(IF(L$1="""","""",REGEXMATCH(LOWER($E235),XLOOKUP(L$1,Metadata!$A$2:$A1000,Metadata!$B$2:$B1000))),L$1,"""")"),"")</f>
        <v/>
      </c>
      <c r="M235" s="34" t="str">
        <f>IFERROR(__xludf.DUMMYFUNCTION("IF(IF(M$1="""","""",REGEXMATCH(LOWER($E235),XLOOKUP(M$1,Metadata!$A$2:$A1000,Metadata!$B$2:$B1000))),M$1,"""")"),"")</f>
        <v/>
      </c>
      <c r="N235" s="34" t="str">
        <f>IFERROR(__xludf.DUMMYFUNCTION("IF(IF(N$1="""","""",REGEXMATCH(LOWER($E235),XLOOKUP(N$1,Metadata!$A$2:$A1000,Metadata!$B$2:$B1000))),N$1,"""")"),"")</f>
        <v/>
      </c>
      <c r="O235" s="34" t="str">
        <f>IFERROR(__xludf.DUMMYFUNCTION("IF(IF(O$1="""","""",REGEXMATCH(LOWER($E235),XLOOKUP(O$1,Metadata!$A$2:$A1000,Metadata!$B$2:$B1000))),O$1,"""")"),"")</f>
        <v/>
      </c>
      <c r="P235" s="34" t="str">
        <f>IFERROR(__xludf.DUMMYFUNCTION("IF(IF(P$1="""","""",REGEXMATCH(LOWER($E235),XLOOKUP(P$1,Metadata!$A$2:$A1000,Metadata!$B$2:$B1000))),P$1,"""")"),"")</f>
        <v/>
      </c>
      <c r="Q235" s="34" t="str">
        <f>IFERROR(__xludf.DUMMYFUNCTION("IF(IF(Q$1="""","""",REGEXMATCH(LOWER($E235),XLOOKUP(Q$1,Metadata!$A$2:$A1000,Metadata!$B$2:$B1000))),Q$1,"""")"),"")</f>
        <v/>
      </c>
      <c r="R235" s="34" t="str">
        <f>IFERROR(__xludf.DUMMYFUNCTION("IF(IF(R$1="""","""",REGEXMATCH(LOWER($E235),XLOOKUP(R$1,Metadata!$A$2:$A1000,Metadata!$B$2:$B1000))),R$1,"""")"),"")</f>
        <v/>
      </c>
      <c r="S235" s="34" t="str">
        <f>IFERROR(__xludf.DUMMYFUNCTION("IF(IF(S$1="""","""",REGEXMATCH(LOWER($E235),XLOOKUP(S$1,Metadata!$A$2:$A1000,Metadata!$B$2:$B1000))),S$1,"""")"),"")</f>
        <v/>
      </c>
      <c r="T235" s="34" t="str">
        <f>IFERROR(__xludf.DUMMYFUNCTION("IF(IF(T$1="""","""",REGEXMATCH(LOWER($E235),XLOOKUP(T$1,Metadata!$A$2:$A1000,Metadata!$B$2:$B1000))),T$1,"""")"),"")</f>
        <v/>
      </c>
      <c r="U235" s="34" t="str">
        <f>IFERROR(__xludf.DUMMYFUNCTION("IF(IF(U$1="""","""",REGEXMATCH(LOWER($E235),XLOOKUP(U$1,Metadata!$A$2:$A1000,Metadata!$B$2:$B1000))),U$1,"""")"),"")</f>
        <v/>
      </c>
      <c r="V235" s="34" t="str">
        <f>IFERROR(__xludf.DUMMYFUNCTION("IF(IF(V$1="""","""",REGEXMATCH(LOWER($E235),XLOOKUP(V$1,Metadata!$A$2:$A1000,Metadata!$B$2:$B1000))),V$1,"""")"),"")</f>
        <v/>
      </c>
      <c r="W235" s="34" t="str">
        <f>IFERROR(__xludf.DUMMYFUNCTION("IF(IF(W$1="""","""",REGEXMATCH(LOWER($E235),XLOOKUP(W$1,Metadata!$A$2:$A1000,Metadata!$B$2:$B1000))),W$1,"""")"),"")</f>
        <v/>
      </c>
      <c r="X235" s="34" t="str">
        <f>IFERROR(__xludf.DUMMYFUNCTION("IF(IF(X$1="""","""",REGEXMATCH(LOWER($E235),XLOOKUP(X$1,Metadata!$A$2:$A1000,Metadata!$B$2:$B1000))),X$1,"""")"),"")</f>
        <v/>
      </c>
      <c r="Y235" s="34" t="str">
        <f>IFERROR(__xludf.DUMMYFUNCTION("IF(IF(Y$1="""","""",REGEXMATCH(LOWER($E235),XLOOKUP(Y$1,Metadata!$A$2:$A1000,Metadata!$B$2:$B1000))),Y$1,"""")"),"")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I236">XLOOKUP($A236,Cards!$A$2:$A1000,Cards!$B$2:$I1000,"")</f>
        <v>Nature</v>
      </c>
      <c r="C236" s="34">
        <v>0.0</v>
      </c>
      <c r="D236" s="34" t="s">
        <v>1595</v>
      </c>
      <c r="E236" s="34" t="s">
        <v>1596</v>
      </c>
      <c r="F236" s="34" t="s">
        <v>1597</v>
      </c>
      <c r="G236" s="34">
        <v>4.0</v>
      </c>
      <c r="H236" s="34" t="s">
        <v>1526</v>
      </c>
      <c r="I236" s="34" t="s">
        <v>70</v>
      </c>
      <c r="J236" s="34">
        <f>IFERROR(__xludf.DUMMYFUNCTION("LEN(REGEXREPLACE(XLOOKUP($A236,Cards!$A$2:$A1000,Cards!$H$2:$H1000,""""),"",\s"",""""))"),4.0)</f>
        <v>4</v>
      </c>
      <c r="K236" s="34" t="str">
        <f t="shared" si="1"/>
        <v>      Ramp         </v>
      </c>
      <c r="L236" s="34" t="str">
        <f>IFERROR(__xludf.DUMMYFUNCTION("IF(IF(L$1="""","""",REGEXMATCH(LOWER($E236),XLOOKUP(L$1,Metadata!$A$2:$A1000,Metadata!$B$2:$B1000))),L$1,"""")"),"")</f>
        <v/>
      </c>
      <c r="M236" s="34" t="str">
        <f>IFERROR(__xludf.DUMMYFUNCTION("IF(IF(M$1="""","""",REGEXMATCH(LOWER($E236),XLOOKUP(M$1,Metadata!$A$2:$A1000,Metadata!$B$2:$B1000))),M$1,"""")"),"")</f>
        <v/>
      </c>
      <c r="N236" s="34" t="str">
        <f>IFERROR(__xludf.DUMMYFUNCTION("IF(IF(N$1="""","""",REGEXMATCH(LOWER($E236),XLOOKUP(N$1,Metadata!$A$2:$A1000,Metadata!$B$2:$B1000))),N$1,"""")"),"")</f>
        <v/>
      </c>
      <c r="O236" s="34" t="str">
        <f>IFERROR(__xludf.DUMMYFUNCTION("IF(IF(O$1="""","""",REGEXMATCH(LOWER($E236),XLOOKUP(O$1,Metadata!$A$2:$A1000,Metadata!$B$2:$B1000))),O$1,"""")"),"")</f>
        <v/>
      </c>
      <c r="P236" s="34" t="str">
        <f>IFERROR(__xludf.DUMMYFUNCTION("IF(IF(P$1="""","""",REGEXMATCH(LOWER($E236),XLOOKUP(P$1,Metadata!$A$2:$A1000,Metadata!$B$2:$B1000))),P$1,"""")"),"")</f>
        <v/>
      </c>
      <c r="Q236" s="34" t="str">
        <f>IFERROR(__xludf.DUMMYFUNCTION("IF(IF(Q$1="""","""",REGEXMATCH(LOWER($E236),XLOOKUP(Q$1,Metadata!$A$2:$A1000,Metadata!$B$2:$B1000))),Q$1,"""")"),"")</f>
        <v/>
      </c>
      <c r="R236" s="34" t="str">
        <f>IFERROR(__xludf.DUMMYFUNCTION("IF(IF(R$1="""","""",REGEXMATCH(LOWER($E236),XLOOKUP(R$1,Metadata!$A$2:$A1000,Metadata!$B$2:$B1000))),R$1,"""")"),"Ramp")</f>
        <v>Ramp</v>
      </c>
      <c r="S236" s="34" t="str">
        <f>IFERROR(__xludf.DUMMYFUNCTION("IF(IF(S$1="""","""",REGEXMATCH(LOWER($E236),XLOOKUP(S$1,Metadata!$A$2:$A1000,Metadata!$B$2:$B1000))),S$1,"""")"),"")</f>
        <v/>
      </c>
      <c r="T236" s="34" t="str">
        <f>IFERROR(__xludf.DUMMYFUNCTION("IF(IF(T$1="""","""",REGEXMATCH(LOWER($E236),XLOOKUP(T$1,Metadata!$A$2:$A1000,Metadata!$B$2:$B1000))),T$1,"""")"),"")</f>
        <v/>
      </c>
      <c r="U236" s="34" t="str">
        <f>IFERROR(__xludf.DUMMYFUNCTION("IF(IF(U$1="""","""",REGEXMATCH(LOWER($E236),XLOOKUP(U$1,Metadata!$A$2:$A1000,Metadata!$B$2:$B1000))),U$1,"""")"),"")</f>
        <v/>
      </c>
      <c r="V236" s="34" t="str">
        <f>IFERROR(__xludf.DUMMYFUNCTION("IF(IF(V$1="""","""",REGEXMATCH(LOWER($E236),XLOOKUP(V$1,Metadata!$A$2:$A1000,Metadata!$B$2:$B1000))),V$1,"""")"),"")</f>
        <v/>
      </c>
      <c r="W236" s="34" t="str">
        <f>IFERROR(__xludf.DUMMYFUNCTION("IF(IF(W$1="""","""",REGEXMATCH(LOWER($E236),XLOOKUP(W$1,Metadata!$A$2:$A1000,Metadata!$B$2:$B1000))),W$1,"""")"),"")</f>
        <v/>
      </c>
      <c r="X236" s="34" t="str">
        <f>IFERROR(__xludf.DUMMYFUNCTION("IF(IF(X$1="""","""",REGEXMATCH(LOWER($E236),XLOOKUP(X$1,Metadata!$A$2:$A1000,Metadata!$B$2:$B1000))),X$1,"""")"),"")</f>
        <v/>
      </c>
      <c r="Y236" s="34" t="str">
        <f>IFERROR(__xludf.DUMMYFUNCTION("IF(IF(Y$1="""","""",REGEXMATCH(LOWER($E236),XLOOKUP(Y$1,Metadata!$A$2:$A1000,Metadata!$B$2:$B1000))),Y$1,"""")"),"")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I237">XLOOKUP($A237,Cards!$A$2:$A1000,Cards!$B$2:$I1000,"")</f>
        <v>Mortal</v>
      </c>
      <c r="C237" s="34">
        <v>1.0</v>
      </c>
      <c r="D237" s="34" t="s">
        <v>195</v>
      </c>
      <c r="E237" s="34"/>
      <c r="F237" s="34" t="s">
        <v>1599</v>
      </c>
      <c r="G237" s="34">
        <v>2.0</v>
      </c>
      <c r="H237" s="34" t="s">
        <v>1051</v>
      </c>
      <c r="I237" s="34" t="s">
        <v>26</v>
      </c>
      <c r="J237" s="34">
        <f>IFERROR(__xludf.DUMMYFUNCTION("LEN(REGEXREPLACE(XLOOKUP($A237,Cards!$A$2:$A1000,Cards!$H$2:$H1000,""""),"",\s"",""""))"),2.0)</f>
        <v>2</v>
      </c>
      <c r="K237" s="34" t="str">
        <f t="shared" si="1"/>
        <v>               </v>
      </c>
      <c r="L237" s="34" t="str">
        <f>IFERROR(__xludf.DUMMYFUNCTION("IF(IF(L$1="""","""",REGEXMATCH(LOWER($E237),XLOOKUP(L$1,Metadata!$A$2:$A1000,Metadata!$B$2:$B1000))),L$1,"""")"),"")</f>
        <v/>
      </c>
      <c r="M237" s="34" t="str">
        <f>IFERROR(__xludf.DUMMYFUNCTION("IF(IF(M$1="""","""",REGEXMATCH(LOWER($E237),XLOOKUP(M$1,Metadata!$A$2:$A1000,Metadata!$B$2:$B1000))),M$1,"""")"),"")</f>
        <v/>
      </c>
      <c r="N237" s="34" t="str">
        <f>IFERROR(__xludf.DUMMYFUNCTION("IF(IF(N$1="""","""",REGEXMATCH(LOWER($E237),XLOOKUP(N$1,Metadata!$A$2:$A1000,Metadata!$B$2:$B1000))),N$1,"""")"),"")</f>
        <v/>
      </c>
      <c r="O237" s="34" t="str">
        <f>IFERROR(__xludf.DUMMYFUNCTION("IF(IF(O$1="""","""",REGEXMATCH(LOWER($E237),XLOOKUP(O$1,Metadata!$A$2:$A1000,Metadata!$B$2:$B1000))),O$1,"""")"),"")</f>
        <v/>
      </c>
      <c r="P237" s="34" t="str">
        <f>IFERROR(__xludf.DUMMYFUNCTION("IF(IF(P$1="""","""",REGEXMATCH(LOWER($E237),XLOOKUP(P$1,Metadata!$A$2:$A1000,Metadata!$B$2:$B1000))),P$1,"""")"),"")</f>
        <v/>
      </c>
      <c r="Q237" s="34" t="str">
        <f>IFERROR(__xludf.DUMMYFUNCTION("IF(IF(Q$1="""","""",REGEXMATCH(LOWER($E237),XLOOKUP(Q$1,Metadata!$A$2:$A1000,Metadata!$B$2:$B1000))),Q$1,"""")"),"")</f>
        <v/>
      </c>
      <c r="R237" s="34" t="str">
        <f>IFERROR(__xludf.DUMMYFUNCTION("IF(IF(R$1="""","""",REGEXMATCH(LOWER($E237),XLOOKUP(R$1,Metadata!$A$2:$A1000,Metadata!$B$2:$B1000))),R$1,"""")"),"")</f>
        <v/>
      </c>
      <c r="S237" s="34" t="str">
        <f>IFERROR(__xludf.DUMMYFUNCTION("IF(IF(S$1="""","""",REGEXMATCH(LOWER($E237),XLOOKUP(S$1,Metadata!$A$2:$A1000,Metadata!$B$2:$B1000))),S$1,"""")"),"")</f>
        <v/>
      </c>
      <c r="T237" s="34" t="str">
        <f>IFERROR(__xludf.DUMMYFUNCTION("IF(IF(T$1="""","""",REGEXMATCH(LOWER($E237),XLOOKUP(T$1,Metadata!$A$2:$A1000,Metadata!$B$2:$B1000))),T$1,"""")"),"")</f>
        <v/>
      </c>
      <c r="U237" s="34" t="str">
        <f>IFERROR(__xludf.DUMMYFUNCTION("IF(IF(U$1="""","""",REGEXMATCH(LOWER($E237),XLOOKUP(U$1,Metadata!$A$2:$A1000,Metadata!$B$2:$B1000))),U$1,"""")"),"")</f>
        <v/>
      </c>
      <c r="V237" s="34" t="str">
        <f>IFERROR(__xludf.DUMMYFUNCTION("IF(IF(V$1="""","""",REGEXMATCH(LOWER($E237),XLOOKUP(V$1,Metadata!$A$2:$A1000,Metadata!$B$2:$B1000))),V$1,"""")"),"")</f>
        <v/>
      </c>
      <c r="W237" s="34" t="str">
        <f>IFERROR(__xludf.DUMMYFUNCTION("IF(IF(W$1="""","""",REGEXMATCH(LOWER($E237),XLOOKUP(W$1,Metadata!$A$2:$A1000,Metadata!$B$2:$B1000))),W$1,"""")"),"")</f>
        <v/>
      </c>
      <c r="X237" s="34" t="str">
        <f>IFERROR(__xludf.DUMMYFUNCTION("IF(IF(X$1="""","""",REGEXMATCH(LOWER($E237),XLOOKUP(X$1,Metadata!$A$2:$A1000,Metadata!$B$2:$B1000))),X$1,"""")"),"")</f>
        <v/>
      </c>
      <c r="Y237" s="34" t="str">
        <f>IFERROR(__xludf.DUMMYFUNCTION("IF(IF(Y$1="""","""",REGEXMATCH(LOWER($E237),XLOOKUP(Y$1,Metadata!$A$2:$A1000,Metadata!$B$2:$B1000))),Y$1,"""")"),"")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I238">XLOOKUP($A238,Cards!$A$2:$A1000,Cards!$B$2:$I1000,"")</f>
        <v>Nature</v>
      </c>
      <c r="C238" s="34">
        <v>2.0</v>
      </c>
      <c r="D238" s="34" t="s">
        <v>661</v>
      </c>
      <c r="E238" s="34"/>
      <c r="F238" s="34" t="s">
        <v>1607</v>
      </c>
      <c r="G238" s="34">
        <v>7.0</v>
      </c>
      <c r="H238" s="34" t="s">
        <v>1608</v>
      </c>
      <c r="I238" s="34" t="s">
        <v>26</v>
      </c>
      <c r="J238" s="34">
        <f>IFERROR(__xludf.DUMMYFUNCTION("LEN(REGEXREPLACE(XLOOKUP($A238,Cards!$A$2:$A1000,Cards!$H$2:$H1000,""""),"",\s"",""""))"),7.0)</f>
        <v>7</v>
      </c>
      <c r="K238" s="34" t="str">
        <f t="shared" si="1"/>
        <v>               </v>
      </c>
      <c r="L238" s="34" t="str">
        <f>IFERROR(__xludf.DUMMYFUNCTION("IF(IF(L$1="""","""",REGEXMATCH(LOWER($E238),XLOOKUP(L$1,Metadata!$A$2:$A1000,Metadata!$B$2:$B1000))),L$1,"""")"),"")</f>
        <v/>
      </c>
      <c r="M238" s="34" t="str">
        <f>IFERROR(__xludf.DUMMYFUNCTION("IF(IF(M$1="""","""",REGEXMATCH(LOWER($E238),XLOOKUP(M$1,Metadata!$A$2:$A1000,Metadata!$B$2:$B1000))),M$1,"""")"),"")</f>
        <v/>
      </c>
      <c r="N238" s="34" t="str">
        <f>IFERROR(__xludf.DUMMYFUNCTION("IF(IF(N$1="""","""",REGEXMATCH(LOWER($E238),XLOOKUP(N$1,Metadata!$A$2:$A1000,Metadata!$B$2:$B1000))),N$1,"""")"),"")</f>
        <v/>
      </c>
      <c r="O238" s="34" t="str">
        <f>IFERROR(__xludf.DUMMYFUNCTION("IF(IF(O$1="""","""",REGEXMATCH(LOWER($E238),XLOOKUP(O$1,Metadata!$A$2:$A1000,Metadata!$B$2:$B1000))),O$1,"""")"),"")</f>
        <v/>
      </c>
      <c r="P238" s="34" t="str">
        <f>IFERROR(__xludf.DUMMYFUNCTION("IF(IF(P$1="""","""",REGEXMATCH(LOWER($E238),XLOOKUP(P$1,Metadata!$A$2:$A1000,Metadata!$B$2:$B1000))),P$1,"""")"),"")</f>
        <v/>
      </c>
      <c r="Q238" s="34" t="str">
        <f>IFERROR(__xludf.DUMMYFUNCTION("IF(IF(Q$1="""","""",REGEXMATCH(LOWER($E238),XLOOKUP(Q$1,Metadata!$A$2:$A1000,Metadata!$B$2:$B1000))),Q$1,"""")"),"")</f>
        <v/>
      </c>
      <c r="R238" s="34" t="str">
        <f>IFERROR(__xludf.DUMMYFUNCTION("IF(IF(R$1="""","""",REGEXMATCH(LOWER($E238),XLOOKUP(R$1,Metadata!$A$2:$A1000,Metadata!$B$2:$B1000))),R$1,"""")"),"")</f>
        <v/>
      </c>
      <c r="S238" s="34" t="str">
        <f>IFERROR(__xludf.DUMMYFUNCTION("IF(IF(S$1="""","""",REGEXMATCH(LOWER($E238),XLOOKUP(S$1,Metadata!$A$2:$A1000,Metadata!$B$2:$B1000))),S$1,"""")"),"")</f>
        <v/>
      </c>
      <c r="T238" s="34" t="str">
        <f>IFERROR(__xludf.DUMMYFUNCTION("IF(IF(T$1="""","""",REGEXMATCH(LOWER($E238),XLOOKUP(T$1,Metadata!$A$2:$A1000,Metadata!$B$2:$B1000))),T$1,"""")"),"")</f>
        <v/>
      </c>
      <c r="U238" s="34" t="str">
        <f>IFERROR(__xludf.DUMMYFUNCTION("IF(IF(U$1="""","""",REGEXMATCH(LOWER($E238),XLOOKUP(U$1,Metadata!$A$2:$A1000,Metadata!$B$2:$B1000))),U$1,"""")"),"")</f>
        <v/>
      </c>
      <c r="V238" s="34" t="str">
        <f>IFERROR(__xludf.DUMMYFUNCTION("IF(IF(V$1="""","""",REGEXMATCH(LOWER($E238),XLOOKUP(V$1,Metadata!$A$2:$A1000,Metadata!$B$2:$B1000))),V$1,"""")"),"")</f>
        <v/>
      </c>
      <c r="W238" s="34" t="str">
        <f>IFERROR(__xludf.DUMMYFUNCTION("IF(IF(W$1="""","""",REGEXMATCH(LOWER($E238),XLOOKUP(W$1,Metadata!$A$2:$A1000,Metadata!$B$2:$B1000))),W$1,"""")"),"")</f>
        <v/>
      </c>
      <c r="X238" s="34" t="str">
        <f>IFERROR(__xludf.DUMMYFUNCTION("IF(IF(X$1="""","""",REGEXMATCH(LOWER($E238),XLOOKUP(X$1,Metadata!$A$2:$A1000,Metadata!$B$2:$B1000))),X$1,"""")"),"")</f>
        <v/>
      </c>
      <c r="Y238" s="34" t="str">
        <f>IFERROR(__xludf.DUMMYFUNCTION("IF(IF(Y$1="""","""",REGEXMATCH(LOWER($E238),XLOOKUP(Y$1,Metadata!$A$2:$A1000,Metadata!$B$2:$B1000))),Y$1,"""")"),"")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I239">XLOOKUP($A239,Cards!$A$2:$A1000,Cards!$B$2:$I1000,"")</f>
        <v>Nature</v>
      </c>
      <c r="C239" s="34">
        <v>2.0</v>
      </c>
      <c r="D239" s="34" t="s">
        <v>1610</v>
      </c>
      <c r="E239" s="34" t="s">
        <v>275</v>
      </c>
      <c r="F239" s="34" t="s">
        <v>697</v>
      </c>
      <c r="G239" s="34">
        <v>2.0</v>
      </c>
      <c r="H239" s="34" t="s">
        <v>1503</v>
      </c>
      <c r="I239" s="34" t="s">
        <v>26</v>
      </c>
      <c r="J239" s="34">
        <f>IFERROR(__xludf.DUMMYFUNCTION("LEN(REGEXREPLACE(XLOOKUP($A239,Cards!$A$2:$A1000,Cards!$H$2:$H1000,""""),"",\s"",""""))"),2.0)</f>
        <v>2</v>
      </c>
      <c r="K239" s="34" t="str">
        <f t="shared" si="1"/>
        <v>               </v>
      </c>
      <c r="L239" s="34" t="str">
        <f>IFERROR(__xludf.DUMMYFUNCTION("IF(IF(L$1="""","""",REGEXMATCH(LOWER($E239),XLOOKUP(L$1,Metadata!$A$2:$A1000,Metadata!$B$2:$B1000))),L$1,"""")"),"")</f>
        <v/>
      </c>
      <c r="M239" s="34" t="str">
        <f>IFERROR(__xludf.DUMMYFUNCTION("IF(IF(M$1="""","""",REGEXMATCH(LOWER($E239),XLOOKUP(M$1,Metadata!$A$2:$A1000,Metadata!$B$2:$B1000))),M$1,"""")"),"")</f>
        <v/>
      </c>
      <c r="N239" s="34" t="str">
        <f>IFERROR(__xludf.DUMMYFUNCTION("IF(IF(N$1="""","""",REGEXMATCH(LOWER($E239),XLOOKUP(N$1,Metadata!$A$2:$A1000,Metadata!$B$2:$B1000))),N$1,"""")"),"")</f>
        <v/>
      </c>
      <c r="O239" s="34" t="str">
        <f>IFERROR(__xludf.DUMMYFUNCTION("IF(IF(O$1="""","""",REGEXMATCH(LOWER($E239),XLOOKUP(O$1,Metadata!$A$2:$A1000,Metadata!$B$2:$B1000))),O$1,"""")"),"")</f>
        <v/>
      </c>
      <c r="P239" s="34" t="str">
        <f>IFERROR(__xludf.DUMMYFUNCTION("IF(IF(P$1="""","""",REGEXMATCH(LOWER($E239),XLOOKUP(P$1,Metadata!$A$2:$A1000,Metadata!$B$2:$B1000))),P$1,"""")"),"")</f>
        <v/>
      </c>
      <c r="Q239" s="34" t="str">
        <f>IFERROR(__xludf.DUMMYFUNCTION("IF(IF(Q$1="""","""",REGEXMATCH(LOWER($E239),XLOOKUP(Q$1,Metadata!$A$2:$A1000,Metadata!$B$2:$B1000))),Q$1,"""")"),"")</f>
        <v/>
      </c>
      <c r="R239" s="34" t="str">
        <f>IFERROR(__xludf.DUMMYFUNCTION("IF(IF(R$1="""","""",REGEXMATCH(LOWER($E239),XLOOKUP(R$1,Metadata!$A$2:$A1000,Metadata!$B$2:$B1000))),R$1,"""")"),"")</f>
        <v/>
      </c>
      <c r="S239" s="34" t="str">
        <f>IFERROR(__xludf.DUMMYFUNCTION("IF(IF(S$1="""","""",REGEXMATCH(LOWER($E239),XLOOKUP(S$1,Metadata!$A$2:$A1000,Metadata!$B$2:$B1000))),S$1,"""")"),"")</f>
        <v/>
      </c>
      <c r="T239" s="34" t="str">
        <f>IFERROR(__xludf.DUMMYFUNCTION("IF(IF(T$1="""","""",REGEXMATCH(LOWER($E239),XLOOKUP(T$1,Metadata!$A$2:$A1000,Metadata!$B$2:$B1000))),T$1,"""")"),"")</f>
        <v/>
      </c>
      <c r="U239" s="34" t="str">
        <f>IFERROR(__xludf.DUMMYFUNCTION("IF(IF(U$1="""","""",REGEXMATCH(LOWER($E239),XLOOKUP(U$1,Metadata!$A$2:$A1000,Metadata!$B$2:$B1000))),U$1,"""")"),"")</f>
        <v/>
      </c>
      <c r="V239" s="34" t="str">
        <f>IFERROR(__xludf.DUMMYFUNCTION("IF(IF(V$1="""","""",REGEXMATCH(LOWER($E239),XLOOKUP(V$1,Metadata!$A$2:$A1000,Metadata!$B$2:$B1000))),V$1,"""")"),"")</f>
        <v/>
      </c>
      <c r="W239" s="34" t="str">
        <f>IFERROR(__xludf.DUMMYFUNCTION("IF(IF(W$1="""","""",REGEXMATCH(LOWER($E239),XLOOKUP(W$1,Metadata!$A$2:$A1000,Metadata!$B$2:$B1000))),W$1,"""")"),"")</f>
        <v/>
      </c>
      <c r="X239" s="34" t="str">
        <f>IFERROR(__xludf.DUMMYFUNCTION("IF(IF(X$1="""","""",REGEXMATCH(LOWER($E239),XLOOKUP(X$1,Metadata!$A$2:$A1000,Metadata!$B$2:$B1000))),X$1,"""")"),"")</f>
        <v/>
      </c>
      <c r="Y239" s="34" t="str">
        <f>IFERROR(__xludf.DUMMYFUNCTION("IF(IF(Y$1="""","""",REGEXMATCH(LOWER($E239),XLOOKUP(Y$1,Metadata!$A$2:$A1000,Metadata!$B$2:$B1000))),Y$1,"""")"),"")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I240">XLOOKUP($A240,Cards!$A$2:$A1000,Cards!$B$2:$I1000,"")</f>
        <v>Nature</v>
      </c>
      <c r="C240" s="34">
        <v>2.0</v>
      </c>
      <c r="D240" s="34" t="s">
        <v>133</v>
      </c>
      <c r="E240" s="34" t="s">
        <v>1612</v>
      </c>
      <c r="F240" s="34" t="s">
        <v>1613</v>
      </c>
      <c r="G240" s="34">
        <v>2.0</v>
      </c>
      <c r="H240" s="34" t="s">
        <v>1608</v>
      </c>
      <c r="I240" s="34" t="s">
        <v>70</v>
      </c>
      <c r="J240" s="34">
        <f>IFERROR(__xludf.DUMMYFUNCTION("LEN(REGEXREPLACE(XLOOKUP($A240,Cards!$A$2:$A1000,Cards!$H$2:$H1000,""""),"",\s"",""""))"),7.0)</f>
        <v>7</v>
      </c>
      <c r="K240" s="34" t="str">
        <f t="shared" si="1"/>
        <v>     Unearth  Control  Aggro   Ambush   </v>
      </c>
      <c r="L240" s="34" t="str">
        <f>IFERROR(__xludf.DUMMYFUNCTION("IF(IF(L$1="""","""",REGEXMATCH(LOWER($E240),XLOOKUP(L$1,Metadata!$A$2:$A1000,Metadata!$B$2:$B1000))),L$1,"""")"),"")</f>
        <v/>
      </c>
      <c r="M240" s="34" t="str">
        <f>IFERROR(__xludf.DUMMYFUNCTION("IF(IF(M$1="""","""",REGEXMATCH(LOWER($E240),XLOOKUP(M$1,Metadata!$A$2:$A1000,Metadata!$B$2:$B1000))),M$1,"""")"),"")</f>
        <v/>
      </c>
      <c r="N240" s="34" t="str">
        <f>IFERROR(__xludf.DUMMYFUNCTION("IF(IF(N$1="""","""",REGEXMATCH(LOWER($E240),XLOOKUP(N$1,Metadata!$A$2:$A1000,Metadata!$B$2:$B1000))),N$1,"""")"),"")</f>
        <v/>
      </c>
      <c r="O240" s="34" t="str">
        <f>IFERROR(__xludf.DUMMYFUNCTION("IF(IF(O$1="""","""",REGEXMATCH(LOWER($E240),XLOOKUP(O$1,Metadata!$A$2:$A1000,Metadata!$B$2:$B1000))),O$1,"""")"),"")</f>
        <v/>
      </c>
      <c r="P240" s="34" t="str">
        <f>IFERROR(__xludf.DUMMYFUNCTION("IF(IF(P$1="""","""",REGEXMATCH(LOWER($E240),XLOOKUP(P$1,Metadata!$A$2:$A1000,Metadata!$B$2:$B1000))),P$1,"""")"),"")</f>
        <v/>
      </c>
      <c r="Q240" s="34" t="str">
        <f>IFERROR(__xludf.DUMMYFUNCTION("IF(IF(Q$1="""","""",REGEXMATCH(LOWER($E240),XLOOKUP(Q$1,Metadata!$A$2:$A1000,Metadata!$B$2:$B1000))),Q$1,"""")"),"Unearth")</f>
        <v>Unearth</v>
      </c>
      <c r="R240" s="34" t="str">
        <f>IFERROR(__xludf.DUMMYFUNCTION("IF(IF(R$1="""","""",REGEXMATCH(LOWER($E240),XLOOKUP(R$1,Metadata!$A$2:$A1000,Metadata!$B$2:$B1000))),R$1,"""")"),"")</f>
        <v/>
      </c>
      <c r="S240" s="34" t="str">
        <f>IFERROR(__xludf.DUMMYFUNCTION("IF(IF(S$1="""","""",REGEXMATCH(LOWER($E240),XLOOKUP(S$1,Metadata!$A$2:$A1000,Metadata!$B$2:$B1000))),S$1,"""")"),"Control")</f>
        <v>Control</v>
      </c>
      <c r="T240" s="34" t="str">
        <f>IFERROR(__xludf.DUMMYFUNCTION("IF(IF(T$1="""","""",REGEXMATCH(LOWER($E240),XLOOKUP(T$1,Metadata!$A$2:$A1000,Metadata!$B$2:$B1000))),T$1,"""")"),"")</f>
        <v/>
      </c>
      <c r="U240" s="34" t="str">
        <f>IFERROR(__xludf.DUMMYFUNCTION("IF(IF(U$1="""","""",REGEXMATCH(LOWER($E240),XLOOKUP(U$1,Metadata!$A$2:$A1000,Metadata!$B$2:$B1000))),U$1,"""")"),"Aggro")</f>
        <v>Aggro</v>
      </c>
      <c r="V240" s="34" t="str">
        <f>IFERROR(__xludf.DUMMYFUNCTION("IF(IF(V$1="""","""",REGEXMATCH(LOWER($E240),XLOOKUP(V$1,Metadata!$A$2:$A1000,Metadata!$B$2:$B1000))),V$1,"""")"),"")</f>
        <v/>
      </c>
      <c r="W240" s="34" t="str">
        <f>IFERROR(__xludf.DUMMYFUNCTION("IF(IF(W$1="""","""",REGEXMATCH(LOWER($E240),XLOOKUP(W$1,Metadata!$A$2:$A1000,Metadata!$B$2:$B1000))),W$1,"""")"),"")</f>
        <v/>
      </c>
      <c r="X240" s="34" t="str">
        <f>IFERROR(__xludf.DUMMYFUNCTION("IF(IF(X$1="""","""",REGEXMATCH(LOWER($E240),XLOOKUP(X$1,Metadata!$A$2:$A1000,Metadata!$B$2:$B1000))),X$1,"""")"),"Ambush")</f>
        <v>Ambush</v>
      </c>
      <c r="Y240" s="34" t="str">
        <f>IFERROR(__xludf.DUMMYFUNCTION("IF(IF(Y$1="""","""",REGEXMATCH(LOWER($E240),XLOOKUP(Y$1,Metadata!$A$2:$A1000,Metadata!$B$2:$B1000))),Y$1,"""")"),"")</f>
        <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I241">XLOOKUP($A241,Cards!$A$2:$A1000,Cards!$B$2:$I1000,"")</f>
        <v>Mortal</v>
      </c>
      <c r="C241" s="34">
        <v>1.0</v>
      </c>
      <c r="D241" s="34" t="s">
        <v>1615</v>
      </c>
      <c r="E241" s="34" t="s">
        <v>1616</v>
      </c>
      <c r="F241" s="34"/>
      <c r="G241" s="34">
        <v>2.0</v>
      </c>
      <c r="H241" s="34" t="s">
        <v>1051</v>
      </c>
      <c r="I241" s="34" t="s">
        <v>70</v>
      </c>
      <c r="J241" s="34">
        <f>IFERROR(__xludf.DUMMYFUNCTION("LEN(REGEXREPLACE(XLOOKUP($A241,Cards!$A$2:$A1000,Cards!$H$2:$H1000,""""),"",\s"",""""))"),2.0)</f>
        <v>2</v>
      </c>
      <c r="K241" s="34" t="str">
        <f t="shared" si="1"/>
        <v>               </v>
      </c>
      <c r="L241" s="34" t="str">
        <f>IFERROR(__xludf.DUMMYFUNCTION("IF(IF(L$1="""","""",REGEXMATCH(LOWER($E241),XLOOKUP(L$1,Metadata!$A$2:$A1000,Metadata!$B$2:$B1000))),L$1,"""")"),"")</f>
        <v/>
      </c>
      <c r="M241" s="34" t="str">
        <f>IFERROR(__xludf.DUMMYFUNCTION("IF(IF(M$1="""","""",REGEXMATCH(LOWER($E241),XLOOKUP(M$1,Metadata!$A$2:$A1000,Metadata!$B$2:$B1000))),M$1,"""")"),"")</f>
        <v/>
      </c>
      <c r="N241" s="34" t="str">
        <f>IFERROR(__xludf.DUMMYFUNCTION("IF(IF(N$1="""","""",REGEXMATCH(LOWER($E241),XLOOKUP(N$1,Metadata!$A$2:$A1000,Metadata!$B$2:$B1000))),N$1,"""")"),"")</f>
        <v/>
      </c>
      <c r="O241" s="34" t="str">
        <f>IFERROR(__xludf.DUMMYFUNCTION("IF(IF(O$1="""","""",REGEXMATCH(LOWER($E241),XLOOKUP(O$1,Metadata!$A$2:$A1000,Metadata!$B$2:$B1000))),O$1,"""")"),"")</f>
        <v/>
      </c>
      <c r="P241" s="34" t="str">
        <f>IFERROR(__xludf.DUMMYFUNCTION("IF(IF(P$1="""","""",REGEXMATCH(LOWER($E241),XLOOKUP(P$1,Metadata!$A$2:$A1000,Metadata!$B$2:$B1000))),P$1,"""")"),"")</f>
        <v/>
      </c>
      <c r="Q241" s="34" t="str">
        <f>IFERROR(__xludf.DUMMYFUNCTION("IF(IF(Q$1="""","""",REGEXMATCH(LOWER($E241),XLOOKUP(Q$1,Metadata!$A$2:$A1000,Metadata!$B$2:$B1000))),Q$1,"""")"),"")</f>
        <v/>
      </c>
      <c r="R241" s="34" t="str">
        <f>IFERROR(__xludf.DUMMYFUNCTION("IF(IF(R$1="""","""",REGEXMATCH(LOWER($E241),XLOOKUP(R$1,Metadata!$A$2:$A1000,Metadata!$B$2:$B1000))),R$1,"""")"),"")</f>
        <v/>
      </c>
      <c r="S241" s="34" t="str">
        <f>IFERROR(__xludf.DUMMYFUNCTION("IF(IF(S$1="""","""",REGEXMATCH(LOWER($E241),XLOOKUP(S$1,Metadata!$A$2:$A1000,Metadata!$B$2:$B1000))),S$1,"""")"),"")</f>
        <v/>
      </c>
      <c r="T241" s="34" t="str">
        <f>IFERROR(__xludf.DUMMYFUNCTION("IF(IF(T$1="""","""",REGEXMATCH(LOWER($E241),XLOOKUP(T$1,Metadata!$A$2:$A1000,Metadata!$B$2:$B1000))),T$1,"""")"),"")</f>
        <v/>
      </c>
      <c r="U241" s="34" t="str">
        <f>IFERROR(__xludf.DUMMYFUNCTION("IF(IF(U$1="""","""",REGEXMATCH(LOWER($E241),XLOOKUP(U$1,Metadata!$A$2:$A1000,Metadata!$B$2:$B1000))),U$1,"""")"),"")</f>
        <v/>
      </c>
      <c r="V241" s="34" t="str">
        <f>IFERROR(__xludf.DUMMYFUNCTION("IF(IF(V$1="""","""",REGEXMATCH(LOWER($E241),XLOOKUP(V$1,Metadata!$A$2:$A1000,Metadata!$B$2:$B1000))),V$1,"""")"),"")</f>
        <v/>
      </c>
      <c r="W241" s="34" t="str">
        <f>IFERROR(__xludf.DUMMYFUNCTION("IF(IF(W$1="""","""",REGEXMATCH(LOWER($E241),XLOOKUP(W$1,Metadata!$A$2:$A1000,Metadata!$B$2:$B1000))),W$1,"""")"),"")</f>
        <v/>
      </c>
      <c r="X241" s="34" t="str">
        <f>IFERROR(__xludf.DUMMYFUNCTION("IF(IF(X$1="""","""",REGEXMATCH(LOWER($E241),XLOOKUP(X$1,Metadata!$A$2:$A1000,Metadata!$B$2:$B1000))),X$1,"""")"),"")</f>
        <v/>
      </c>
      <c r="Y241" s="34" t="str">
        <f>IFERROR(__xludf.DUMMYFUNCTION("IF(IF(Y$1="""","""",REGEXMATCH(LOWER($E241),XLOOKUP(Y$1,Metadata!$A$2:$A1000,Metadata!$B$2:$B1000))),Y$1,"""")"),"")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I242">XLOOKUP($A242,Cards!$A$2:$A1000,Cards!$B$2:$I1000,"")</f>
        <v>Mortal</v>
      </c>
      <c r="C242" s="34">
        <v>1.0</v>
      </c>
      <c r="D242" s="34" t="s">
        <v>372</v>
      </c>
      <c r="E242" s="34" t="s">
        <v>1626</v>
      </c>
      <c r="F242" s="34"/>
      <c r="G242" s="34">
        <v>1.0</v>
      </c>
      <c r="H242" s="34" t="s">
        <v>1164</v>
      </c>
      <c r="I242" s="34" t="s">
        <v>70</v>
      </c>
      <c r="J242" s="34">
        <f>IFERROR(__xludf.DUMMYFUNCTION("LEN(REGEXREPLACE(XLOOKUP($A242,Cards!$A$2:$A1000,Cards!$H$2:$H1000,""""),"",\s"",""""))"),1.0)</f>
        <v>1</v>
      </c>
      <c r="K242" s="34" t="str">
        <f t="shared" si="1"/>
        <v>      Ramp Control  Aggro   Ambush   </v>
      </c>
      <c r="L242" s="34" t="str">
        <f>IFERROR(__xludf.DUMMYFUNCTION("IF(IF(L$1="""","""",REGEXMATCH(LOWER($E242),XLOOKUP(L$1,Metadata!$A$2:$A1000,Metadata!$B$2:$B1000))),L$1,"""")"),"")</f>
        <v/>
      </c>
      <c r="M242" s="34" t="str">
        <f>IFERROR(__xludf.DUMMYFUNCTION("IF(IF(M$1="""","""",REGEXMATCH(LOWER($E242),XLOOKUP(M$1,Metadata!$A$2:$A1000,Metadata!$B$2:$B1000))),M$1,"""")"),"")</f>
        <v/>
      </c>
      <c r="N242" s="34" t="str">
        <f>IFERROR(__xludf.DUMMYFUNCTION("IF(IF(N$1="""","""",REGEXMATCH(LOWER($E242),XLOOKUP(N$1,Metadata!$A$2:$A1000,Metadata!$B$2:$B1000))),N$1,"""")"),"")</f>
        <v/>
      </c>
      <c r="O242" s="34" t="str">
        <f>IFERROR(__xludf.DUMMYFUNCTION("IF(IF(O$1="""","""",REGEXMATCH(LOWER($E242),XLOOKUP(O$1,Metadata!$A$2:$A1000,Metadata!$B$2:$B1000))),O$1,"""")"),"")</f>
        <v/>
      </c>
      <c r="P242" s="34" t="str">
        <f>IFERROR(__xludf.DUMMYFUNCTION("IF(IF(P$1="""","""",REGEXMATCH(LOWER($E242),XLOOKUP(P$1,Metadata!$A$2:$A1000,Metadata!$B$2:$B1000))),P$1,"""")"),"")</f>
        <v/>
      </c>
      <c r="Q242" s="34" t="str">
        <f>IFERROR(__xludf.DUMMYFUNCTION("IF(IF(Q$1="""","""",REGEXMATCH(LOWER($E242),XLOOKUP(Q$1,Metadata!$A$2:$A1000,Metadata!$B$2:$B1000))),Q$1,"""")"),"")</f>
        <v/>
      </c>
      <c r="R242" s="34" t="str">
        <f>IFERROR(__xludf.DUMMYFUNCTION("IF(IF(R$1="""","""",REGEXMATCH(LOWER($E242),XLOOKUP(R$1,Metadata!$A$2:$A1000,Metadata!$B$2:$B1000))),R$1,"""")"),"Ramp")</f>
        <v>Ramp</v>
      </c>
      <c r="S242" s="34" t="str">
        <f>IFERROR(__xludf.DUMMYFUNCTION("IF(IF(S$1="""","""",REGEXMATCH(LOWER($E242),XLOOKUP(S$1,Metadata!$A$2:$A1000,Metadata!$B$2:$B1000))),S$1,"""")"),"Control")</f>
        <v>Control</v>
      </c>
      <c r="T242" s="34" t="str">
        <f>IFERROR(__xludf.DUMMYFUNCTION("IF(IF(T$1="""","""",REGEXMATCH(LOWER($E242),XLOOKUP(T$1,Metadata!$A$2:$A1000,Metadata!$B$2:$B1000))),T$1,"""")"),"")</f>
        <v/>
      </c>
      <c r="U242" s="34" t="str">
        <f>IFERROR(__xludf.DUMMYFUNCTION("IF(IF(U$1="""","""",REGEXMATCH(LOWER($E242),XLOOKUP(U$1,Metadata!$A$2:$A1000,Metadata!$B$2:$B1000))),U$1,"""")"),"Aggro")</f>
        <v>Aggro</v>
      </c>
      <c r="V242" s="34" t="str">
        <f>IFERROR(__xludf.DUMMYFUNCTION("IF(IF(V$1="""","""",REGEXMATCH(LOWER($E242),XLOOKUP(V$1,Metadata!$A$2:$A1000,Metadata!$B$2:$B1000))),V$1,"""")"),"")</f>
        <v/>
      </c>
      <c r="W242" s="34" t="str">
        <f>IFERROR(__xludf.DUMMYFUNCTION("IF(IF(W$1="""","""",REGEXMATCH(LOWER($E242),XLOOKUP(W$1,Metadata!$A$2:$A1000,Metadata!$B$2:$B1000))),W$1,"""")"),"")</f>
        <v/>
      </c>
      <c r="X242" s="34" t="str">
        <f>IFERROR(__xludf.DUMMYFUNCTION("IF(IF(X$1="""","""",REGEXMATCH(LOWER($E242),XLOOKUP(X$1,Metadata!$A$2:$A1000,Metadata!$B$2:$B1000))),X$1,"""")"),"Ambush")</f>
        <v>Ambush</v>
      </c>
      <c r="Y242" s="34" t="str">
        <f>IFERROR(__xludf.DUMMYFUNCTION("IF(IF(Y$1="""","""",REGEXMATCH(LOWER($E242),XLOOKUP(Y$1,Metadata!$A$2:$A1000,Metadata!$B$2:$B1000))),Y$1,"""")"),"")</f>
        <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I243">XLOOKUP($A243,Cards!$A$2:$A1000,Cards!$B$2:$I1000,"")</f>
        <v>Mortal</v>
      </c>
      <c r="C243" s="34">
        <v>1.0</v>
      </c>
      <c r="D243" s="34" t="s">
        <v>96</v>
      </c>
      <c r="E243" s="34" t="s">
        <v>1637</v>
      </c>
      <c r="F243" s="34"/>
      <c r="G243" s="34">
        <v>3.0</v>
      </c>
      <c r="H243" s="34" t="s">
        <v>1311</v>
      </c>
      <c r="I243" s="34" t="s">
        <v>26</v>
      </c>
      <c r="J243" s="34">
        <f>IFERROR(__xludf.DUMMYFUNCTION("LEN(REGEXREPLACE(XLOOKUP($A243,Cards!$A$2:$A1000,Cards!$H$2:$H1000,""""),"",\s"",""""))"),2.0)</f>
        <v>2</v>
      </c>
      <c r="K243" s="34" t="str">
        <f t="shared" si="1"/>
        <v>               </v>
      </c>
      <c r="L243" s="34" t="str">
        <f>IFERROR(__xludf.DUMMYFUNCTION("IF(IF(L$1="""","""",REGEXMATCH(LOWER($E243),XLOOKUP(L$1,Metadata!$A$2:$A1000,Metadata!$B$2:$B1000))),L$1,"""")"),"")</f>
        <v/>
      </c>
      <c r="M243" s="34" t="str">
        <f>IFERROR(__xludf.DUMMYFUNCTION("IF(IF(M$1="""","""",REGEXMATCH(LOWER($E243),XLOOKUP(M$1,Metadata!$A$2:$A1000,Metadata!$B$2:$B1000))),M$1,"""")"),"")</f>
        <v/>
      </c>
      <c r="N243" s="34" t="str">
        <f>IFERROR(__xludf.DUMMYFUNCTION("IF(IF(N$1="""","""",REGEXMATCH(LOWER($E243),XLOOKUP(N$1,Metadata!$A$2:$A1000,Metadata!$B$2:$B1000))),N$1,"""")"),"")</f>
        <v/>
      </c>
      <c r="O243" s="34" t="str">
        <f>IFERROR(__xludf.DUMMYFUNCTION("IF(IF(O$1="""","""",REGEXMATCH(LOWER($E243),XLOOKUP(O$1,Metadata!$A$2:$A1000,Metadata!$B$2:$B1000))),O$1,"""")"),"")</f>
        <v/>
      </c>
      <c r="P243" s="34" t="str">
        <f>IFERROR(__xludf.DUMMYFUNCTION("IF(IF(P$1="""","""",REGEXMATCH(LOWER($E243),XLOOKUP(P$1,Metadata!$A$2:$A1000,Metadata!$B$2:$B1000))),P$1,"""")"),"")</f>
        <v/>
      </c>
      <c r="Q243" s="34" t="str">
        <f>IFERROR(__xludf.DUMMYFUNCTION("IF(IF(Q$1="""","""",REGEXMATCH(LOWER($E243),XLOOKUP(Q$1,Metadata!$A$2:$A1000,Metadata!$B$2:$B1000))),Q$1,"""")"),"")</f>
        <v/>
      </c>
      <c r="R243" s="34" t="str">
        <f>IFERROR(__xludf.DUMMYFUNCTION("IF(IF(R$1="""","""",REGEXMATCH(LOWER($E243),XLOOKUP(R$1,Metadata!$A$2:$A1000,Metadata!$B$2:$B1000))),R$1,"""")"),"")</f>
        <v/>
      </c>
      <c r="S243" s="34" t="str">
        <f>IFERROR(__xludf.DUMMYFUNCTION("IF(IF(S$1="""","""",REGEXMATCH(LOWER($E243),XLOOKUP(S$1,Metadata!$A$2:$A1000,Metadata!$B$2:$B1000))),S$1,"""")"),"")</f>
        <v/>
      </c>
      <c r="T243" s="34" t="str">
        <f>IFERROR(__xludf.DUMMYFUNCTION("IF(IF(T$1="""","""",REGEXMATCH(LOWER($E243),XLOOKUP(T$1,Metadata!$A$2:$A1000,Metadata!$B$2:$B1000))),T$1,"""")"),"")</f>
        <v/>
      </c>
      <c r="U243" s="34" t="str">
        <f>IFERROR(__xludf.DUMMYFUNCTION("IF(IF(U$1="""","""",REGEXMATCH(LOWER($E243),XLOOKUP(U$1,Metadata!$A$2:$A1000,Metadata!$B$2:$B1000))),U$1,"""")"),"")</f>
        <v/>
      </c>
      <c r="V243" s="34" t="str">
        <f>IFERROR(__xludf.DUMMYFUNCTION("IF(IF(V$1="""","""",REGEXMATCH(LOWER($E243),XLOOKUP(V$1,Metadata!$A$2:$A1000,Metadata!$B$2:$B1000))),V$1,"""")"),"")</f>
        <v/>
      </c>
      <c r="W243" s="34" t="str">
        <f>IFERROR(__xludf.DUMMYFUNCTION("IF(IF(W$1="""","""",REGEXMATCH(LOWER($E243),XLOOKUP(W$1,Metadata!$A$2:$A1000,Metadata!$B$2:$B1000))),W$1,"""")"),"")</f>
        <v/>
      </c>
      <c r="X243" s="34" t="str">
        <f>IFERROR(__xludf.DUMMYFUNCTION("IF(IF(X$1="""","""",REGEXMATCH(LOWER($E243),XLOOKUP(X$1,Metadata!$A$2:$A1000,Metadata!$B$2:$B1000))),X$1,"""")"),"")</f>
        <v/>
      </c>
      <c r="Y243" s="34" t="str">
        <f>IFERROR(__xludf.DUMMYFUNCTION("IF(IF(Y$1="""","""",REGEXMATCH(LOWER($E243),XLOOKUP(Y$1,Metadata!$A$2:$A1000,Metadata!$B$2:$B1000))),Y$1,"""")"),"")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I244">XLOOKUP($A244,Cards!$A$2:$A1000,Cards!$B$2:$I1000,"")</f>
        <v>Nature</v>
      </c>
      <c r="C244" s="34">
        <v>2.0</v>
      </c>
      <c r="D244" s="34" t="s">
        <v>111</v>
      </c>
      <c r="E244" s="34" t="s">
        <v>1639</v>
      </c>
      <c r="F244" s="34" t="s">
        <v>24</v>
      </c>
      <c r="G244" s="34">
        <v>1.0</v>
      </c>
      <c r="H244" s="34" t="s">
        <v>1503</v>
      </c>
      <c r="I244" s="34" t="s">
        <v>26</v>
      </c>
      <c r="J244" s="34">
        <f>IFERROR(__xludf.DUMMYFUNCTION("LEN(REGEXREPLACE(XLOOKUP($A244,Cards!$A$2:$A1000,Cards!$H$2:$H1000,""""),"",\s"",""""))"),2.0)</f>
        <v>2</v>
      </c>
      <c r="K244" s="34" t="str">
        <f t="shared" si="1"/>
        <v>               </v>
      </c>
      <c r="L244" s="34" t="str">
        <f>IFERROR(__xludf.DUMMYFUNCTION("IF(IF(L$1="""","""",REGEXMATCH(LOWER($E244),XLOOKUP(L$1,Metadata!$A$2:$A1000,Metadata!$B$2:$B1000))),L$1,"""")"),"")</f>
        <v/>
      </c>
      <c r="M244" s="34" t="str">
        <f>IFERROR(__xludf.DUMMYFUNCTION("IF(IF(M$1="""","""",REGEXMATCH(LOWER($E244),XLOOKUP(M$1,Metadata!$A$2:$A1000,Metadata!$B$2:$B1000))),M$1,"""")"),"")</f>
        <v/>
      </c>
      <c r="N244" s="34" t="str">
        <f>IFERROR(__xludf.DUMMYFUNCTION("IF(IF(N$1="""","""",REGEXMATCH(LOWER($E244),XLOOKUP(N$1,Metadata!$A$2:$A1000,Metadata!$B$2:$B1000))),N$1,"""")"),"")</f>
        <v/>
      </c>
      <c r="O244" s="34" t="str">
        <f>IFERROR(__xludf.DUMMYFUNCTION("IF(IF(O$1="""","""",REGEXMATCH(LOWER($E244),XLOOKUP(O$1,Metadata!$A$2:$A1000,Metadata!$B$2:$B1000))),O$1,"""")"),"")</f>
        <v/>
      </c>
      <c r="P244" s="34" t="str">
        <f>IFERROR(__xludf.DUMMYFUNCTION("IF(IF(P$1="""","""",REGEXMATCH(LOWER($E244),XLOOKUP(P$1,Metadata!$A$2:$A1000,Metadata!$B$2:$B1000))),P$1,"""")"),"")</f>
        <v/>
      </c>
      <c r="Q244" s="34" t="str">
        <f>IFERROR(__xludf.DUMMYFUNCTION("IF(IF(Q$1="""","""",REGEXMATCH(LOWER($E244),XLOOKUP(Q$1,Metadata!$A$2:$A1000,Metadata!$B$2:$B1000))),Q$1,"""")"),"")</f>
        <v/>
      </c>
      <c r="R244" s="34" t="str">
        <f>IFERROR(__xludf.DUMMYFUNCTION("IF(IF(R$1="""","""",REGEXMATCH(LOWER($E244),XLOOKUP(R$1,Metadata!$A$2:$A1000,Metadata!$B$2:$B1000))),R$1,"""")"),"")</f>
        <v/>
      </c>
      <c r="S244" s="34" t="str">
        <f>IFERROR(__xludf.DUMMYFUNCTION("IF(IF(S$1="""","""",REGEXMATCH(LOWER($E244),XLOOKUP(S$1,Metadata!$A$2:$A1000,Metadata!$B$2:$B1000))),S$1,"""")"),"")</f>
        <v/>
      </c>
      <c r="T244" s="34" t="str">
        <f>IFERROR(__xludf.DUMMYFUNCTION("IF(IF(T$1="""","""",REGEXMATCH(LOWER($E244),XLOOKUP(T$1,Metadata!$A$2:$A1000,Metadata!$B$2:$B1000))),T$1,"""")"),"")</f>
        <v/>
      </c>
      <c r="U244" s="34" t="str">
        <f>IFERROR(__xludf.DUMMYFUNCTION("IF(IF(U$1="""","""",REGEXMATCH(LOWER($E244),XLOOKUP(U$1,Metadata!$A$2:$A1000,Metadata!$B$2:$B1000))),U$1,"""")"),"")</f>
        <v/>
      </c>
      <c r="V244" s="34" t="str">
        <f>IFERROR(__xludf.DUMMYFUNCTION("IF(IF(V$1="""","""",REGEXMATCH(LOWER($E244),XLOOKUP(V$1,Metadata!$A$2:$A1000,Metadata!$B$2:$B1000))),V$1,"""")"),"")</f>
        <v/>
      </c>
      <c r="W244" s="34" t="str">
        <f>IFERROR(__xludf.DUMMYFUNCTION("IF(IF(W$1="""","""",REGEXMATCH(LOWER($E244),XLOOKUP(W$1,Metadata!$A$2:$A1000,Metadata!$B$2:$B1000))),W$1,"""")"),"")</f>
        <v/>
      </c>
      <c r="X244" s="34" t="str">
        <f>IFERROR(__xludf.DUMMYFUNCTION("IF(IF(X$1="""","""",REGEXMATCH(LOWER($E244),XLOOKUP(X$1,Metadata!$A$2:$A1000,Metadata!$B$2:$B1000))),X$1,"""")"),"")</f>
        <v/>
      </c>
      <c r="Y244" s="34" t="str">
        <f>IFERROR(__xludf.DUMMYFUNCTION("IF(IF(Y$1="""","""",REGEXMATCH(LOWER($E244),XLOOKUP(Y$1,Metadata!$A$2:$A1000,Metadata!$B$2:$B1000))),Y$1,"""")"),"")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I245">XLOOKUP($A245,Cards!$A$2:$A1000,Cards!$B$2:$I1000,"")</f>
        <v>Mortal</v>
      </c>
      <c r="C245" s="34">
        <v>1.0</v>
      </c>
      <c r="D245" s="34" t="s">
        <v>1370</v>
      </c>
      <c r="E245" s="34" t="s">
        <v>1641</v>
      </c>
      <c r="F245" s="34" t="s">
        <v>1642</v>
      </c>
      <c r="G245" s="34">
        <v>5.0</v>
      </c>
      <c r="H245" s="34" t="s">
        <v>1643</v>
      </c>
      <c r="I245" s="34" t="s">
        <v>26</v>
      </c>
      <c r="J245" s="34">
        <f>IFERROR(__xludf.DUMMYFUNCTION("LEN(REGEXREPLACE(XLOOKUP($A245,Cards!$A$2:$A1000,Cards!$H$2:$H1000,""""),"",\s"",""""))"),7.0)</f>
        <v>7</v>
      </c>
      <c r="K245" s="34" t="str">
        <f t="shared" si="1"/>
        <v>           Move    </v>
      </c>
      <c r="L245" s="34" t="str">
        <f>IFERROR(__xludf.DUMMYFUNCTION("IF(IF(L$1="""","""",REGEXMATCH(LOWER($E245),XLOOKUP(L$1,Metadata!$A$2:$A1000,Metadata!$B$2:$B1000))),L$1,"""")"),"")</f>
        <v/>
      </c>
      <c r="M245" s="34" t="str">
        <f>IFERROR(__xludf.DUMMYFUNCTION("IF(IF(M$1="""","""",REGEXMATCH(LOWER($E245),XLOOKUP(M$1,Metadata!$A$2:$A1000,Metadata!$B$2:$B1000))),M$1,"""")"),"")</f>
        <v/>
      </c>
      <c r="N245" s="34" t="str">
        <f>IFERROR(__xludf.DUMMYFUNCTION("IF(IF(N$1="""","""",REGEXMATCH(LOWER($E245),XLOOKUP(N$1,Metadata!$A$2:$A1000,Metadata!$B$2:$B1000))),N$1,"""")"),"")</f>
        <v/>
      </c>
      <c r="O245" s="34" t="str">
        <f>IFERROR(__xludf.DUMMYFUNCTION("IF(IF(O$1="""","""",REGEXMATCH(LOWER($E245),XLOOKUP(O$1,Metadata!$A$2:$A1000,Metadata!$B$2:$B1000))),O$1,"""")"),"")</f>
        <v/>
      </c>
      <c r="P245" s="34" t="str">
        <f>IFERROR(__xludf.DUMMYFUNCTION("IF(IF(P$1="""","""",REGEXMATCH(LOWER($E245),XLOOKUP(P$1,Metadata!$A$2:$A1000,Metadata!$B$2:$B1000))),P$1,"""")"),"")</f>
        <v/>
      </c>
      <c r="Q245" s="34" t="str">
        <f>IFERROR(__xludf.DUMMYFUNCTION("IF(IF(Q$1="""","""",REGEXMATCH(LOWER($E245),XLOOKUP(Q$1,Metadata!$A$2:$A1000,Metadata!$B$2:$B1000))),Q$1,"""")"),"")</f>
        <v/>
      </c>
      <c r="R245" s="34" t="str">
        <f>IFERROR(__xludf.DUMMYFUNCTION("IF(IF(R$1="""","""",REGEXMATCH(LOWER($E245),XLOOKUP(R$1,Metadata!$A$2:$A1000,Metadata!$B$2:$B1000))),R$1,"""")"),"")</f>
        <v/>
      </c>
      <c r="S245" s="34" t="str">
        <f>IFERROR(__xludf.DUMMYFUNCTION("IF(IF(S$1="""","""",REGEXMATCH(LOWER($E245),XLOOKUP(S$1,Metadata!$A$2:$A1000,Metadata!$B$2:$B1000))),S$1,"""")"),"")</f>
        <v/>
      </c>
      <c r="T245" s="34" t="str">
        <f>IFERROR(__xludf.DUMMYFUNCTION("IF(IF(T$1="""","""",REGEXMATCH(LOWER($E245),XLOOKUP(T$1,Metadata!$A$2:$A1000,Metadata!$B$2:$B1000))),T$1,"""")"),"")</f>
        <v/>
      </c>
      <c r="U245" s="34" t="str">
        <f>IFERROR(__xludf.DUMMYFUNCTION("IF(IF(U$1="""","""",REGEXMATCH(LOWER($E245),XLOOKUP(U$1,Metadata!$A$2:$A1000,Metadata!$B$2:$B1000))),U$1,"""")"),"")</f>
        <v/>
      </c>
      <c r="V245" s="34" t="str">
        <f>IFERROR(__xludf.DUMMYFUNCTION("IF(IF(V$1="""","""",REGEXMATCH(LOWER($E245),XLOOKUP(V$1,Metadata!$A$2:$A1000,Metadata!$B$2:$B1000))),V$1,"""")"),"")</f>
        <v/>
      </c>
      <c r="W245" s="34" t="str">
        <f>IFERROR(__xludf.DUMMYFUNCTION("IF(IF(W$1="""","""",REGEXMATCH(LOWER($E245),XLOOKUP(W$1,Metadata!$A$2:$A1000,Metadata!$B$2:$B1000))),W$1,"""")"),"Move")</f>
        <v>Move</v>
      </c>
      <c r="X245" s="34" t="str">
        <f>IFERROR(__xludf.DUMMYFUNCTION("IF(IF(X$1="""","""",REGEXMATCH(LOWER($E245),XLOOKUP(X$1,Metadata!$A$2:$A1000,Metadata!$B$2:$B1000))),X$1,"""")"),"")</f>
        <v/>
      </c>
      <c r="Y245" s="34" t="str">
        <f>IFERROR(__xludf.DUMMYFUNCTION("IF(IF(Y$1="""","""",REGEXMATCH(LOWER($E245),XLOOKUP(Y$1,Metadata!$A$2:$A1000,Metadata!$B$2:$B1000))),Y$1,"""")"),"")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I246">XLOOKUP($A246,Cards!$A$2:$A1000,Cards!$B$2:$I1000,"")</f>
        <v>Mortal</v>
      </c>
      <c r="C246" s="34">
        <v>1.0</v>
      </c>
      <c r="D246" s="34" t="s">
        <v>335</v>
      </c>
      <c r="E246" s="34" t="s">
        <v>1645</v>
      </c>
      <c r="F246" s="34"/>
      <c r="G246" s="34">
        <v>3.0</v>
      </c>
      <c r="H246" s="34" t="s">
        <v>443</v>
      </c>
      <c r="I246" s="34" t="s">
        <v>26</v>
      </c>
      <c r="J246" s="34">
        <f>IFERROR(__xludf.DUMMYFUNCTION("LEN(REGEXREPLACE(XLOOKUP($A246,Cards!$A$2:$A1000,Cards!$H$2:$H1000,""""),"",\s"",""""))"),5.0)</f>
        <v>5</v>
      </c>
      <c r="K246" s="34" t="str">
        <f t="shared" si="1"/>
        <v>           Move    </v>
      </c>
      <c r="L246" s="34" t="str">
        <f>IFERROR(__xludf.DUMMYFUNCTION("IF(IF(L$1="""","""",REGEXMATCH(LOWER($E246),XLOOKUP(L$1,Metadata!$A$2:$A1000,Metadata!$B$2:$B1000))),L$1,"""")"),"")</f>
        <v/>
      </c>
      <c r="M246" s="34" t="str">
        <f>IFERROR(__xludf.DUMMYFUNCTION("IF(IF(M$1="""","""",REGEXMATCH(LOWER($E246),XLOOKUP(M$1,Metadata!$A$2:$A1000,Metadata!$B$2:$B1000))),M$1,"""")"),"")</f>
        <v/>
      </c>
      <c r="N246" s="34" t="str">
        <f>IFERROR(__xludf.DUMMYFUNCTION("IF(IF(N$1="""","""",REGEXMATCH(LOWER($E246),XLOOKUP(N$1,Metadata!$A$2:$A1000,Metadata!$B$2:$B1000))),N$1,"""")"),"")</f>
        <v/>
      </c>
      <c r="O246" s="34" t="str">
        <f>IFERROR(__xludf.DUMMYFUNCTION("IF(IF(O$1="""","""",REGEXMATCH(LOWER($E246),XLOOKUP(O$1,Metadata!$A$2:$A1000,Metadata!$B$2:$B1000))),O$1,"""")"),"")</f>
        <v/>
      </c>
      <c r="P246" s="34" t="str">
        <f>IFERROR(__xludf.DUMMYFUNCTION("IF(IF(P$1="""","""",REGEXMATCH(LOWER($E246),XLOOKUP(P$1,Metadata!$A$2:$A1000,Metadata!$B$2:$B1000))),P$1,"""")"),"")</f>
        <v/>
      </c>
      <c r="Q246" s="34" t="str">
        <f>IFERROR(__xludf.DUMMYFUNCTION("IF(IF(Q$1="""","""",REGEXMATCH(LOWER($E246),XLOOKUP(Q$1,Metadata!$A$2:$A1000,Metadata!$B$2:$B1000))),Q$1,"""")"),"")</f>
        <v/>
      </c>
      <c r="R246" s="34" t="str">
        <f>IFERROR(__xludf.DUMMYFUNCTION("IF(IF(R$1="""","""",REGEXMATCH(LOWER($E246),XLOOKUP(R$1,Metadata!$A$2:$A1000,Metadata!$B$2:$B1000))),R$1,"""")"),"")</f>
        <v/>
      </c>
      <c r="S246" s="34" t="str">
        <f>IFERROR(__xludf.DUMMYFUNCTION("IF(IF(S$1="""","""",REGEXMATCH(LOWER($E246),XLOOKUP(S$1,Metadata!$A$2:$A1000,Metadata!$B$2:$B1000))),S$1,"""")"),"")</f>
        <v/>
      </c>
      <c r="T246" s="34" t="str">
        <f>IFERROR(__xludf.DUMMYFUNCTION("IF(IF(T$1="""","""",REGEXMATCH(LOWER($E246),XLOOKUP(T$1,Metadata!$A$2:$A1000,Metadata!$B$2:$B1000))),T$1,"""")"),"")</f>
        <v/>
      </c>
      <c r="U246" s="34" t="str">
        <f>IFERROR(__xludf.DUMMYFUNCTION("IF(IF(U$1="""","""",REGEXMATCH(LOWER($E246),XLOOKUP(U$1,Metadata!$A$2:$A1000,Metadata!$B$2:$B1000))),U$1,"""")"),"")</f>
        <v/>
      </c>
      <c r="V246" s="34" t="str">
        <f>IFERROR(__xludf.DUMMYFUNCTION("IF(IF(V$1="""","""",REGEXMATCH(LOWER($E246),XLOOKUP(V$1,Metadata!$A$2:$A1000,Metadata!$B$2:$B1000))),V$1,"""")"),"")</f>
        <v/>
      </c>
      <c r="W246" s="34" t="str">
        <f>IFERROR(__xludf.DUMMYFUNCTION("IF(IF(W$1="""","""",REGEXMATCH(LOWER($E246),XLOOKUP(W$1,Metadata!$A$2:$A1000,Metadata!$B$2:$B1000))),W$1,"""")"),"Move")</f>
        <v>Move</v>
      </c>
      <c r="X246" s="34" t="str">
        <f>IFERROR(__xludf.DUMMYFUNCTION("IF(IF(X$1="""","""",REGEXMATCH(LOWER($E246),XLOOKUP(X$1,Metadata!$A$2:$A1000,Metadata!$B$2:$B1000))),X$1,"""")"),"")</f>
        <v/>
      </c>
      <c r="Y246" s="34" t="str">
        <f>IFERROR(__xludf.DUMMYFUNCTION("IF(IF(Y$1="""","""",REGEXMATCH(LOWER($E246),XLOOKUP(Y$1,Metadata!$A$2:$A1000,Metadata!$B$2:$B1000))),Y$1,"""")"),"")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I247">XLOOKUP($A247,Cards!$A$2:$A1000,Cards!$B$2:$I1000,"")</f>
        <v>Mortal Nature</v>
      </c>
      <c r="C247" s="34">
        <v>1.0</v>
      </c>
      <c r="D247" s="34" t="s">
        <v>998</v>
      </c>
      <c r="E247" s="34" t="s">
        <v>1647</v>
      </c>
      <c r="F247" s="34" t="s">
        <v>1648</v>
      </c>
      <c r="G247" s="34">
        <v>3.0</v>
      </c>
      <c r="H247" s="34" t="s">
        <v>1649</v>
      </c>
      <c r="I247" s="34" t="s">
        <v>70</v>
      </c>
      <c r="J247" s="34">
        <f>IFERROR(__xludf.DUMMYFUNCTION("LEN(REGEXREPLACE(XLOOKUP($A247,Cards!$A$2:$A1000,Cards!$H$2:$H1000,""""),"",\s"",""""))"),4.0)</f>
        <v>4</v>
      </c>
      <c r="K247" s="34" t="str">
        <f t="shared" si="1"/>
        <v>  Mortal             </v>
      </c>
      <c r="L247" s="34" t="str">
        <f>IFERROR(__xludf.DUMMYFUNCTION("IF(IF(L$1="""","""",REGEXMATCH(LOWER($E247),XLOOKUP(L$1,Metadata!$A$2:$A1000,Metadata!$B$2:$B1000))),L$1,"""")"),"")</f>
        <v/>
      </c>
      <c r="M247" s="34" t="str">
        <f>IFERROR(__xludf.DUMMYFUNCTION("IF(IF(M$1="""","""",REGEXMATCH(LOWER($E247),XLOOKUP(M$1,Metadata!$A$2:$A1000,Metadata!$B$2:$B1000))),M$1,"""")"),"")</f>
        <v/>
      </c>
      <c r="N247" s="34" t="str">
        <f>IFERROR(__xludf.DUMMYFUNCTION("IF(IF(N$1="""","""",REGEXMATCH(LOWER($E247),XLOOKUP(N$1,Metadata!$A$2:$A1000,Metadata!$B$2:$B1000))),N$1,"""")"),"Mortal")</f>
        <v>Mortal</v>
      </c>
      <c r="O247" s="34" t="str">
        <f>IFERROR(__xludf.DUMMYFUNCTION("IF(IF(O$1="""","""",REGEXMATCH(LOWER($E247),XLOOKUP(O$1,Metadata!$A$2:$A1000,Metadata!$B$2:$B1000))),O$1,"""")"),"")</f>
        <v/>
      </c>
      <c r="P247" s="34" t="str">
        <f>IFERROR(__xludf.DUMMYFUNCTION("IF(IF(P$1="""","""",REGEXMATCH(LOWER($E247),XLOOKUP(P$1,Metadata!$A$2:$A1000,Metadata!$B$2:$B1000))),P$1,"""")"),"")</f>
        <v/>
      </c>
      <c r="Q247" s="34" t="str">
        <f>IFERROR(__xludf.DUMMYFUNCTION("IF(IF(Q$1="""","""",REGEXMATCH(LOWER($E247),XLOOKUP(Q$1,Metadata!$A$2:$A1000,Metadata!$B$2:$B1000))),Q$1,"""")"),"")</f>
        <v/>
      </c>
      <c r="R247" s="34" t="str">
        <f>IFERROR(__xludf.DUMMYFUNCTION("IF(IF(R$1="""","""",REGEXMATCH(LOWER($E247),XLOOKUP(R$1,Metadata!$A$2:$A1000,Metadata!$B$2:$B1000))),R$1,"""")"),"")</f>
        <v/>
      </c>
      <c r="S247" s="34" t="str">
        <f>IFERROR(__xludf.DUMMYFUNCTION("IF(IF(S$1="""","""",REGEXMATCH(LOWER($E247),XLOOKUP(S$1,Metadata!$A$2:$A1000,Metadata!$B$2:$B1000))),S$1,"""")"),"")</f>
        <v/>
      </c>
      <c r="T247" s="34" t="str">
        <f>IFERROR(__xludf.DUMMYFUNCTION("IF(IF(T$1="""","""",REGEXMATCH(LOWER($E247),XLOOKUP(T$1,Metadata!$A$2:$A1000,Metadata!$B$2:$B1000))),T$1,"""")"),"")</f>
        <v/>
      </c>
      <c r="U247" s="34" t="str">
        <f>IFERROR(__xludf.DUMMYFUNCTION("IF(IF(U$1="""","""",REGEXMATCH(LOWER($E247),XLOOKUP(U$1,Metadata!$A$2:$A1000,Metadata!$B$2:$B1000))),U$1,"""")"),"")</f>
        <v/>
      </c>
      <c r="V247" s="34" t="str">
        <f>IFERROR(__xludf.DUMMYFUNCTION("IF(IF(V$1="""","""",REGEXMATCH(LOWER($E247),XLOOKUP(V$1,Metadata!$A$2:$A1000,Metadata!$B$2:$B1000))),V$1,"""")"),"")</f>
        <v/>
      </c>
      <c r="W247" s="34" t="str">
        <f>IFERROR(__xludf.DUMMYFUNCTION("IF(IF(W$1="""","""",REGEXMATCH(LOWER($E247),XLOOKUP(W$1,Metadata!$A$2:$A1000,Metadata!$B$2:$B1000))),W$1,"""")"),"")</f>
        <v/>
      </c>
      <c r="X247" s="34" t="str">
        <f>IFERROR(__xludf.DUMMYFUNCTION("IF(IF(X$1="""","""",REGEXMATCH(LOWER($E247),XLOOKUP(X$1,Metadata!$A$2:$A1000,Metadata!$B$2:$B1000))),X$1,"""")"),"")</f>
        <v/>
      </c>
      <c r="Y247" s="34" t="str">
        <f>IFERROR(__xludf.DUMMYFUNCTION("IF(IF(Y$1="""","""",REGEXMATCH(LOWER($E247),XLOOKUP(Y$1,Metadata!$A$2:$A1000,Metadata!$B$2:$B1000))),Y$1,"""")"),"")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I248">XLOOKUP($A248,Cards!$A$2:$A1000,Cards!$B$2:$I1000,"")</f>
        <v>Mortal Nature</v>
      </c>
      <c r="C248" s="34">
        <v>1.0</v>
      </c>
      <c r="D248" s="34" t="s">
        <v>1651</v>
      </c>
      <c r="E248" s="34" t="s">
        <v>1652</v>
      </c>
      <c r="F248" s="34" t="s">
        <v>1653</v>
      </c>
      <c r="G248" s="34">
        <v>3.0</v>
      </c>
      <c r="H248" s="34" t="s">
        <v>1654</v>
      </c>
      <c r="I248" s="34" t="s">
        <v>32</v>
      </c>
      <c r="J248" s="34">
        <f>IFERROR(__xludf.DUMMYFUNCTION("LEN(REGEXREPLACE(XLOOKUP($A248,Cards!$A$2:$A1000,Cards!$H$2:$H1000,""""),"",\s"",""""))"),7.0)</f>
        <v>7</v>
      </c>
      <c r="K248" s="34" t="str">
        <f t="shared" si="1"/>
        <v>               </v>
      </c>
      <c r="L248" s="34" t="str">
        <f>IFERROR(__xludf.DUMMYFUNCTION("IF(IF(L$1="""","""",REGEXMATCH(LOWER($E248),XLOOKUP(L$1,Metadata!$A$2:$A1000,Metadata!$B$2:$B1000))),L$1,"""")"),"")</f>
        <v/>
      </c>
      <c r="M248" s="34" t="str">
        <f>IFERROR(__xludf.DUMMYFUNCTION("IF(IF(M$1="""","""",REGEXMATCH(LOWER($E248),XLOOKUP(M$1,Metadata!$A$2:$A1000,Metadata!$B$2:$B1000))),M$1,"""")"),"")</f>
        <v/>
      </c>
      <c r="N248" s="34" t="str">
        <f>IFERROR(__xludf.DUMMYFUNCTION("IF(IF(N$1="""","""",REGEXMATCH(LOWER($E248),XLOOKUP(N$1,Metadata!$A$2:$A1000,Metadata!$B$2:$B1000))),N$1,"""")"),"")</f>
        <v/>
      </c>
      <c r="O248" s="34" t="str">
        <f>IFERROR(__xludf.DUMMYFUNCTION("IF(IF(O$1="""","""",REGEXMATCH(LOWER($E248),XLOOKUP(O$1,Metadata!$A$2:$A1000,Metadata!$B$2:$B1000))),O$1,"""")"),"")</f>
        <v/>
      </c>
      <c r="P248" s="34" t="str">
        <f>IFERROR(__xludf.DUMMYFUNCTION("IF(IF(P$1="""","""",REGEXMATCH(LOWER($E248),XLOOKUP(P$1,Metadata!$A$2:$A1000,Metadata!$B$2:$B1000))),P$1,"""")"),"")</f>
        <v/>
      </c>
      <c r="Q248" s="34" t="str">
        <f>IFERROR(__xludf.DUMMYFUNCTION("IF(IF(Q$1="""","""",REGEXMATCH(LOWER($E248),XLOOKUP(Q$1,Metadata!$A$2:$A1000,Metadata!$B$2:$B1000))),Q$1,"""")"),"")</f>
        <v/>
      </c>
      <c r="R248" s="34" t="str">
        <f>IFERROR(__xludf.DUMMYFUNCTION("IF(IF(R$1="""","""",REGEXMATCH(LOWER($E248),XLOOKUP(R$1,Metadata!$A$2:$A1000,Metadata!$B$2:$B1000))),R$1,"""")"),"")</f>
        <v/>
      </c>
      <c r="S248" s="34" t="str">
        <f>IFERROR(__xludf.DUMMYFUNCTION("IF(IF(S$1="""","""",REGEXMATCH(LOWER($E248),XLOOKUP(S$1,Metadata!$A$2:$A1000,Metadata!$B$2:$B1000))),S$1,"""")"),"")</f>
        <v/>
      </c>
      <c r="T248" s="34" t="str">
        <f>IFERROR(__xludf.DUMMYFUNCTION("IF(IF(T$1="""","""",REGEXMATCH(LOWER($E248),XLOOKUP(T$1,Metadata!$A$2:$A1000,Metadata!$B$2:$B1000))),T$1,"""")"),"")</f>
        <v/>
      </c>
      <c r="U248" s="34" t="str">
        <f>IFERROR(__xludf.DUMMYFUNCTION("IF(IF(U$1="""","""",REGEXMATCH(LOWER($E248),XLOOKUP(U$1,Metadata!$A$2:$A1000,Metadata!$B$2:$B1000))),U$1,"""")"),"")</f>
        <v/>
      </c>
      <c r="V248" s="34" t="str">
        <f>IFERROR(__xludf.DUMMYFUNCTION("IF(IF(V$1="""","""",REGEXMATCH(LOWER($E248),XLOOKUP(V$1,Metadata!$A$2:$A1000,Metadata!$B$2:$B1000))),V$1,"""")"),"")</f>
        <v/>
      </c>
      <c r="W248" s="34" t="str">
        <f>IFERROR(__xludf.DUMMYFUNCTION("IF(IF(W$1="""","""",REGEXMATCH(LOWER($E248),XLOOKUP(W$1,Metadata!$A$2:$A1000,Metadata!$B$2:$B1000))),W$1,"""")"),"")</f>
        <v/>
      </c>
      <c r="X248" s="34" t="str">
        <f>IFERROR(__xludf.DUMMYFUNCTION("IF(IF(X$1="""","""",REGEXMATCH(LOWER($E248),XLOOKUP(X$1,Metadata!$A$2:$A1000,Metadata!$B$2:$B1000))),X$1,"""")"),"")</f>
        <v/>
      </c>
      <c r="Y248" s="34" t="str">
        <f>IFERROR(__xludf.DUMMYFUNCTION("IF(IF(Y$1="""","""",REGEXMATCH(LOWER($E248),XLOOKUP(Y$1,Metadata!$A$2:$A1000,Metadata!$B$2:$B1000))),Y$1,"""")"),"")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I249">XLOOKUP($A249,Cards!$A$2:$A1000,Cards!$B$2:$I1000,"")</f>
        <v>Mortal Nature</v>
      </c>
      <c r="C249" s="34">
        <v>1.0</v>
      </c>
      <c r="D249" s="34" t="s">
        <v>1656</v>
      </c>
      <c r="E249" s="34"/>
      <c r="F249" s="34" t="s">
        <v>1657</v>
      </c>
      <c r="G249" s="34">
        <v>2.0</v>
      </c>
      <c r="H249" s="34" t="s">
        <v>1658</v>
      </c>
      <c r="I249" s="34" t="s">
        <v>26</v>
      </c>
      <c r="J249" s="34">
        <f>IFERROR(__xludf.DUMMYFUNCTION("LEN(REGEXREPLACE(XLOOKUP($A249,Cards!$A$2:$A1000,Cards!$H$2:$H1000,""""),"",\s"",""""))"),2.0)</f>
        <v>2</v>
      </c>
      <c r="K249" s="34" t="str">
        <f t="shared" si="1"/>
        <v>               </v>
      </c>
      <c r="L249" s="34" t="str">
        <f>IFERROR(__xludf.DUMMYFUNCTION("IF(IF(L$1="""","""",REGEXMATCH(LOWER($E249),XLOOKUP(L$1,Metadata!$A$2:$A1000,Metadata!$B$2:$B1000))),L$1,"""")"),"")</f>
        <v/>
      </c>
      <c r="M249" s="34" t="str">
        <f>IFERROR(__xludf.DUMMYFUNCTION("IF(IF(M$1="""","""",REGEXMATCH(LOWER($E249),XLOOKUP(M$1,Metadata!$A$2:$A1000,Metadata!$B$2:$B1000))),M$1,"""")"),"")</f>
        <v/>
      </c>
      <c r="N249" s="34" t="str">
        <f>IFERROR(__xludf.DUMMYFUNCTION("IF(IF(N$1="""","""",REGEXMATCH(LOWER($E249),XLOOKUP(N$1,Metadata!$A$2:$A1000,Metadata!$B$2:$B1000))),N$1,"""")"),"")</f>
        <v/>
      </c>
      <c r="O249" s="34" t="str">
        <f>IFERROR(__xludf.DUMMYFUNCTION("IF(IF(O$1="""","""",REGEXMATCH(LOWER($E249),XLOOKUP(O$1,Metadata!$A$2:$A1000,Metadata!$B$2:$B1000))),O$1,"""")"),"")</f>
        <v/>
      </c>
      <c r="P249" s="34" t="str">
        <f>IFERROR(__xludf.DUMMYFUNCTION("IF(IF(P$1="""","""",REGEXMATCH(LOWER($E249),XLOOKUP(P$1,Metadata!$A$2:$A1000,Metadata!$B$2:$B1000))),P$1,"""")"),"")</f>
        <v/>
      </c>
      <c r="Q249" s="34" t="str">
        <f>IFERROR(__xludf.DUMMYFUNCTION("IF(IF(Q$1="""","""",REGEXMATCH(LOWER($E249),XLOOKUP(Q$1,Metadata!$A$2:$A1000,Metadata!$B$2:$B1000))),Q$1,"""")"),"")</f>
        <v/>
      </c>
      <c r="R249" s="34" t="str">
        <f>IFERROR(__xludf.DUMMYFUNCTION("IF(IF(R$1="""","""",REGEXMATCH(LOWER($E249),XLOOKUP(R$1,Metadata!$A$2:$A1000,Metadata!$B$2:$B1000))),R$1,"""")"),"")</f>
        <v/>
      </c>
      <c r="S249" s="34" t="str">
        <f>IFERROR(__xludf.DUMMYFUNCTION("IF(IF(S$1="""","""",REGEXMATCH(LOWER($E249),XLOOKUP(S$1,Metadata!$A$2:$A1000,Metadata!$B$2:$B1000))),S$1,"""")"),"")</f>
        <v/>
      </c>
      <c r="T249" s="34" t="str">
        <f>IFERROR(__xludf.DUMMYFUNCTION("IF(IF(T$1="""","""",REGEXMATCH(LOWER($E249),XLOOKUP(T$1,Metadata!$A$2:$A1000,Metadata!$B$2:$B1000))),T$1,"""")"),"")</f>
        <v/>
      </c>
      <c r="U249" s="34" t="str">
        <f>IFERROR(__xludf.DUMMYFUNCTION("IF(IF(U$1="""","""",REGEXMATCH(LOWER($E249),XLOOKUP(U$1,Metadata!$A$2:$A1000,Metadata!$B$2:$B1000))),U$1,"""")"),"")</f>
        <v/>
      </c>
      <c r="V249" s="34" t="str">
        <f>IFERROR(__xludf.DUMMYFUNCTION("IF(IF(V$1="""","""",REGEXMATCH(LOWER($E249),XLOOKUP(V$1,Metadata!$A$2:$A1000,Metadata!$B$2:$B1000))),V$1,"""")"),"")</f>
        <v/>
      </c>
      <c r="W249" s="34" t="str">
        <f>IFERROR(__xludf.DUMMYFUNCTION("IF(IF(W$1="""","""",REGEXMATCH(LOWER($E249),XLOOKUP(W$1,Metadata!$A$2:$A1000,Metadata!$B$2:$B1000))),W$1,"""")"),"")</f>
        <v/>
      </c>
      <c r="X249" s="34" t="str">
        <f>IFERROR(__xludf.DUMMYFUNCTION("IF(IF(X$1="""","""",REGEXMATCH(LOWER($E249),XLOOKUP(X$1,Metadata!$A$2:$A1000,Metadata!$B$2:$B1000))),X$1,"""")"),"")</f>
        <v/>
      </c>
      <c r="Y249" s="34" t="str">
        <f>IFERROR(__xludf.DUMMYFUNCTION("IF(IF(Y$1="""","""",REGEXMATCH(LOWER($E249),XLOOKUP(Y$1,Metadata!$A$2:$A1000,Metadata!$B$2:$B1000))),Y$1,"""")"),"")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I250">XLOOKUP($A250,Cards!$A$2:$A1000,Cards!$B$2:$I1000,"")</f>
        <v>Mortal Void</v>
      </c>
      <c r="C250" s="34">
        <v>1.0</v>
      </c>
      <c r="D250" s="34" t="s">
        <v>1660</v>
      </c>
      <c r="E250" s="34" t="s">
        <v>1661</v>
      </c>
      <c r="F250" s="34" t="s">
        <v>1662</v>
      </c>
      <c r="G250" s="34">
        <v>1.0</v>
      </c>
      <c r="H250" s="34" t="s">
        <v>1663</v>
      </c>
      <c r="I250" s="34" t="s">
        <v>70</v>
      </c>
      <c r="J250" s="34">
        <f>IFERROR(__xludf.DUMMYFUNCTION("LEN(REGEXREPLACE(XLOOKUP($A250,Cards!$A$2:$A1000,Cards!$H$2:$H1000,""""),"",\s"",""""))"),4.0)</f>
        <v>4</v>
      </c>
      <c r="K250" s="34" t="str">
        <f t="shared" si="1"/>
        <v>  Mortal     Control   Empty-Crystal  Ambush   </v>
      </c>
      <c r="L250" s="34" t="str">
        <f>IFERROR(__xludf.DUMMYFUNCTION("IF(IF(L$1="""","""",REGEXMATCH(LOWER($E250),XLOOKUP(L$1,Metadata!$A$2:$A1000,Metadata!$B$2:$B1000))),L$1,"""")"),"")</f>
        <v/>
      </c>
      <c r="M250" s="34" t="str">
        <f>IFERROR(__xludf.DUMMYFUNCTION("IF(IF(M$1="""","""",REGEXMATCH(LOWER($E250),XLOOKUP(M$1,Metadata!$A$2:$A1000,Metadata!$B$2:$B1000))),M$1,"""")"),"")</f>
        <v/>
      </c>
      <c r="N250" s="34" t="str">
        <f>IFERROR(__xludf.DUMMYFUNCTION("IF(IF(N$1="""","""",REGEXMATCH(LOWER($E250),XLOOKUP(N$1,Metadata!$A$2:$A1000,Metadata!$B$2:$B1000))),N$1,"""")"),"Mortal")</f>
        <v>Mortal</v>
      </c>
      <c r="O250" s="34" t="str">
        <f>IFERROR(__xludf.DUMMYFUNCTION("IF(IF(O$1="""","""",REGEXMATCH(LOWER($E250),XLOOKUP(O$1,Metadata!$A$2:$A1000,Metadata!$B$2:$B1000))),O$1,"""")"),"")</f>
        <v/>
      </c>
      <c r="P250" s="34" t="str">
        <f>IFERROR(__xludf.DUMMYFUNCTION("IF(IF(P$1="""","""",REGEXMATCH(LOWER($E250),XLOOKUP(P$1,Metadata!$A$2:$A1000,Metadata!$B$2:$B1000))),P$1,"""")"),"")</f>
        <v/>
      </c>
      <c r="Q250" s="34" t="str">
        <f>IFERROR(__xludf.DUMMYFUNCTION("IF(IF(Q$1="""","""",REGEXMATCH(LOWER($E250),XLOOKUP(Q$1,Metadata!$A$2:$A1000,Metadata!$B$2:$B1000))),Q$1,"""")"),"")</f>
        <v/>
      </c>
      <c r="R250" s="34" t="str">
        <f>IFERROR(__xludf.DUMMYFUNCTION("IF(IF(R$1="""","""",REGEXMATCH(LOWER($E250),XLOOKUP(R$1,Metadata!$A$2:$A1000,Metadata!$B$2:$B1000))),R$1,"""")"),"")</f>
        <v/>
      </c>
      <c r="S250" s="34" t="str">
        <f>IFERROR(__xludf.DUMMYFUNCTION("IF(IF(S$1="""","""",REGEXMATCH(LOWER($E250),XLOOKUP(S$1,Metadata!$A$2:$A1000,Metadata!$B$2:$B1000))),S$1,"""")"),"Control")</f>
        <v>Control</v>
      </c>
      <c r="T250" s="34" t="str">
        <f>IFERROR(__xludf.DUMMYFUNCTION("IF(IF(T$1="""","""",REGEXMATCH(LOWER($E250),XLOOKUP(T$1,Metadata!$A$2:$A1000,Metadata!$B$2:$B1000))),T$1,"""")"),"")</f>
        <v/>
      </c>
      <c r="U250" s="34" t="str">
        <f>IFERROR(__xludf.DUMMYFUNCTION("IF(IF(U$1="""","""",REGEXMATCH(LOWER($E250),XLOOKUP(U$1,Metadata!$A$2:$A1000,Metadata!$B$2:$B1000))),U$1,"""")"),"")</f>
        <v/>
      </c>
      <c r="V250" s="34" t="str">
        <f>IFERROR(__xludf.DUMMYFUNCTION("IF(IF(V$1="""","""",REGEXMATCH(LOWER($E250),XLOOKUP(V$1,Metadata!$A$2:$A1000,Metadata!$B$2:$B1000))),V$1,"""")"),"Empty-Crystal")</f>
        <v>Empty-Crystal</v>
      </c>
      <c r="W250" s="34" t="str">
        <f>IFERROR(__xludf.DUMMYFUNCTION("IF(IF(W$1="""","""",REGEXMATCH(LOWER($E250),XLOOKUP(W$1,Metadata!$A$2:$A1000,Metadata!$B$2:$B1000))),W$1,"""")"),"")</f>
        <v/>
      </c>
      <c r="X250" s="34" t="str">
        <f>IFERROR(__xludf.DUMMYFUNCTION("IF(IF(X$1="""","""",REGEXMATCH(LOWER($E250),XLOOKUP(X$1,Metadata!$A$2:$A1000,Metadata!$B$2:$B1000))),X$1,"""")"),"Ambush")</f>
        <v>Ambush</v>
      </c>
      <c r="Y250" s="34" t="str">
        <f>IFERROR(__xludf.DUMMYFUNCTION("IF(IF(Y$1="""","""",REGEXMATCH(LOWER($E250),XLOOKUP(Y$1,Metadata!$A$2:$A1000,Metadata!$B$2:$B1000))),Y$1,"""")"),"")</f>
        <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I251">XLOOKUP($A251,Cards!$A$2:$A1000,Cards!$B$2:$I1000,"")</f>
        <v>Nature</v>
      </c>
      <c r="C251" s="34">
        <v>2.0</v>
      </c>
      <c r="D251" s="34" t="s">
        <v>1665</v>
      </c>
      <c r="E251" s="34" t="s">
        <v>1666</v>
      </c>
      <c r="F251" s="34" t="s">
        <v>943</v>
      </c>
      <c r="G251" s="34">
        <v>4.0</v>
      </c>
      <c r="H251" s="34" t="s">
        <v>1667</v>
      </c>
      <c r="I251" s="34" t="s">
        <v>26</v>
      </c>
      <c r="J251" s="34">
        <f>IFERROR(__xludf.DUMMYFUNCTION("LEN(REGEXREPLACE(XLOOKUP($A251,Cards!$A$2:$A1000,Cards!$H$2:$H1000,""""),"",\s"",""""))"),5.0)</f>
        <v>5</v>
      </c>
      <c r="K251" s="34" t="str">
        <f t="shared" si="1"/>
        <v>               </v>
      </c>
      <c r="L251" s="34" t="str">
        <f>IFERROR(__xludf.DUMMYFUNCTION("IF(IF(L$1="""","""",REGEXMATCH(LOWER($E251),XLOOKUP(L$1,Metadata!$A$2:$A1000,Metadata!$B$2:$B1000))),L$1,"""")"),"")</f>
        <v/>
      </c>
      <c r="M251" s="34" t="str">
        <f>IFERROR(__xludf.DUMMYFUNCTION("IF(IF(M$1="""","""",REGEXMATCH(LOWER($E251),XLOOKUP(M$1,Metadata!$A$2:$A1000,Metadata!$B$2:$B1000))),M$1,"""")"),"")</f>
        <v/>
      </c>
      <c r="N251" s="34" t="str">
        <f>IFERROR(__xludf.DUMMYFUNCTION("IF(IF(N$1="""","""",REGEXMATCH(LOWER($E251),XLOOKUP(N$1,Metadata!$A$2:$A1000,Metadata!$B$2:$B1000))),N$1,"""")"),"")</f>
        <v/>
      </c>
      <c r="O251" s="34" t="str">
        <f>IFERROR(__xludf.DUMMYFUNCTION("IF(IF(O$1="""","""",REGEXMATCH(LOWER($E251),XLOOKUP(O$1,Metadata!$A$2:$A1000,Metadata!$B$2:$B1000))),O$1,"""")"),"")</f>
        <v/>
      </c>
      <c r="P251" s="34" t="str">
        <f>IFERROR(__xludf.DUMMYFUNCTION("IF(IF(P$1="""","""",REGEXMATCH(LOWER($E251),XLOOKUP(P$1,Metadata!$A$2:$A1000,Metadata!$B$2:$B1000))),P$1,"""")"),"")</f>
        <v/>
      </c>
      <c r="Q251" s="34" t="str">
        <f>IFERROR(__xludf.DUMMYFUNCTION("IF(IF(Q$1="""","""",REGEXMATCH(LOWER($E251),XLOOKUP(Q$1,Metadata!$A$2:$A1000,Metadata!$B$2:$B1000))),Q$1,"""")"),"")</f>
        <v/>
      </c>
      <c r="R251" s="34" t="str">
        <f>IFERROR(__xludf.DUMMYFUNCTION("IF(IF(R$1="""","""",REGEXMATCH(LOWER($E251),XLOOKUP(R$1,Metadata!$A$2:$A1000,Metadata!$B$2:$B1000))),R$1,"""")"),"")</f>
        <v/>
      </c>
      <c r="S251" s="34" t="str">
        <f>IFERROR(__xludf.DUMMYFUNCTION("IF(IF(S$1="""","""",REGEXMATCH(LOWER($E251),XLOOKUP(S$1,Metadata!$A$2:$A1000,Metadata!$B$2:$B1000))),S$1,"""")"),"")</f>
        <v/>
      </c>
      <c r="T251" s="34" t="str">
        <f>IFERROR(__xludf.DUMMYFUNCTION("IF(IF(T$1="""","""",REGEXMATCH(LOWER($E251),XLOOKUP(T$1,Metadata!$A$2:$A1000,Metadata!$B$2:$B1000))),T$1,"""")"),"")</f>
        <v/>
      </c>
      <c r="U251" s="34" t="str">
        <f>IFERROR(__xludf.DUMMYFUNCTION("IF(IF(U$1="""","""",REGEXMATCH(LOWER($E251),XLOOKUP(U$1,Metadata!$A$2:$A1000,Metadata!$B$2:$B1000))),U$1,"""")"),"")</f>
        <v/>
      </c>
      <c r="V251" s="34" t="str">
        <f>IFERROR(__xludf.DUMMYFUNCTION("IF(IF(V$1="""","""",REGEXMATCH(LOWER($E251),XLOOKUP(V$1,Metadata!$A$2:$A1000,Metadata!$B$2:$B1000))),V$1,"""")"),"")</f>
        <v/>
      </c>
      <c r="W251" s="34" t="str">
        <f>IFERROR(__xludf.DUMMYFUNCTION("IF(IF(W$1="""","""",REGEXMATCH(LOWER($E251),XLOOKUP(W$1,Metadata!$A$2:$A1000,Metadata!$B$2:$B1000))),W$1,"""")"),"")</f>
        <v/>
      </c>
      <c r="X251" s="34" t="str">
        <f>IFERROR(__xludf.DUMMYFUNCTION("IF(IF(X$1="""","""",REGEXMATCH(LOWER($E251),XLOOKUP(X$1,Metadata!$A$2:$A1000,Metadata!$B$2:$B1000))),X$1,"""")"),"")</f>
        <v/>
      </c>
      <c r="Y251" s="34" t="str">
        <f>IFERROR(__xludf.DUMMYFUNCTION("IF(IF(Y$1="""","""",REGEXMATCH(LOWER($E251),XLOOKUP(Y$1,Metadata!$A$2:$A1000,Metadata!$B$2:$B1000))),Y$1,"""")"),"")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I252">XLOOKUP($A252,Cards!$A$2:$A1000,Cards!$B$2:$I1000,"")</f>
        <v>Nature</v>
      </c>
      <c r="C252" s="34">
        <v>0.0</v>
      </c>
      <c r="D252" s="34" t="s">
        <v>1524</v>
      </c>
      <c r="E252" s="34" t="s">
        <v>1669</v>
      </c>
      <c r="F252" s="34" t="s">
        <v>1670</v>
      </c>
      <c r="G252" s="34">
        <v>5.0</v>
      </c>
      <c r="H252" s="34" t="s">
        <v>1667</v>
      </c>
      <c r="I252" s="34" t="s">
        <v>26</v>
      </c>
      <c r="J252" s="34">
        <f>IFERROR(__xludf.DUMMYFUNCTION("LEN(REGEXREPLACE(XLOOKUP($A252,Cards!$A$2:$A1000,Cards!$H$2:$H1000,""""),"",\s"",""""))"),5.0)</f>
        <v>5</v>
      </c>
      <c r="K252" s="34" t="str">
        <f t="shared" si="1"/>
        <v>      Ramp         </v>
      </c>
      <c r="L252" s="34" t="str">
        <f>IFERROR(__xludf.DUMMYFUNCTION("IF(IF(L$1="""","""",REGEXMATCH(LOWER($E252),XLOOKUP(L$1,Metadata!$A$2:$A1000,Metadata!$B$2:$B1000))),L$1,"""")"),"")</f>
        <v/>
      </c>
      <c r="M252" s="34" t="str">
        <f>IFERROR(__xludf.DUMMYFUNCTION("IF(IF(M$1="""","""",REGEXMATCH(LOWER($E252),XLOOKUP(M$1,Metadata!$A$2:$A1000,Metadata!$B$2:$B1000))),M$1,"""")"),"")</f>
        <v/>
      </c>
      <c r="N252" s="34" t="str">
        <f>IFERROR(__xludf.DUMMYFUNCTION("IF(IF(N$1="""","""",REGEXMATCH(LOWER($E252),XLOOKUP(N$1,Metadata!$A$2:$A1000,Metadata!$B$2:$B1000))),N$1,"""")"),"")</f>
        <v/>
      </c>
      <c r="O252" s="34" t="str">
        <f>IFERROR(__xludf.DUMMYFUNCTION("IF(IF(O$1="""","""",REGEXMATCH(LOWER($E252),XLOOKUP(O$1,Metadata!$A$2:$A1000,Metadata!$B$2:$B1000))),O$1,"""")"),"")</f>
        <v/>
      </c>
      <c r="P252" s="34" t="str">
        <f>IFERROR(__xludf.DUMMYFUNCTION("IF(IF(P$1="""","""",REGEXMATCH(LOWER($E252),XLOOKUP(P$1,Metadata!$A$2:$A1000,Metadata!$B$2:$B1000))),P$1,"""")"),"")</f>
        <v/>
      </c>
      <c r="Q252" s="34" t="str">
        <f>IFERROR(__xludf.DUMMYFUNCTION("IF(IF(Q$1="""","""",REGEXMATCH(LOWER($E252),XLOOKUP(Q$1,Metadata!$A$2:$A1000,Metadata!$B$2:$B1000))),Q$1,"""")"),"")</f>
        <v/>
      </c>
      <c r="R252" s="34" t="str">
        <f>IFERROR(__xludf.DUMMYFUNCTION("IF(IF(R$1="""","""",REGEXMATCH(LOWER($E252),XLOOKUP(R$1,Metadata!$A$2:$A1000,Metadata!$B$2:$B1000))),R$1,"""")"),"Ramp")</f>
        <v>Ramp</v>
      </c>
      <c r="S252" s="34" t="str">
        <f>IFERROR(__xludf.DUMMYFUNCTION("IF(IF(S$1="""","""",REGEXMATCH(LOWER($E252),XLOOKUP(S$1,Metadata!$A$2:$A1000,Metadata!$B$2:$B1000))),S$1,"""")"),"")</f>
        <v/>
      </c>
      <c r="T252" s="34" t="str">
        <f>IFERROR(__xludf.DUMMYFUNCTION("IF(IF(T$1="""","""",REGEXMATCH(LOWER($E252),XLOOKUP(T$1,Metadata!$A$2:$A1000,Metadata!$B$2:$B1000))),T$1,"""")"),"")</f>
        <v/>
      </c>
      <c r="U252" s="34" t="str">
        <f>IFERROR(__xludf.DUMMYFUNCTION("IF(IF(U$1="""","""",REGEXMATCH(LOWER($E252),XLOOKUP(U$1,Metadata!$A$2:$A1000,Metadata!$B$2:$B1000))),U$1,"""")"),"")</f>
        <v/>
      </c>
      <c r="V252" s="34" t="str">
        <f>IFERROR(__xludf.DUMMYFUNCTION("IF(IF(V$1="""","""",REGEXMATCH(LOWER($E252),XLOOKUP(V$1,Metadata!$A$2:$A1000,Metadata!$B$2:$B1000))),V$1,"""")"),"")</f>
        <v/>
      </c>
      <c r="W252" s="34" t="str">
        <f>IFERROR(__xludf.DUMMYFUNCTION("IF(IF(W$1="""","""",REGEXMATCH(LOWER($E252),XLOOKUP(W$1,Metadata!$A$2:$A1000,Metadata!$B$2:$B1000))),W$1,"""")"),"")</f>
        <v/>
      </c>
      <c r="X252" s="34" t="str">
        <f>IFERROR(__xludf.DUMMYFUNCTION("IF(IF(X$1="""","""",REGEXMATCH(LOWER($E252),XLOOKUP(X$1,Metadata!$A$2:$A1000,Metadata!$B$2:$B1000))),X$1,"""")"),"")</f>
        <v/>
      </c>
      <c r="Y252" s="34" t="str">
        <f>IFERROR(__xludf.DUMMYFUNCTION("IF(IF(Y$1="""","""",REGEXMATCH(LOWER($E252),XLOOKUP(Y$1,Metadata!$A$2:$A1000,Metadata!$B$2:$B1000))),Y$1,"""")"),"")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I253">XLOOKUP($A253,Cards!$A$2:$A1000,Cards!$B$2:$I1000,"")</f>
        <v>Nature</v>
      </c>
      <c r="C253" s="34">
        <v>2.0</v>
      </c>
      <c r="D253" s="34" t="s">
        <v>661</v>
      </c>
      <c r="E253" s="34" t="s">
        <v>1672</v>
      </c>
      <c r="F253" s="34" t="s">
        <v>1673</v>
      </c>
      <c r="G253" s="34">
        <v>1.0</v>
      </c>
      <c r="H253" s="34" t="s">
        <v>1530</v>
      </c>
      <c r="I253" s="34" t="s">
        <v>70</v>
      </c>
      <c r="J253" s="34">
        <f>IFERROR(__xludf.DUMMYFUNCTION("LEN(REGEXREPLACE(XLOOKUP($A253,Cards!$A$2:$A1000,Cards!$H$2:$H1000,""""),"",\s"",""""))"),3.0)</f>
        <v>3</v>
      </c>
      <c r="K253" s="34" t="str">
        <f t="shared" si="1"/>
        <v>   Nature            </v>
      </c>
      <c r="L253" s="34" t="str">
        <f>IFERROR(__xludf.DUMMYFUNCTION("IF(IF(L$1="""","""",REGEXMATCH(LOWER($E253),XLOOKUP(L$1,Metadata!$A$2:$A1000,Metadata!$B$2:$B1000))),L$1,"""")"),"")</f>
        <v/>
      </c>
      <c r="M253" s="34" t="str">
        <f>IFERROR(__xludf.DUMMYFUNCTION("IF(IF(M$1="""","""",REGEXMATCH(LOWER($E253),XLOOKUP(M$1,Metadata!$A$2:$A1000,Metadata!$B$2:$B1000))),M$1,"""")"),"")</f>
        <v/>
      </c>
      <c r="N253" s="34" t="str">
        <f>IFERROR(__xludf.DUMMYFUNCTION("IF(IF(N$1="""","""",REGEXMATCH(LOWER($E253),XLOOKUP(N$1,Metadata!$A$2:$A1000,Metadata!$B$2:$B1000))),N$1,"""")"),"")</f>
        <v/>
      </c>
      <c r="O253" s="34" t="str">
        <f>IFERROR(__xludf.DUMMYFUNCTION("IF(IF(O$1="""","""",REGEXMATCH(LOWER($E253),XLOOKUP(O$1,Metadata!$A$2:$A1000,Metadata!$B$2:$B1000))),O$1,"""")"),"Nature")</f>
        <v>Nature</v>
      </c>
      <c r="P253" s="34" t="str">
        <f>IFERROR(__xludf.DUMMYFUNCTION("IF(IF(P$1="""","""",REGEXMATCH(LOWER($E253),XLOOKUP(P$1,Metadata!$A$2:$A1000,Metadata!$B$2:$B1000))),P$1,"""")"),"")</f>
        <v/>
      </c>
      <c r="Q253" s="34" t="str">
        <f>IFERROR(__xludf.DUMMYFUNCTION("IF(IF(Q$1="""","""",REGEXMATCH(LOWER($E253),XLOOKUP(Q$1,Metadata!$A$2:$A1000,Metadata!$B$2:$B1000))),Q$1,"""")"),"")</f>
        <v/>
      </c>
      <c r="R253" s="34" t="str">
        <f>IFERROR(__xludf.DUMMYFUNCTION("IF(IF(R$1="""","""",REGEXMATCH(LOWER($E253),XLOOKUP(R$1,Metadata!$A$2:$A1000,Metadata!$B$2:$B1000))),R$1,"""")"),"")</f>
        <v/>
      </c>
      <c r="S253" s="34" t="str">
        <f>IFERROR(__xludf.DUMMYFUNCTION("IF(IF(S$1="""","""",REGEXMATCH(LOWER($E253),XLOOKUP(S$1,Metadata!$A$2:$A1000,Metadata!$B$2:$B1000))),S$1,"""")"),"")</f>
        <v/>
      </c>
      <c r="T253" s="34" t="str">
        <f>IFERROR(__xludf.DUMMYFUNCTION("IF(IF(T$1="""","""",REGEXMATCH(LOWER($E253),XLOOKUP(T$1,Metadata!$A$2:$A1000,Metadata!$B$2:$B1000))),T$1,"""")"),"")</f>
        <v/>
      </c>
      <c r="U253" s="34" t="str">
        <f>IFERROR(__xludf.DUMMYFUNCTION("IF(IF(U$1="""","""",REGEXMATCH(LOWER($E253),XLOOKUP(U$1,Metadata!$A$2:$A1000,Metadata!$B$2:$B1000))),U$1,"""")"),"")</f>
        <v/>
      </c>
      <c r="V253" s="34" t="str">
        <f>IFERROR(__xludf.DUMMYFUNCTION("IF(IF(V$1="""","""",REGEXMATCH(LOWER($E253),XLOOKUP(V$1,Metadata!$A$2:$A1000,Metadata!$B$2:$B1000))),V$1,"""")"),"")</f>
        <v/>
      </c>
      <c r="W253" s="34" t="str">
        <f>IFERROR(__xludf.DUMMYFUNCTION("IF(IF(W$1="""","""",REGEXMATCH(LOWER($E253),XLOOKUP(W$1,Metadata!$A$2:$A1000,Metadata!$B$2:$B1000))),W$1,"""")"),"")</f>
        <v/>
      </c>
      <c r="X253" s="34" t="str">
        <f>IFERROR(__xludf.DUMMYFUNCTION("IF(IF(X$1="""","""",REGEXMATCH(LOWER($E253),XLOOKUP(X$1,Metadata!$A$2:$A1000,Metadata!$B$2:$B1000))),X$1,"""")"),"")</f>
        <v/>
      </c>
      <c r="Y253" s="34" t="str">
        <f>IFERROR(__xludf.DUMMYFUNCTION("IF(IF(Y$1="""","""",REGEXMATCH(LOWER($E253),XLOOKUP(Y$1,Metadata!$A$2:$A1000,Metadata!$B$2:$B1000))),Y$1,"""")"),"")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I254">XLOOKUP($A254,Cards!$A$2:$A1000,Cards!$B$2:$I1000,"")</f>
        <v>Mortal Void</v>
      </c>
      <c r="C254" s="34">
        <v>1.0</v>
      </c>
      <c r="D254" s="34" t="s">
        <v>1446</v>
      </c>
      <c r="E254" s="34" t="s">
        <v>1675</v>
      </c>
      <c r="F254" s="34" t="s">
        <v>1676</v>
      </c>
      <c r="G254" s="34">
        <v>2.0</v>
      </c>
      <c r="H254" s="34" t="s">
        <v>1677</v>
      </c>
      <c r="I254" s="34" t="s">
        <v>32</v>
      </c>
      <c r="J254" s="34">
        <f>IFERROR(__xludf.DUMMYFUNCTION("LEN(REGEXREPLACE(XLOOKUP($A254,Cards!$A$2:$A1000,Cards!$H$2:$H1000,""""),"",\s"",""""))"),5.0)</f>
        <v>5</v>
      </c>
      <c r="K254" s="34" t="str">
        <f t="shared" si="1"/>
        <v>         Aggro      </v>
      </c>
      <c r="L254" s="34" t="str">
        <f>IFERROR(__xludf.DUMMYFUNCTION("IF(IF(L$1="""","""",REGEXMATCH(LOWER($E254),XLOOKUP(L$1,Metadata!$A$2:$A1000,Metadata!$B$2:$B1000))),L$1,"""")"),"")</f>
        <v/>
      </c>
      <c r="M254" s="34" t="str">
        <f>IFERROR(__xludf.DUMMYFUNCTION("IF(IF(M$1="""","""",REGEXMATCH(LOWER($E254),XLOOKUP(M$1,Metadata!$A$2:$A1000,Metadata!$B$2:$B1000))),M$1,"""")"),"")</f>
        <v/>
      </c>
      <c r="N254" s="34" t="str">
        <f>IFERROR(__xludf.DUMMYFUNCTION("IF(IF(N$1="""","""",REGEXMATCH(LOWER($E254),XLOOKUP(N$1,Metadata!$A$2:$A1000,Metadata!$B$2:$B1000))),N$1,"""")"),"")</f>
        <v/>
      </c>
      <c r="O254" s="34" t="str">
        <f>IFERROR(__xludf.DUMMYFUNCTION("IF(IF(O$1="""","""",REGEXMATCH(LOWER($E254),XLOOKUP(O$1,Metadata!$A$2:$A1000,Metadata!$B$2:$B1000))),O$1,"""")"),"")</f>
        <v/>
      </c>
      <c r="P254" s="34" t="str">
        <f>IFERROR(__xludf.DUMMYFUNCTION("IF(IF(P$1="""","""",REGEXMATCH(LOWER($E254),XLOOKUP(P$1,Metadata!$A$2:$A1000,Metadata!$B$2:$B1000))),P$1,"""")"),"")</f>
        <v/>
      </c>
      <c r="Q254" s="34" t="str">
        <f>IFERROR(__xludf.DUMMYFUNCTION("IF(IF(Q$1="""","""",REGEXMATCH(LOWER($E254),XLOOKUP(Q$1,Metadata!$A$2:$A1000,Metadata!$B$2:$B1000))),Q$1,"""")"),"")</f>
        <v/>
      </c>
      <c r="R254" s="34" t="str">
        <f>IFERROR(__xludf.DUMMYFUNCTION("IF(IF(R$1="""","""",REGEXMATCH(LOWER($E254),XLOOKUP(R$1,Metadata!$A$2:$A1000,Metadata!$B$2:$B1000))),R$1,"""")"),"")</f>
        <v/>
      </c>
      <c r="S254" s="34" t="str">
        <f>IFERROR(__xludf.DUMMYFUNCTION("IF(IF(S$1="""","""",REGEXMATCH(LOWER($E254),XLOOKUP(S$1,Metadata!$A$2:$A1000,Metadata!$B$2:$B1000))),S$1,"""")"),"")</f>
        <v/>
      </c>
      <c r="T254" s="34" t="str">
        <f>IFERROR(__xludf.DUMMYFUNCTION("IF(IF(T$1="""","""",REGEXMATCH(LOWER($E254),XLOOKUP(T$1,Metadata!$A$2:$A1000,Metadata!$B$2:$B1000))),T$1,"""")"),"")</f>
        <v/>
      </c>
      <c r="U254" s="34" t="str">
        <f>IFERROR(__xludf.DUMMYFUNCTION("IF(IF(U$1="""","""",REGEXMATCH(LOWER($E254),XLOOKUP(U$1,Metadata!$A$2:$A1000,Metadata!$B$2:$B1000))),U$1,"""")"),"Aggro")</f>
        <v>Aggro</v>
      </c>
      <c r="V254" s="34" t="str">
        <f>IFERROR(__xludf.DUMMYFUNCTION("IF(IF(V$1="""","""",REGEXMATCH(LOWER($E254),XLOOKUP(V$1,Metadata!$A$2:$A1000,Metadata!$B$2:$B1000))),V$1,"""")"),"")</f>
        <v/>
      </c>
      <c r="W254" s="34" t="str">
        <f>IFERROR(__xludf.DUMMYFUNCTION("IF(IF(W$1="""","""",REGEXMATCH(LOWER($E254),XLOOKUP(W$1,Metadata!$A$2:$A1000,Metadata!$B$2:$B1000))),W$1,"""")"),"")</f>
        <v/>
      </c>
      <c r="X254" s="34" t="str">
        <f>IFERROR(__xludf.DUMMYFUNCTION("IF(IF(X$1="""","""",REGEXMATCH(LOWER($E254),XLOOKUP(X$1,Metadata!$A$2:$A1000,Metadata!$B$2:$B1000))),X$1,"""")"),"")</f>
        <v/>
      </c>
      <c r="Y254" s="34" t="str">
        <f>IFERROR(__xludf.DUMMYFUNCTION("IF(IF(Y$1="""","""",REGEXMATCH(LOWER($E254),XLOOKUP(Y$1,Metadata!$A$2:$A1000,Metadata!$B$2:$B1000))),Y$1,"""")"),"")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I255">XLOOKUP($A255,Cards!$A$2:$A1000,Cards!$B$2:$I1000,"")</f>
        <v>Nature</v>
      </c>
      <c r="C255" s="34">
        <v>2.0</v>
      </c>
      <c r="D255" s="34" t="s">
        <v>1679</v>
      </c>
      <c r="E255" s="34" t="s">
        <v>1680</v>
      </c>
      <c r="F255" s="34" t="s">
        <v>1681</v>
      </c>
      <c r="G255" s="34">
        <v>4.0</v>
      </c>
      <c r="H255" s="34" t="s">
        <v>1535</v>
      </c>
      <c r="I255" s="34" t="s">
        <v>70</v>
      </c>
      <c r="J255" s="34">
        <f>IFERROR(__xludf.DUMMYFUNCTION("LEN(REGEXREPLACE(XLOOKUP($A255,Cards!$A$2:$A1000,Cards!$H$2:$H1000,""""),"",\s"",""""))"),6.0)</f>
        <v>6</v>
      </c>
      <c r="K255" s="34" t="str">
        <f t="shared" si="1"/>
        <v>   Nature            </v>
      </c>
      <c r="L255" s="34" t="str">
        <f>IFERROR(__xludf.DUMMYFUNCTION("IF(IF(L$1="""","""",REGEXMATCH(LOWER($E255),XLOOKUP(L$1,Metadata!$A$2:$A1000,Metadata!$B$2:$B1000))),L$1,"""")"),"")</f>
        <v/>
      </c>
      <c r="M255" s="34" t="str">
        <f>IFERROR(__xludf.DUMMYFUNCTION("IF(IF(M$1="""","""",REGEXMATCH(LOWER($E255),XLOOKUP(M$1,Metadata!$A$2:$A1000,Metadata!$B$2:$B1000))),M$1,"""")"),"")</f>
        <v/>
      </c>
      <c r="N255" s="34" t="str">
        <f>IFERROR(__xludf.DUMMYFUNCTION("IF(IF(N$1="""","""",REGEXMATCH(LOWER($E255),XLOOKUP(N$1,Metadata!$A$2:$A1000,Metadata!$B$2:$B1000))),N$1,"""")"),"")</f>
        <v/>
      </c>
      <c r="O255" s="34" t="str">
        <f>IFERROR(__xludf.DUMMYFUNCTION("IF(IF(O$1="""","""",REGEXMATCH(LOWER($E255),XLOOKUP(O$1,Metadata!$A$2:$A1000,Metadata!$B$2:$B1000))),O$1,"""")"),"Nature")</f>
        <v>Nature</v>
      </c>
      <c r="P255" s="34" t="str">
        <f>IFERROR(__xludf.DUMMYFUNCTION("IF(IF(P$1="""","""",REGEXMATCH(LOWER($E255),XLOOKUP(P$1,Metadata!$A$2:$A1000,Metadata!$B$2:$B1000))),P$1,"""")"),"")</f>
        <v/>
      </c>
      <c r="Q255" s="34" t="str">
        <f>IFERROR(__xludf.DUMMYFUNCTION("IF(IF(Q$1="""","""",REGEXMATCH(LOWER($E255),XLOOKUP(Q$1,Metadata!$A$2:$A1000,Metadata!$B$2:$B1000))),Q$1,"""")"),"")</f>
        <v/>
      </c>
      <c r="R255" s="34" t="str">
        <f>IFERROR(__xludf.DUMMYFUNCTION("IF(IF(R$1="""","""",REGEXMATCH(LOWER($E255),XLOOKUP(R$1,Metadata!$A$2:$A1000,Metadata!$B$2:$B1000))),R$1,"""")"),"")</f>
        <v/>
      </c>
      <c r="S255" s="34" t="str">
        <f>IFERROR(__xludf.DUMMYFUNCTION("IF(IF(S$1="""","""",REGEXMATCH(LOWER($E255),XLOOKUP(S$1,Metadata!$A$2:$A1000,Metadata!$B$2:$B1000))),S$1,"""")"),"")</f>
        <v/>
      </c>
      <c r="T255" s="34" t="str">
        <f>IFERROR(__xludf.DUMMYFUNCTION("IF(IF(T$1="""","""",REGEXMATCH(LOWER($E255),XLOOKUP(T$1,Metadata!$A$2:$A1000,Metadata!$B$2:$B1000))),T$1,"""")"),"")</f>
        <v/>
      </c>
      <c r="U255" s="34" t="str">
        <f>IFERROR(__xludf.DUMMYFUNCTION("IF(IF(U$1="""","""",REGEXMATCH(LOWER($E255),XLOOKUP(U$1,Metadata!$A$2:$A1000,Metadata!$B$2:$B1000))),U$1,"""")"),"")</f>
        <v/>
      </c>
      <c r="V255" s="34" t="str">
        <f>IFERROR(__xludf.DUMMYFUNCTION("IF(IF(V$1="""","""",REGEXMATCH(LOWER($E255),XLOOKUP(V$1,Metadata!$A$2:$A1000,Metadata!$B$2:$B1000))),V$1,"""")"),"")</f>
        <v/>
      </c>
      <c r="W255" s="34" t="str">
        <f>IFERROR(__xludf.DUMMYFUNCTION("IF(IF(W$1="""","""",REGEXMATCH(LOWER($E255),XLOOKUP(W$1,Metadata!$A$2:$A1000,Metadata!$B$2:$B1000))),W$1,"""")"),"")</f>
        <v/>
      </c>
      <c r="X255" s="34" t="str">
        <f>IFERROR(__xludf.DUMMYFUNCTION("IF(IF(X$1="""","""",REGEXMATCH(LOWER($E255),XLOOKUP(X$1,Metadata!$A$2:$A1000,Metadata!$B$2:$B1000))),X$1,"""")"),"")</f>
        <v/>
      </c>
      <c r="Y255" s="34" t="str">
        <f>IFERROR(__xludf.DUMMYFUNCTION("IF(IF(Y$1="""","""",REGEXMATCH(LOWER($E255),XLOOKUP(Y$1,Metadata!$A$2:$A1000,Metadata!$B$2:$B1000))),Y$1,"""")"),"")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I256">XLOOKUP($A256,Cards!$A$2:$A1000,Cards!$B$2:$I1000,"")</f>
        <v>Nature</v>
      </c>
      <c r="C256" s="34">
        <v>2.0</v>
      </c>
      <c r="D256" s="34" t="s">
        <v>111</v>
      </c>
      <c r="E256" s="34" t="s">
        <v>1683</v>
      </c>
      <c r="F256" s="34" t="s">
        <v>1684</v>
      </c>
      <c r="G256" s="34">
        <v>6.0</v>
      </c>
      <c r="H256" s="34" t="s">
        <v>1685</v>
      </c>
      <c r="I256" s="34" t="s">
        <v>32</v>
      </c>
      <c r="J256" s="34">
        <f>IFERROR(__xludf.DUMMYFUNCTION("LEN(REGEXREPLACE(XLOOKUP($A256,Cards!$A$2:$A1000,Cards!$H$2:$H1000,""""),"",\s"",""""))"),6.0)</f>
        <v>6</v>
      </c>
      <c r="K256" s="34" t="str">
        <f t="shared" si="1"/>
        <v>      Ramp   Aggro      </v>
      </c>
      <c r="L256" s="34" t="str">
        <f>IFERROR(__xludf.DUMMYFUNCTION("IF(IF(L$1="""","""",REGEXMATCH(LOWER($E256),XLOOKUP(L$1,Metadata!$A$2:$A1000,Metadata!$B$2:$B1000))),L$1,"""")"),"")</f>
        <v/>
      </c>
      <c r="M256" s="34" t="str">
        <f>IFERROR(__xludf.DUMMYFUNCTION("IF(IF(M$1="""","""",REGEXMATCH(LOWER($E256),XLOOKUP(M$1,Metadata!$A$2:$A1000,Metadata!$B$2:$B1000))),M$1,"""")"),"")</f>
        <v/>
      </c>
      <c r="N256" s="34" t="str">
        <f>IFERROR(__xludf.DUMMYFUNCTION("IF(IF(N$1="""","""",REGEXMATCH(LOWER($E256),XLOOKUP(N$1,Metadata!$A$2:$A1000,Metadata!$B$2:$B1000))),N$1,"""")"),"")</f>
        <v/>
      </c>
      <c r="O256" s="34" t="str">
        <f>IFERROR(__xludf.DUMMYFUNCTION("IF(IF(O$1="""","""",REGEXMATCH(LOWER($E256),XLOOKUP(O$1,Metadata!$A$2:$A1000,Metadata!$B$2:$B1000))),O$1,"""")"),"")</f>
        <v/>
      </c>
      <c r="P256" s="34" t="str">
        <f>IFERROR(__xludf.DUMMYFUNCTION("IF(IF(P$1="""","""",REGEXMATCH(LOWER($E256),XLOOKUP(P$1,Metadata!$A$2:$A1000,Metadata!$B$2:$B1000))),P$1,"""")"),"")</f>
        <v/>
      </c>
      <c r="Q256" s="34" t="str">
        <f>IFERROR(__xludf.DUMMYFUNCTION("IF(IF(Q$1="""","""",REGEXMATCH(LOWER($E256),XLOOKUP(Q$1,Metadata!$A$2:$A1000,Metadata!$B$2:$B1000))),Q$1,"""")"),"")</f>
        <v/>
      </c>
      <c r="R256" s="34" t="str">
        <f>IFERROR(__xludf.DUMMYFUNCTION("IF(IF(R$1="""","""",REGEXMATCH(LOWER($E256),XLOOKUP(R$1,Metadata!$A$2:$A1000,Metadata!$B$2:$B1000))),R$1,"""")"),"Ramp")</f>
        <v>Ramp</v>
      </c>
      <c r="S256" s="34" t="str">
        <f>IFERROR(__xludf.DUMMYFUNCTION("IF(IF(S$1="""","""",REGEXMATCH(LOWER($E256),XLOOKUP(S$1,Metadata!$A$2:$A1000,Metadata!$B$2:$B1000))),S$1,"""")"),"")</f>
        <v/>
      </c>
      <c r="T256" s="34" t="str">
        <f>IFERROR(__xludf.DUMMYFUNCTION("IF(IF(T$1="""","""",REGEXMATCH(LOWER($E256),XLOOKUP(T$1,Metadata!$A$2:$A1000,Metadata!$B$2:$B1000))),T$1,"""")"),"")</f>
        <v/>
      </c>
      <c r="U256" s="34" t="str">
        <f>IFERROR(__xludf.DUMMYFUNCTION("IF(IF(U$1="""","""",REGEXMATCH(LOWER($E256),XLOOKUP(U$1,Metadata!$A$2:$A1000,Metadata!$B$2:$B1000))),U$1,"""")"),"Aggro")</f>
        <v>Aggro</v>
      </c>
      <c r="V256" s="34" t="str">
        <f>IFERROR(__xludf.DUMMYFUNCTION("IF(IF(V$1="""","""",REGEXMATCH(LOWER($E256),XLOOKUP(V$1,Metadata!$A$2:$A1000,Metadata!$B$2:$B1000))),V$1,"""")"),"")</f>
        <v/>
      </c>
      <c r="W256" s="34" t="str">
        <f>IFERROR(__xludf.DUMMYFUNCTION("IF(IF(W$1="""","""",REGEXMATCH(LOWER($E256),XLOOKUP(W$1,Metadata!$A$2:$A1000,Metadata!$B$2:$B1000))),W$1,"""")"),"")</f>
        <v/>
      </c>
      <c r="X256" s="34" t="str">
        <f>IFERROR(__xludf.DUMMYFUNCTION("IF(IF(X$1="""","""",REGEXMATCH(LOWER($E256),XLOOKUP(X$1,Metadata!$A$2:$A1000,Metadata!$B$2:$B1000))),X$1,"""")"),"")</f>
        <v/>
      </c>
      <c r="Y256" s="34" t="str">
        <f>IFERROR(__xludf.DUMMYFUNCTION("IF(IF(Y$1="""","""",REGEXMATCH(LOWER($E256),XLOOKUP(Y$1,Metadata!$A$2:$A1000,Metadata!$B$2:$B1000))),Y$1,"""")"),"")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I257">XLOOKUP($A257,Cards!$A$2:$A1000,Cards!$B$2:$I1000,"")</f>
        <v>Nature</v>
      </c>
      <c r="C257" s="34">
        <v>2.0</v>
      </c>
      <c r="D257" s="34" t="s">
        <v>297</v>
      </c>
      <c r="E257" s="34" t="s">
        <v>1687</v>
      </c>
      <c r="F257" s="34" t="s">
        <v>1173</v>
      </c>
      <c r="G257" s="34">
        <v>3.0</v>
      </c>
      <c r="H257" s="34" t="s">
        <v>1667</v>
      </c>
      <c r="I257" s="34" t="s">
        <v>70</v>
      </c>
      <c r="J257" s="34">
        <f>IFERROR(__xludf.DUMMYFUNCTION("LEN(REGEXREPLACE(XLOOKUP($A257,Cards!$A$2:$A1000,Cards!$H$2:$H1000,""""),"",\s"",""""))"),5.0)</f>
        <v>5</v>
      </c>
      <c r="K257" s="34" t="str">
        <f t="shared" si="1"/>
        <v>         Aggro      </v>
      </c>
      <c r="L257" s="34" t="str">
        <f>IFERROR(__xludf.DUMMYFUNCTION("IF(IF(L$1="""","""",REGEXMATCH(LOWER($E257),XLOOKUP(L$1,Metadata!$A$2:$A1000,Metadata!$B$2:$B1000))),L$1,"""")"),"")</f>
        <v/>
      </c>
      <c r="M257" s="34" t="str">
        <f>IFERROR(__xludf.DUMMYFUNCTION("IF(IF(M$1="""","""",REGEXMATCH(LOWER($E257),XLOOKUP(M$1,Metadata!$A$2:$A1000,Metadata!$B$2:$B1000))),M$1,"""")"),"")</f>
        <v/>
      </c>
      <c r="N257" s="34" t="str">
        <f>IFERROR(__xludf.DUMMYFUNCTION("IF(IF(N$1="""","""",REGEXMATCH(LOWER($E257),XLOOKUP(N$1,Metadata!$A$2:$A1000,Metadata!$B$2:$B1000))),N$1,"""")"),"")</f>
        <v/>
      </c>
      <c r="O257" s="34" t="str">
        <f>IFERROR(__xludf.DUMMYFUNCTION("IF(IF(O$1="""","""",REGEXMATCH(LOWER($E257),XLOOKUP(O$1,Metadata!$A$2:$A1000,Metadata!$B$2:$B1000))),O$1,"""")"),"")</f>
        <v/>
      </c>
      <c r="P257" s="34" t="str">
        <f>IFERROR(__xludf.DUMMYFUNCTION("IF(IF(P$1="""","""",REGEXMATCH(LOWER($E257),XLOOKUP(P$1,Metadata!$A$2:$A1000,Metadata!$B$2:$B1000))),P$1,"""")"),"")</f>
        <v/>
      </c>
      <c r="Q257" s="34" t="str">
        <f>IFERROR(__xludf.DUMMYFUNCTION("IF(IF(Q$1="""","""",REGEXMATCH(LOWER($E257),XLOOKUP(Q$1,Metadata!$A$2:$A1000,Metadata!$B$2:$B1000))),Q$1,"""")"),"")</f>
        <v/>
      </c>
      <c r="R257" s="34" t="str">
        <f>IFERROR(__xludf.DUMMYFUNCTION("IF(IF(R$1="""","""",REGEXMATCH(LOWER($E257),XLOOKUP(R$1,Metadata!$A$2:$A1000,Metadata!$B$2:$B1000))),R$1,"""")"),"")</f>
        <v/>
      </c>
      <c r="S257" s="34" t="str">
        <f>IFERROR(__xludf.DUMMYFUNCTION("IF(IF(S$1="""","""",REGEXMATCH(LOWER($E257),XLOOKUP(S$1,Metadata!$A$2:$A1000,Metadata!$B$2:$B1000))),S$1,"""")"),"")</f>
        <v/>
      </c>
      <c r="T257" s="34" t="str">
        <f>IFERROR(__xludf.DUMMYFUNCTION("IF(IF(T$1="""","""",REGEXMATCH(LOWER($E257),XLOOKUP(T$1,Metadata!$A$2:$A1000,Metadata!$B$2:$B1000))),T$1,"""")"),"")</f>
        <v/>
      </c>
      <c r="U257" s="34" t="str">
        <f>IFERROR(__xludf.DUMMYFUNCTION("IF(IF(U$1="""","""",REGEXMATCH(LOWER($E257),XLOOKUP(U$1,Metadata!$A$2:$A1000,Metadata!$B$2:$B1000))),U$1,"""")"),"Aggro")</f>
        <v>Aggro</v>
      </c>
      <c r="V257" s="34" t="str">
        <f>IFERROR(__xludf.DUMMYFUNCTION("IF(IF(V$1="""","""",REGEXMATCH(LOWER($E257),XLOOKUP(V$1,Metadata!$A$2:$A1000,Metadata!$B$2:$B1000))),V$1,"""")"),"")</f>
        <v/>
      </c>
      <c r="W257" s="34" t="str">
        <f>IFERROR(__xludf.DUMMYFUNCTION("IF(IF(W$1="""","""",REGEXMATCH(LOWER($E257),XLOOKUP(W$1,Metadata!$A$2:$A1000,Metadata!$B$2:$B1000))),W$1,"""")"),"")</f>
        <v/>
      </c>
      <c r="X257" s="34" t="str">
        <f>IFERROR(__xludf.DUMMYFUNCTION("IF(IF(X$1="""","""",REGEXMATCH(LOWER($E257),XLOOKUP(X$1,Metadata!$A$2:$A1000,Metadata!$B$2:$B1000))),X$1,"""")"),"")</f>
        <v/>
      </c>
      <c r="Y257" s="34" t="str">
        <f>IFERROR(__xludf.DUMMYFUNCTION("IF(IF(Y$1="""","""",REGEXMATCH(LOWER($E257),XLOOKUP(Y$1,Metadata!$A$2:$A1000,Metadata!$B$2:$B1000))),Y$1,"""")"),"")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I258">XLOOKUP($A258,Cards!$A$2:$A1000,Cards!$B$2:$I1000,"")</f>
        <v>Nature</v>
      </c>
      <c r="C258" s="34">
        <v>0.0</v>
      </c>
      <c r="D258" s="34" t="s">
        <v>149</v>
      </c>
      <c r="E258" s="34" t="s">
        <v>1689</v>
      </c>
      <c r="F258" s="34" t="s">
        <v>1690</v>
      </c>
      <c r="G258" s="34">
        <v>3.0</v>
      </c>
      <c r="H258" s="34" t="s">
        <v>1691</v>
      </c>
      <c r="I258" s="34" t="s">
        <v>32</v>
      </c>
      <c r="J258" s="34">
        <f>IFERROR(__xludf.DUMMYFUNCTION("LEN(REGEXREPLACE(XLOOKUP($A258,Cards!$A$2:$A1000,Cards!$H$2:$H1000,""""),"",\s"",""""))"),3.0)</f>
        <v>3</v>
      </c>
      <c r="K258" s="34" t="str">
        <f t="shared" si="1"/>
        <v>      Ramp   Aggro      </v>
      </c>
      <c r="L258" s="34" t="str">
        <f>IFERROR(__xludf.DUMMYFUNCTION("IF(IF(L$1="""","""",REGEXMATCH(LOWER($E258),XLOOKUP(L$1,Metadata!$A$2:$A1000,Metadata!$B$2:$B1000))),L$1,"""")"),"")</f>
        <v/>
      </c>
      <c r="M258" s="34" t="str">
        <f>IFERROR(__xludf.DUMMYFUNCTION("IF(IF(M$1="""","""",REGEXMATCH(LOWER($E258),XLOOKUP(M$1,Metadata!$A$2:$A1000,Metadata!$B$2:$B1000))),M$1,"""")"),"")</f>
        <v/>
      </c>
      <c r="N258" s="34" t="str">
        <f>IFERROR(__xludf.DUMMYFUNCTION("IF(IF(N$1="""","""",REGEXMATCH(LOWER($E258),XLOOKUP(N$1,Metadata!$A$2:$A1000,Metadata!$B$2:$B1000))),N$1,"""")"),"")</f>
        <v/>
      </c>
      <c r="O258" s="34" t="str">
        <f>IFERROR(__xludf.DUMMYFUNCTION("IF(IF(O$1="""","""",REGEXMATCH(LOWER($E258),XLOOKUP(O$1,Metadata!$A$2:$A1000,Metadata!$B$2:$B1000))),O$1,"""")"),"")</f>
        <v/>
      </c>
      <c r="P258" s="34" t="str">
        <f>IFERROR(__xludf.DUMMYFUNCTION("IF(IF(P$1="""","""",REGEXMATCH(LOWER($E258),XLOOKUP(P$1,Metadata!$A$2:$A1000,Metadata!$B$2:$B1000))),P$1,"""")"),"")</f>
        <v/>
      </c>
      <c r="Q258" s="34" t="str">
        <f>IFERROR(__xludf.DUMMYFUNCTION("IF(IF(Q$1="""","""",REGEXMATCH(LOWER($E258),XLOOKUP(Q$1,Metadata!$A$2:$A1000,Metadata!$B$2:$B1000))),Q$1,"""")"),"")</f>
        <v/>
      </c>
      <c r="R258" s="34" t="str">
        <f>IFERROR(__xludf.DUMMYFUNCTION("IF(IF(R$1="""","""",REGEXMATCH(LOWER($E258),XLOOKUP(R$1,Metadata!$A$2:$A1000,Metadata!$B$2:$B1000))),R$1,"""")"),"Ramp")</f>
        <v>Ramp</v>
      </c>
      <c r="S258" s="34" t="str">
        <f>IFERROR(__xludf.DUMMYFUNCTION("IF(IF(S$1="""","""",REGEXMATCH(LOWER($E258),XLOOKUP(S$1,Metadata!$A$2:$A1000,Metadata!$B$2:$B1000))),S$1,"""")"),"")</f>
        <v/>
      </c>
      <c r="T258" s="34" t="str">
        <f>IFERROR(__xludf.DUMMYFUNCTION("IF(IF(T$1="""","""",REGEXMATCH(LOWER($E258),XLOOKUP(T$1,Metadata!$A$2:$A1000,Metadata!$B$2:$B1000))),T$1,"""")"),"")</f>
        <v/>
      </c>
      <c r="U258" s="34" t="str">
        <f>IFERROR(__xludf.DUMMYFUNCTION("IF(IF(U$1="""","""",REGEXMATCH(LOWER($E258),XLOOKUP(U$1,Metadata!$A$2:$A1000,Metadata!$B$2:$B1000))),U$1,"""")"),"Aggro")</f>
        <v>Aggro</v>
      </c>
      <c r="V258" s="34" t="str">
        <f>IFERROR(__xludf.DUMMYFUNCTION("IF(IF(V$1="""","""",REGEXMATCH(LOWER($E258),XLOOKUP(V$1,Metadata!$A$2:$A1000,Metadata!$B$2:$B1000))),V$1,"""")"),"")</f>
        <v/>
      </c>
      <c r="W258" s="34" t="str">
        <f>IFERROR(__xludf.DUMMYFUNCTION("IF(IF(W$1="""","""",REGEXMATCH(LOWER($E258),XLOOKUP(W$1,Metadata!$A$2:$A1000,Metadata!$B$2:$B1000))),W$1,"""")"),"")</f>
        <v/>
      </c>
      <c r="X258" s="34" t="str">
        <f>IFERROR(__xludf.DUMMYFUNCTION("IF(IF(X$1="""","""",REGEXMATCH(LOWER($E258),XLOOKUP(X$1,Metadata!$A$2:$A1000,Metadata!$B$2:$B1000))),X$1,"""")"),"")</f>
        <v/>
      </c>
      <c r="Y258" s="34" t="str">
        <f>IFERROR(__xludf.DUMMYFUNCTION("IF(IF(Y$1="""","""",REGEXMATCH(LOWER($E258),XLOOKUP(Y$1,Metadata!$A$2:$A1000,Metadata!$B$2:$B1000))),Y$1,"""")"),"")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I259">XLOOKUP($A259,Cards!$A$2:$A1000,Cards!$B$2:$I1000,"")</f>
        <v>Mortal Void</v>
      </c>
      <c r="C259" s="34">
        <v>1.0</v>
      </c>
      <c r="D259" s="34" t="s">
        <v>1200</v>
      </c>
      <c r="E259" s="34"/>
      <c r="F259" s="34" t="s">
        <v>1693</v>
      </c>
      <c r="G259" s="34">
        <v>2.0</v>
      </c>
      <c r="H259" s="34" t="s">
        <v>1472</v>
      </c>
      <c r="I259" s="34" t="s">
        <v>26</v>
      </c>
      <c r="J259" s="34">
        <f>IFERROR(__xludf.DUMMYFUNCTION("LEN(REGEXREPLACE(XLOOKUP($A259,Cards!$A$2:$A1000,Cards!$H$2:$H1000,""""),"",\s"",""""))"),2.0)</f>
        <v>2</v>
      </c>
      <c r="K259" s="34" t="str">
        <f t="shared" si="1"/>
        <v>               </v>
      </c>
      <c r="L259" s="34" t="str">
        <f>IFERROR(__xludf.DUMMYFUNCTION("IF(IF(L$1="""","""",REGEXMATCH(LOWER($E259),XLOOKUP(L$1,Metadata!$A$2:$A1000,Metadata!$B$2:$B1000))),L$1,"""")"),"")</f>
        <v/>
      </c>
      <c r="M259" s="34" t="str">
        <f>IFERROR(__xludf.DUMMYFUNCTION("IF(IF(M$1="""","""",REGEXMATCH(LOWER($E259),XLOOKUP(M$1,Metadata!$A$2:$A1000,Metadata!$B$2:$B1000))),M$1,"""")"),"")</f>
        <v/>
      </c>
      <c r="N259" s="34" t="str">
        <f>IFERROR(__xludf.DUMMYFUNCTION("IF(IF(N$1="""","""",REGEXMATCH(LOWER($E259),XLOOKUP(N$1,Metadata!$A$2:$A1000,Metadata!$B$2:$B1000))),N$1,"""")"),"")</f>
        <v/>
      </c>
      <c r="O259" s="34" t="str">
        <f>IFERROR(__xludf.DUMMYFUNCTION("IF(IF(O$1="""","""",REGEXMATCH(LOWER($E259),XLOOKUP(O$1,Metadata!$A$2:$A1000,Metadata!$B$2:$B1000))),O$1,"""")"),"")</f>
        <v/>
      </c>
      <c r="P259" s="34" t="str">
        <f>IFERROR(__xludf.DUMMYFUNCTION("IF(IF(P$1="""","""",REGEXMATCH(LOWER($E259),XLOOKUP(P$1,Metadata!$A$2:$A1000,Metadata!$B$2:$B1000))),P$1,"""")"),"")</f>
        <v/>
      </c>
      <c r="Q259" s="34" t="str">
        <f>IFERROR(__xludf.DUMMYFUNCTION("IF(IF(Q$1="""","""",REGEXMATCH(LOWER($E259),XLOOKUP(Q$1,Metadata!$A$2:$A1000,Metadata!$B$2:$B1000))),Q$1,"""")"),"")</f>
        <v/>
      </c>
      <c r="R259" s="34" t="str">
        <f>IFERROR(__xludf.DUMMYFUNCTION("IF(IF(R$1="""","""",REGEXMATCH(LOWER($E259),XLOOKUP(R$1,Metadata!$A$2:$A1000,Metadata!$B$2:$B1000))),R$1,"""")"),"")</f>
        <v/>
      </c>
      <c r="S259" s="34" t="str">
        <f>IFERROR(__xludf.DUMMYFUNCTION("IF(IF(S$1="""","""",REGEXMATCH(LOWER($E259),XLOOKUP(S$1,Metadata!$A$2:$A1000,Metadata!$B$2:$B1000))),S$1,"""")"),"")</f>
        <v/>
      </c>
      <c r="T259" s="34" t="str">
        <f>IFERROR(__xludf.DUMMYFUNCTION("IF(IF(T$1="""","""",REGEXMATCH(LOWER($E259),XLOOKUP(T$1,Metadata!$A$2:$A1000,Metadata!$B$2:$B1000))),T$1,"""")"),"")</f>
        <v/>
      </c>
      <c r="U259" s="34" t="str">
        <f>IFERROR(__xludf.DUMMYFUNCTION("IF(IF(U$1="""","""",REGEXMATCH(LOWER($E259),XLOOKUP(U$1,Metadata!$A$2:$A1000,Metadata!$B$2:$B1000))),U$1,"""")"),"")</f>
        <v/>
      </c>
      <c r="V259" s="34" t="str">
        <f>IFERROR(__xludf.DUMMYFUNCTION("IF(IF(V$1="""","""",REGEXMATCH(LOWER($E259),XLOOKUP(V$1,Metadata!$A$2:$A1000,Metadata!$B$2:$B1000))),V$1,"""")"),"")</f>
        <v/>
      </c>
      <c r="W259" s="34" t="str">
        <f>IFERROR(__xludf.DUMMYFUNCTION("IF(IF(W$1="""","""",REGEXMATCH(LOWER($E259),XLOOKUP(W$1,Metadata!$A$2:$A1000,Metadata!$B$2:$B1000))),W$1,"""")"),"")</f>
        <v/>
      </c>
      <c r="X259" s="34" t="str">
        <f>IFERROR(__xludf.DUMMYFUNCTION("IF(IF(X$1="""","""",REGEXMATCH(LOWER($E259),XLOOKUP(X$1,Metadata!$A$2:$A1000,Metadata!$B$2:$B1000))),X$1,"""")"),"")</f>
        <v/>
      </c>
      <c r="Y259" s="34" t="str">
        <f>IFERROR(__xludf.DUMMYFUNCTION("IF(IF(Y$1="""","""",REGEXMATCH(LOWER($E259),XLOOKUP(Y$1,Metadata!$A$2:$A1000,Metadata!$B$2:$B1000))),Y$1,"""")"),"")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I260">XLOOKUP($A260,Cards!$A$2:$A1000,Cards!$B$2:$I1000,"")</f>
        <v>Nature</v>
      </c>
      <c r="C260" s="34">
        <v>2.0</v>
      </c>
      <c r="D260" s="34" t="s">
        <v>1695</v>
      </c>
      <c r="E260" s="34" t="s">
        <v>1696</v>
      </c>
      <c r="F260" s="34" t="s">
        <v>1697</v>
      </c>
      <c r="G260" s="34">
        <v>6.0</v>
      </c>
      <c r="H260" s="34" t="s">
        <v>1685</v>
      </c>
      <c r="I260" s="34" t="s">
        <v>32</v>
      </c>
      <c r="J260" s="34">
        <f>IFERROR(__xludf.DUMMYFUNCTION("LEN(REGEXREPLACE(XLOOKUP($A260,Cards!$A$2:$A1000,Cards!$H$2:$H1000,""""),"",\s"",""""))"),6.0)</f>
        <v>6</v>
      </c>
      <c r="K260" s="34" t="str">
        <f t="shared" si="1"/>
        <v>   Nature      Aggro      </v>
      </c>
      <c r="L260" s="34" t="str">
        <f>IFERROR(__xludf.DUMMYFUNCTION("IF(IF(L$1="""","""",REGEXMATCH(LOWER($E260),XLOOKUP(L$1,Metadata!$A$2:$A1000,Metadata!$B$2:$B1000))),L$1,"""")"),"")</f>
        <v/>
      </c>
      <c r="M260" s="34" t="str">
        <f>IFERROR(__xludf.DUMMYFUNCTION("IF(IF(M$1="""","""",REGEXMATCH(LOWER($E260),XLOOKUP(M$1,Metadata!$A$2:$A1000,Metadata!$B$2:$B1000))),M$1,"""")"),"")</f>
        <v/>
      </c>
      <c r="N260" s="34" t="str">
        <f>IFERROR(__xludf.DUMMYFUNCTION("IF(IF(N$1="""","""",REGEXMATCH(LOWER($E260),XLOOKUP(N$1,Metadata!$A$2:$A1000,Metadata!$B$2:$B1000))),N$1,"""")"),"")</f>
        <v/>
      </c>
      <c r="O260" s="34" t="str">
        <f>IFERROR(__xludf.DUMMYFUNCTION("IF(IF(O$1="""","""",REGEXMATCH(LOWER($E260),XLOOKUP(O$1,Metadata!$A$2:$A1000,Metadata!$B$2:$B1000))),O$1,"""")"),"Nature")</f>
        <v>Nature</v>
      </c>
      <c r="P260" s="34" t="str">
        <f>IFERROR(__xludf.DUMMYFUNCTION("IF(IF(P$1="""","""",REGEXMATCH(LOWER($E260),XLOOKUP(P$1,Metadata!$A$2:$A1000,Metadata!$B$2:$B1000))),P$1,"""")"),"")</f>
        <v/>
      </c>
      <c r="Q260" s="34" t="str">
        <f>IFERROR(__xludf.DUMMYFUNCTION("IF(IF(Q$1="""","""",REGEXMATCH(LOWER($E260),XLOOKUP(Q$1,Metadata!$A$2:$A1000,Metadata!$B$2:$B1000))),Q$1,"""")"),"")</f>
        <v/>
      </c>
      <c r="R260" s="34" t="str">
        <f>IFERROR(__xludf.DUMMYFUNCTION("IF(IF(R$1="""","""",REGEXMATCH(LOWER($E260),XLOOKUP(R$1,Metadata!$A$2:$A1000,Metadata!$B$2:$B1000))),R$1,"""")"),"")</f>
        <v/>
      </c>
      <c r="S260" s="34" t="str">
        <f>IFERROR(__xludf.DUMMYFUNCTION("IF(IF(S$1="""","""",REGEXMATCH(LOWER($E260),XLOOKUP(S$1,Metadata!$A$2:$A1000,Metadata!$B$2:$B1000))),S$1,"""")"),"")</f>
        <v/>
      </c>
      <c r="T260" s="34" t="str">
        <f>IFERROR(__xludf.DUMMYFUNCTION("IF(IF(T$1="""","""",REGEXMATCH(LOWER($E260),XLOOKUP(T$1,Metadata!$A$2:$A1000,Metadata!$B$2:$B1000))),T$1,"""")"),"")</f>
        <v/>
      </c>
      <c r="U260" s="34" t="str">
        <f>IFERROR(__xludf.DUMMYFUNCTION("IF(IF(U$1="""","""",REGEXMATCH(LOWER($E260),XLOOKUP(U$1,Metadata!$A$2:$A1000,Metadata!$B$2:$B1000))),U$1,"""")"),"Aggro")</f>
        <v>Aggro</v>
      </c>
      <c r="V260" s="34" t="str">
        <f>IFERROR(__xludf.DUMMYFUNCTION("IF(IF(V$1="""","""",REGEXMATCH(LOWER($E260),XLOOKUP(V$1,Metadata!$A$2:$A1000,Metadata!$B$2:$B1000))),V$1,"""")"),"")</f>
        <v/>
      </c>
      <c r="W260" s="34" t="str">
        <f>IFERROR(__xludf.DUMMYFUNCTION("IF(IF(W$1="""","""",REGEXMATCH(LOWER($E260),XLOOKUP(W$1,Metadata!$A$2:$A1000,Metadata!$B$2:$B1000))),W$1,"""")"),"")</f>
        <v/>
      </c>
      <c r="X260" s="34" t="str">
        <f>IFERROR(__xludf.DUMMYFUNCTION("IF(IF(X$1="""","""",REGEXMATCH(LOWER($E260),XLOOKUP(X$1,Metadata!$A$2:$A1000,Metadata!$B$2:$B1000))),X$1,"""")"),"")</f>
        <v/>
      </c>
      <c r="Y260" s="34" t="str">
        <f>IFERROR(__xludf.DUMMYFUNCTION("IF(IF(Y$1="""","""",REGEXMATCH(LOWER($E260),XLOOKUP(Y$1,Metadata!$A$2:$A1000,Metadata!$B$2:$B1000))),Y$1,"""")"),"")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I261">XLOOKUP($A261,Cards!$A$2:$A1000,Cards!$B$2:$I1000,"")</f>
        <v>Nature</v>
      </c>
      <c r="C261" s="34">
        <v>2.0</v>
      </c>
      <c r="D261" s="34" t="s">
        <v>327</v>
      </c>
      <c r="E261" s="34" t="s">
        <v>1699</v>
      </c>
      <c r="F261" s="34" t="s">
        <v>1700</v>
      </c>
      <c r="G261" s="34">
        <v>3.0</v>
      </c>
      <c r="H261" s="34" t="s">
        <v>1701</v>
      </c>
      <c r="I261" s="34" t="s">
        <v>26</v>
      </c>
      <c r="J261" s="34">
        <f>IFERROR(__xludf.DUMMYFUNCTION("LEN(REGEXREPLACE(XLOOKUP($A261,Cards!$A$2:$A1000,Cards!$H$2:$H1000,""""),"",\s"",""""))"),4.0)</f>
        <v>4</v>
      </c>
      <c r="K261" s="34" t="str">
        <f t="shared" si="1"/>
        <v>               </v>
      </c>
      <c r="L261" s="34" t="str">
        <f>IFERROR(__xludf.DUMMYFUNCTION("IF(IF(L$1="""","""",REGEXMATCH(LOWER($E261),XLOOKUP(L$1,Metadata!$A$2:$A1000,Metadata!$B$2:$B1000))),L$1,"""")"),"")</f>
        <v/>
      </c>
      <c r="M261" s="34" t="str">
        <f>IFERROR(__xludf.DUMMYFUNCTION("IF(IF(M$1="""","""",REGEXMATCH(LOWER($E261),XLOOKUP(M$1,Metadata!$A$2:$A1000,Metadata!$B$2:$B1000))),M$1,"""")"),"")</f>
        <v/>
      </c>
      <c r="N261" s="34" t="str">
        <f>IFERROR(__xludf.DUMMYFUNCTION("IF(IF(N$1="""","""",REGEXMATCH(LOWER($E261),XLOOKUP(N$1,Metadata!$A$2:$A1000,Metadata!$B$2:$B1000))),N$1,"""")"),"")</f>
        <v/>
      </c>
      <c r="O261" s="34" t="str">
        <f>IFERROR(__xludf.DUMMYFUNCTION("IF(IF(O$1="""","""",REGEXMATCH(LOWER($E261),XLOOKUP(O$1,Metadata!$A$2:$A1000,Metadata!$B$2:$B1000))),O$1,"""")"),"")</f>
        <v/>
      </c>
      <c r="P261" s="34" t="str">
        <f>IFERROR(__xludf.DUMMYFUNCTION("IF(IF(P$1="""","""",REGEXMATCH(LOWER($E261),XLOOKUP(P$1,Metadata!$A$2:$A1000,Metadata!$B$2:$B1000))),P$1,"""")"),"")</f>
        <v/>
      </c>
      <c r="Q261" s="34" t="str">
        <f>IFERROR(__xludf.DUMMYFUNCTION("IF(IF(Q$1="""","""",REGEXMATCH(LOWER($E261),XLOOKUP(Q$1,Metadata!$A$2:$A1000,Metadata!$B$2:$B1000))),Q$1,"""")"),"")</f>
        <v/>
      </c>
      <c r="R261" s="34" t="str">
        <f>IFERROR(__xludf.DUMMYFUNCTION("IF(IF(R$1="""","""",REGEXMATCH(LOWER($E261),XLOOKUP(R$1,Metadata!$A$2:$A1000,Metadata!$B$2:$B1000))),R$1,"""")"),"")</f>
        <v/>
      </c>
      <c r="S261" s="34" t="str">
        <f>IFERROR(__xludf.DUMMYFUNCTION("IF(IF(S$1="""","""",REGEXMATCH(LOWER($E261),XLOOKUP(S$1,Metadata!$A$2:$A1000,Metadata!$B$2:$B1000))),S$1,"""")"),"")</f>
        <v/>
      </c>
      <c r="T261" s="34" t="str">
        <f>IFERROR(__xludf.DUMMYFUNCTION("IF(IF(T$1="""","""",REGEXMATCH(LOWER($E261),XLOOKUP(T$1,Metadata!$A$2:$A1000,Metadata!$B$2:$B1000))),T$1,"""")"),"")</f>
        <v/>
      </c>
      <c r="U261" s="34" t="str">
        <f>IFERROR(__xludf.DUMMYFUNCTION("IF(IF(U$1="""","""",REGEXMATCH(LOWER($E261),XLOOKUP(U$1,Metadata!$A$2:$A1000,Metadata!$B$2:$B1000))),U$1,"""")"),"")</f>
        <v/>
      </c>
      <c r="V261" s="34" t="str">
        <f>IFERROR(__xludf.DUMMYFUNCTION("IF(IF(V$1="""","""",REGEXMATCH(LOWER($E261),XLOOKUP(V$1,Metadata!$A$2:$A1000,Metadata!$B$2:$B1000))),V$1,"""")"),"")</f>
        <v/>
      </c>
      <c r="W261" s="34" t="str">
        <f>IFERROR(__xludf.DUMMYFUNCTION("IF(IF(W$1="""","""",REGEXMATCH(LOWER($E261),XLOOKUP(W$1,Metadata!$A$2:$A1000,Metadata!$B$2:$B1000))),W$1,"""")"),"")</f>
        <v/>
      </c>
      <c r="X261" s="34" t="str">
        <f>IFERROR(__xludf.DUMMYFUNCTION("IF(IF(X$1="""","""",REGEXMATCH(LOWER($E261),XLOOKUP(X$1,Metadata!$A$2:$A1000,Metadata!$B$2:$B1000))),X$1,"""")"),"")</f>
        <v/>
      </c>
      <c r="Y261" s="34" t="str">
        <f>IFERROR(__xludf.DUMMYFUNCTION("IF(IF(Y$1="""","""",REGEXMATCH(LOWER($E261),XLOOKUP(Y$1,Metadata!$A$2:$A1000,Metadata!$B$2:$B1000))),Y$1,"""")"),"")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I262">XLOOKUP($A262,Cards!$A$2:$A1000,Cards!$B$2:$I1000,"")</f>
        <v>Nature</v>
      </c>
      <c r="C262" s="34">
        <v>1.0</v>
      </c>
      <c r="D262" s="34" t="s">
        <v>387</v>
      </c>
      <c r="E262" s="34" t="s">
        <v>1703</v>
      </c>
      <c r="F262" s="34" t="s">
        <v>943</v>
      </c>
      <c r="G262" s="34">
        <v>3.0</v>
      </c>
      <c r="H262" s="34" t="s">
        <v>1530</v>
      </c>
      <c r="I262" s="34" t="s">
        <v>26</v>
      </c>
      <c r="J262" s="34">
        <f>IFERROR(__xludf.DUMMYFUNCTION("LEN(REGEXREPLACE(XLOOKUP($A262,Cards!$A$2:$A1000,Cards!$H$2:$H1000,""""),"",\s"",""""))"),3.0)</f>
        <v>3</v>
      </c>
      <c r="K262" s="34" t="str">
        <f t="shared" si="1"/>
        <v>           Move    </v>
      </c>
      <c r="L262" s="34" t="str">
        <f>IFERROR(__xludf.DUMMYFUNCTION("IF(IF(L$1="""","""",REGEXMATCH(LOWER($E262),XLOOKUP(L$1,Metadata!$A$2:$A1000,Metadata!$B$2:$B1000))),L$1,"""")"),"")</f>
        <v/>
      </c>
      <c r="M262" s="34" t="str">
        <f>IFERROR(__xludf.DUMMYFUNCTION("IF(IF(M$1="""","""",REGEXMATCH(LOWER($E262),XLOOKUP(M$1,Metadata!$A$2:$A1000,Metadata!$B$2:$B1000))),M$1,"""")"),"")</f>
        <v/>
      </c>
      <c r="N262" s="34" t="str">
        <f>IFERROR(__xludf.DUMMYFUNCTION("IF(IF(N$1="""","""",REGEXMATCH(LOWER($E262),XLOOKUP(N$1,Metadata!$A$2:$A1000,Metadata!$B$2:$B1000))),N$1,"""")"),"")</f>
        <v/>
      </c>
      <c r="O262" s="34" t="str">
        <f>IFERROR(__xludf.DUMMYFUNCTION("IF(IF(O$1="""","""",REGEXMATCH(LOWER($E262),XLOOKUP(O$1,Metadata!$A$2:$A1000,Metadata!$B$2:$B1000))),O$1,"""")"),"")</f>
        <v/>
      </c>
      <c r="P262" s="34" t="str">
        <f>IFERROR(__xludf.DUMMYFUNCTION("IF(IF(P$1="""","""",REGEXMATCH(LOWER($E262),XLOOKUP(P$1,Metadata!$A$2:$A1000,Metadata!$B$2:$B1000))),P$1,"""")"),"")</f>
        <v/>
      </c>
      <c r="Q262" s="34" t="str">
        <f>IFERROR(__xludf.DUMMYFUNCTION("IF(IF(Q$1="""","""",REGEXMATCH(LOWER($E262),XLOOKUP(Q$1,Metadata!$A$2:$A1000,Metadata!$B$2:$B1000))),Q$1,"""")"),"")</f>
        <v/>
      </c>
      <c r="R262" s="34" t="str">
        <f>IFERROR(__xludf.DUMMYFUNCTION("IF(IF(R$1="""","""",REGEXMATCH(LOWER($E262),XLOOKUP(R$1,Metadata!$A$2:$A1000,Metadata!$B$2:$B1000))),R$1,"""")"),"")</f>
        <v/>
      </c>
      <c r="S262" s="34" t="str">
        <f>IFERROR(__xludf.DUMMYFUNCTION("IF(IF(S$1="""","""",REGEXMATCH(LOWER($E262),XLOOKUP(S$1,Metadata!$A$2:$A1000,Metadata!$B$2:$B1000))),S$1,"""")"),"")</f>
        <v/>
      </c>
      <c r="T262" s="34" t="str">
        <f>IFERROR(__xludf.DUMMYFUNCTION("IF(IF(T$1="""","""",REGEXMATCH(LOWER($E262),XLOOKUP(T$1,Metadata!$A$2:$A1000,Metadata!$B$2:$B1000))),T$1,"""")"),"")</f>
        <v/>
      </c>
      <c r="U262" s="34" t="str">
        <f>IFERROR(__xludf.DUMMYFUNCTION("IF(IF(U$1="""","""",REGEXMATCH(LOWER($E262),XLOOKUP(U$1,Metadata!$A$2:$A1000,Metadata!$B$2:$B1000))),U$1,"""")"),"")</f>
        <v/>
      </c>
      <c r="V262" s="34" t="str">
        <f>IFERROR(__xludf.DUMMYFUNCTION("IF(IF(V$1="""","""",REGEXMATCH(LOWER($E262),XLOOKUP(V$1,Metadata!$A$2:$A1000,Metadata!$B$2:$B1000))),V$1,"""")"),"")</f>
        <v/>
      </c>
      <c r="W262" s="34" t="str">
        <f>IFERROR(__xludf.DUMMYFUNCTION("IF(IF(W$1="""","""",REGEXMATCH(LOWER($E262),XLOOKUP(W$1,Metadata!$A$2:$A1000,Metadata!$B$2:$B1000))),W$1,"""")"),"Move")</f>
        <v>Move</v>
      </c>
      <c r="X262" s="34" t="str">
        <f>IFERROR(__xludf.DUMMYFUNCTION("IF(IF(X$1="""","""",REGEXMATCH(LOWER($E262),XLOOKUP(X$1,Metadata!$A$2:$A1000,Metadata!$B$2:$B1000))),X$1,"""")"),"")</f>
        <v/>
      </c>
      <c r="Y262" s="34" t="str">
        <f>IFERROR(__xludf.DUMMYFUNCTION("IF(IF(Y$1="""","""",REGEXMATCH(LOWER($E262),XLOOKUP(Y$1,Metadata!$A$2:$A1000,Metadata!$B$2:$B1000))),Y$1,"""")"),"")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I263">XLOOKUP($A263,Cards!$A$2:$A1000,Cards!$B$2:$I1000,"")</f>
        <v>Nature</v>
      </c>
      <c r="C263" s="34">
        <v>1.0</v>
      </c>
      <c r="D263" s="34" t="s">
        <v>383</v>
      </c>
      <c r="E263" s="34" t="s">
        <v>1705</v>
      </c>
      <c r="F263" s="34" t="s">
        <v>1706</v>
      </c>
      <c r="G263" s="34">
        <v>6.0</v>
      </c>
      <c r="H263" s="34" t="s">
        <v>1667</v>
      </c>
      <c r="I263" s="34" t="s">
        <v>70</v>
      </c>
      <c r="J263" s="34">
        <f>IFERROR(__xludf.DUMMYFUNCTION("LEN(REGEXREPLACE(XLOOKUP($A263,Cards!$A$2:$A1000,Cards!$H$2:$H1000,""""),"",\s"",""""))"),5.0)</f>
        <v>5</v>
      </c>
      <c r="K263" s="34" t="str">
        <f t="shared" si="1"/>
        <v>      Ramp         </v>
      </c>
      <c r="L263" s="34" t="str">
        <f>IFERROR(__xludf.DUMMYFUNCTION("IF(IF(L$1="""","""",REGEXMATCH(LOWER($E263),XLOOKUP(L$1,Metadata!$A$2:$A1000,Metadata!$B$2:$B1000))),L$1,"""")"),"")</f>
        <v/>
      </c>
      <c r="M263" s="34" t="str">
        <f>IFERROR(__xludf.DUMMYFUNCTION("IF(IF(M$1="""","""",REGEXMATCH(LOWER($E263),XLOOKUP(M$1,Metadata!$A$2:$A1000,Metadata!$B$2:$B1000))),M$1,"""")"),"")</f>
        <v/>
      </c>
      <c r="N263" s="34" t="str">
        <f>IFERROR(__xludf.DUMMYFUNCTION("IF(IF(N$1="""","""",REGEXMATCH(LOWER($E263),XLOOKUP(N$1,Metadata!$A$2:$A1000,Metadata!$B$2:$B1000))),N$1,"""")"),"")</f>
        <v/>
      </c>
      <c r="O263" s="34" t="str">
        <f>IFERROR(__xludf.DUMMYFUNCTION("IF(IF(O$1="""","""",REGEXMATCH(LOWER($E263),XLOOKUP(O$1,Metadata!$A$2:$A1000,Metadata!$B$2:$B1000))),O$1,"""")"),"")</f>
        <v/>
      </c>
      <c r="P263" s="34" t="str">
        <f>IFERROR(__xludf.DUMMYFUNCTION("IF(IF(P$1="""","""",REGEXMATCH(LOWER($E263),XLOOKUP(P$1,Metadata!$A$2:$A1000,Metadata!$B$2:$B1000))),P$1,"""")"),"")</f>
        <v/>
      </c>
      <c r="Q263" s="34" t="str">
        <f>IFERROR(__xludf.DUMMYFUNCTION("IF(IF(Q$1="""","""",REGEXMATCH(LOWER($E263),XLOOKUP(Q$1,Metadata!$A$2:$A1000,Metadata!$B$2:$B1000))),Q$1,"""")"),"")</f>
        <v/>
      </c>
      <c r="R263" s="34" t="str">
        <f>IFERROR(__xludf.DUMMYFUNCTION("IF(IF(R$1="""","""",REGEXMATCH(LOWER($E263),XLOOKUP(R$1,Metadata!$A$2:$A1000,Metadata!$B$2:$B1000))),R$1,"""")"),"Ramp")</f>
        <v>Ramp</v>
      </c>
      <c r="S263" s="34" t="str">
        <f>IFERROR(__xludf.DUMMYFUNCTION("IF(IF(S$1="""","""",REGEXMATCH(LOWER($E263),XLOOKUP(S$1,Metadata!$A$2:$A1000,Metadata!$B$2:$B1000))),S$1,"""")"),"")</f>
        <v/>
      </c>
      <c r="T263" s="34" t="str">
        <f>IFERROR(__xludf.DUMMYFUNCTION("IF(IF(T$1="""","""",REGEXMATCH(LOWER($E263),XLOOKUP(T$1,Metadata!$A$2:$A1000,Metadata!$B$2:$B1000))),T$1,"""")"),"")</f>
        <v/>
      </c>
      <c r="U263" s="34" t="str">
        <f>IFERROR(__xludf.DUMMYFUNCTION("IF(IF(U$1="""","""",REGEXMATCH(LOWER($E263),XLOOKUP(U$1,Metadata!$A$2:$A1000,Metadata!$B$2:$B1000))),U$1,"""")"),"")</f>
        <v/>
      </c>
      <c r="V263" s="34" t="str">
        <f>IFERROR(__xludf.DUMMYFUNCTION("IF(IF(V$1="""","""",REGEXMATCH(LOWER($E263),XLOOKUP(V$1,Metadata!$A$2:$A1000,Metadata!$B$2:$B1000))),V$1,"""")"),"")</f>
        <v/>
      </c>
      <c r="W263" s="34" t="str">
        <f>IFERROR(__xludf.DUMMYFUNCTION("IF(IF(W$1="""","""",REGEXMATCH(LOWER($E263),XLOOKUP(W$1,Metadata!$A$2:$A1000,Metadata!$B$2:$B1000))),W$1,"""")"),"")</f>
        <v/>
      </c>
      <c r="X263" s="34" t="str">
        <f>IFERROR(__xludf.DUMMYFUNCTION("IF(IF(X$1="""","""",REGEXMATCH(LOWER($E263),XLOOKUP(X$1,Metadata!$A$2:$A1000,Metadata!$B$2:$B1000))),X$1,"""")"),"")</f>
        <v/>
      </c>
      <c r="Y263" s="34" t="str">
        <f>IFERROR(__xludf.DUMMYFUNCTION("IF(IF(Y$1="""","""",REGEXMATCH(LOWER($E263),XLOOKUP(Y$1,Metadata!$A$2:$A1000,Metadata!$B$2:$B1000))),Y$1,"""")"),"")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I264">XLOOKUP($A264,Cards!$A$2:$A1000,Cards!$B$2:$I1000,"")</f>
        <v>Nature</v>
      </c>
      <c r="C264" s="34">
        <v>1.0</v>
      </c>
      <c r="D264" s="34" t="s">
        <v>111</v>
      </c>
      <c r="E264" s="34" t="s">
        <v>1708</v>
      </c>
      <c r="F264" s="34" t="s">
        <v>1709</v>
      </c>
      <c r="G264" s="34">
        <v>4.0</v>
      </c>
      <c r="H264" s="34" t="s">
        <v>1667</v>
      </c>
      <c r="I264" s="34" t="s">
        <v>70</v>
      </c>
      <c r="J264" s="34">
        <f>IFERROR(__xludf.DUMMYFUNCTION("LEN(REGEXREPLACE(XLOOKUP($A264,Cards!$A$2:$A1000,Cards!$H$2:$H1000,""""),"",\s"",""""))"),5.0)</f>
        <v>5</v>
      </c>
      <c r="K264" s="34" t="str">
        <f t="shared" si="1"/>
        <v>               </v>
      </c>
      <c r="L264" s="34" t="str">
        <f>IFERROR(__xludf.DUMMYFUNCTION("IF(IF(L$1="""","""",REGEXMATCH(LOWER($E264),XLOOKUP(L$1,Metadata!$A$2:$A1000,Metadata!$B$2:$B1000))),L$1,"""")"),"")</f>
        <v/>
      </c>
      <c r="M264" s="34" t="str">
        <f>IFERROR(__xludf.DUMMYFUNCTION("IF(IF(M$1="""","""",REGEXMATCH(LOWER($E264),XLOOKUP(M$1,Metadata!$A$2:$A1000,Metadata!$B$2:$B1000))),M$1,"""")"),"")</f>
        <v/>
      </c>
      <c r="N264" s="34" t="str">
        <f>IFERROR(__xludf.DUMMYFUNCTION("IF(IF(N$1="""","""",REGEXMATCH(LOWER($E264),XLOOKUP(N$1,Metadata!$A$2:$A1000,Metadata!$B$2:$B1000))),N$1,"""")"),"")</f>
        <v/>
      </c>
      <c r="O264" s="34" t="str">
        <f>IFERROR(__xludf.DUMMYFUNCTION("IF(IF(O$1="""","""",REGEXMATCH(LOWER($E264),XLOOKUP(O$1,Metadata!$A$2:$A1000,Metadata!$B$2:$B1000))),O$1,"""")"),"")</f>
        <v/>
      </c>
      <c r="P264" s="34" t="str">
        <f>IFERROR(__xludf.DUMMYFUNCTION("IF(IF(P$1="""","""",REGEXMATCH(LOWER($E264),XLOOKUP(P$1,Metadata!$A$2:$A1000,Metadata!$B$2:$B1000))),P$1,"""")"),"")</f>
        <v/>
      </c>
      <c r="Q264" s="34" t="str">
        <f>IFERROR(__xludf.DUMMYFUNCTION("IF(IF(Q$1="""","""",REGEXMATCH(LOWER($E264),XLOOKUP(Q$1,Metadata!$A$2:$A1000,Metadata!$B$2:$B1000))),Q$1,"""")"),"")</f>
        <v/>
      </c>
      <c r="R264" s="34" t="str">
        <f>IFERROR(__xludf.DUMMYFUNCTION("IF(IF(R$1="""","""",REGEXMATCH(LOWER($E264),XLOOKUP(R$1,Metadata!$A$2:$A1000,Metadata!$B$2:$B1000))),R$1,"""")"),"")</f>
        <v/>
      </c>
      <c r="S264" s="34" t="str">
        <f>IFERROR(__xludf.DUMMYFUNCTION("IF(IF(S$1="""","""",REGEXMATCH(LOWER($E264),XLOOKUP(S$1,Metadata!$A$2:$A1000,Metadata!$B$2:$B1000))),S$1,"""")"),"")</f>
        <v/>
      </c>
      <c r="T264" s="34" t="str">
        <f>IFERROR(__xludf.DUMMYFUNCTION("IF(IF(T$1="""","""",REGEXMATCH(LOWER($E264),XLOOKUP(T$1,Metadata!$A$2:$A1000,Metadata!$B$2:$B1000))),T$1,"""")"),"")</f>
        <v/>
      </c>
      <c r="U264" s="34" t="str">
        <f>IFERROR(__xludf.DUMMYFUNCTION("IF(IF(U$1="""","""",REGEXMATCH(LOWER($E264),XLOOKUP(U$1,Metadata!$A$2:$A1000,Metadata!$B$2:$B1000))),U$1,"""")"),"")</f>
        <v/>
      </c>
      <c r="V264" s="34" t="str">
        <f>IFERROR(__xludf.DUMMYFUNCTION("IF(IF(V$1="""","""",REGEXMATCH(LOWER($E264),XLOOKUP(V$1,Metadata!$A$2:$A1000,Metadata!$B$2:$B1000))),V$1,"""")"),"")</f>
        <v/>
      </c>
      <c r="W264" s="34" t="str">
        <f>IFERROR(__xludf.DUMMYFUNCTION("IF(IF(W$1="""","""",REGEXMATCH(LOWER($E264),XLOOKUP(W$1,Metadata!$A$2:$A1000,Metadata!$B$2:$B1000))),W$1,"""")"),"")</f>
        <v/>
      </c>
      <c r="X264" s="34" t="str">
        <f>IFERROR(__xludf.DUMMYFUNCTION("IF(IF(X$1="""","""",REGEXMATCH(LOWER($E264),XLOOKUP(X$1,Metadata!$A$2:$A1000,Metadata!$B$2:$B1000))),X$1,"""")"),"")</f>
        <v/>
      </c>
      <c r="Y264" s="34" t="str">
        <f>IFERROR(__xludf.DUMMYFUNCTION("IF(IF(Y$1="""","""",REGEXMATCH(LOWER($E264),XLOOKUP(Y$1,Metadata!$A$2:$A1000,Metadata!$B$2:$B1000))),Y$1,"""")"),"")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I265">XLOOKUP($A265,Cards!$A$2:$A1000,Cards!$B$2:$I1000,"")</f>
        <v>Nature</v>
      </c>
      <c r="C265" s="34">
        <v>2.0</v>
      </c>
      <c r="D265" s="34" t="s">
        <v>1679</v>
      </c>
      <c r="E265" s="34" t="s">
        <v>1711</v>
      </c>
      <c r="F265" s="34" t="s">
        <v>1712</v>
      </c>
      <c r="G265" s="34">
        <v>3.0</v>
      </c>
      <c r="H265" s="34" t="s">
        <v>1701</v>
      </c>
      <c r="I265" s="34" t="s">
        <v>26</v>
      </c>
      <c r="J265" s="34">
        <f>IFERROR(__xludf.DUMMYFUNCTION("LEN(REGEXREPLACE(XLOOKUP($A265,Cards!$A$2:$A1000,Cards!$H$2:$H1000,""""),"",\s"",""""))"),4.0)</f>
        <v>4</v>
      </c>
      <c r="K265" s="34" t="str">
        <f t="shared" si="1"/>
        <v>         Aggro      </v>
      </c>
      <c r="L265" s="34" t="str">
        <f>IFERROR(__xludf.DUMMYFUNCTION("IF(IF(L$1="""","""",REGEXMATCH(LOWER($E265),XLOOKUP(L$1,Metadata!$A$2:$A1000,Metadata!$B$2:$B1000))),L$1,"""")"),"")</f>
        <v/>
      </c>
      <c r="M265" s="34" t="str">
        <f>IFERROR(__xludf.DUMMYFUNCTION("IF(IF(M$1="""","""",REGEXMATCH(LOWER($E265),XLOOKUP(M$1,Metadata!$A$2:$A1000,Metadata!$B$2:$B1000))),M$1,"""")"),"")</f>
        <v/>
      </c>
      <c r="N265" s="34" t="str">
        <f>IFERROR(__xludf.DUMMYFUNCTION("IF(IF(N$1="""","""",REGEXMATCH(LOWER($E265),XLOOKUP(N$1,Metadata!$A$2:$A1000,Metadata!$B$2:$B1000))),N$1,"""")"),"")</f>
        <v/>
      </c>
      <c r="O265" s="34" t="str">
        <f>IFERROR(__xludf.DUMMYFUNCTION("IF(IF(O$1="""","""",REGEXMATCH(LOWER($E265),XLOOKUP(O$1,Metadata!$A$2:$A1000,Metadata!$B$2:$B1000))),O$1,"""")"),"")</f>
        <v/>
      </c>
      <c r="P265" s="34" t="str">
        <f>IFERROR(__xludf.DUMMYFUNCTION("IF(IF(P$1="""","""",REGEXMATCH(LOWER($E265),XLOOKUP(P$1,Metadata!$A$2:$A1000,Metadata!$B$2:$B1000))),P$1,"""")"),"")</f>
        <v/>
      </c>
      <c r="Q265" s="34" t="str">
        <f>IFERROR(__xludf.DUMMYFUNCTION("IF(IF(Q$1="""","""",REGEXMATCH(LOWER($E265),XLOOKUP(Q$1,Metadata!$A$2:$A1000,Metadata!$B$2:$B1000))),Q$1,"""")"),"")</f>
        <v/>
      </c>
      <c r="R265" s="34" t="str">
        <f>IFERROR(__xludf.DUMMYFUNCTION("IF(IF(R$1="""","""",REGEXMATCH(LOWER($E265),XLOOKUP(R$1,Metadata!$A$2:$A1000,Metadata!$B$2:$B1000))),R$1,"""")"),"")</f>
        <v/>
      </c>
      <c r="S265" s="34" t="str">
        <f>IFERROR(__xludf.DUMMYFUNCTION("IF(IF(S$1="""","""",REGEXMATCH(LOWER($E265),XLOOKUP(S$1,Metadata!$A$2:$A1000,Metadata!$B$2:$B1000))),S$1,"""")"),"")</f>
        <v/>
      </c>
      <c r="T265" s="34" t="str">
        <f>IFERROR(__xludf.DUMMYFUNCTION("IF(IF(T$1="""","""",REGEXMATCH(LOWER($E265),XLOOKUP(T$1,Metadata!$A$2:$A1000,Metadata!$B$2:$B1000))),T$1,"""")"),"")</f>
        <v/>
      </c>
      <c r="U265" s="34" t="str">
        <f>IFERROR(__xludf.DUMMYFUNCTION("IF(IF(U$1="""","""",REGEXMATCH(LOWER($E265),XLOOKUP(U$1,Metadata!$A$2:$A1000,Metadata!$B$2:$B1000))),U$1,"""")"),"Aggro")</f>
        <v>Aggro</v>
      </c>
      <c r="V265" s="34" t="str">
        <f>IFERROR(__xludf.DUMMYFUNCTION("IF(IF(V$1="""","""",REGEXMATCH(LOWER($E265),XLOOKUP(V$1,Metadata!$A$2:$A1000,Metadata!$B$2:$B1000))),V$1,"""")"),"")</f>
        <v/>
      </c>
      <c r="W265" s="34" t="str">
        <f>IFERROR(__xludf.DUMMYFUNCTION("IF(IF(W$1="""","""",REGEXMATCH(LOWER($E265),XLOOKUP(W$1,Metadata!$A$2:$A1000,Metadata!$B$2:$B1000))),W$1,"""")"),"")</f>
        <v/>
      </c>
      <c r="X265" s="34" t="str">
        <f>IFERROR(__xludf.DUMMYFUNCTION("IF(IF(X$1="""","""",REGEXMATCH(LOWER($E265),XLOOKUP(X$1,Metadata!$A$2:$A1000,Metadata!$B$2:$B1000))),X$1,"""")"),"")</f>
        <v/>
      </c>
      <c r="Y265" s="34" t="str">
        <f>IFERROR(__xludf.DUMMYFUNCTION("IF(IF(Y$1="""","""",REGEXMATCH(LOWER($E265),XLOOKUP(Y$1,Metadata!$A$2:$A1000,Metadata!$B$2:$B1000))),Y$1,"""")"),"")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I266">XLOOKUP($A266,Cards!$A$2:$A1000,Cards!$B$2:$I1000,"")</f>
        <v>Nature</v>
      </c>
      <c r="C266" s="34">
        <v>1.0</v>
      </c>
      <c r="D266" s="34" t="s">
        <v>238</v>
      </c>
      <c r="E266" s="34" t="s">
        <v>81</v>
      </c>
      <c r="F266" s="34" t="s">
        <v>1714</v>
      </c>
      <c r="G266" s="34">
        <v>2.0</v>
      </c>
      <c r="H266" s="34" t="s">
        <v>1715</v>
      </c>
      <c r="I266" s="34" t="s">
        <v>26</v>
      </c>
      <c r="J266" s="34">
        <f>IFERROR(__xludf.DUMMYFUNCTION("LEN(REGEXREPLACE(XLOOKUP($A266,Cards!$A$2:$A1000,Cards!$H$2:$H1000,""""),"",\s"",""""))"),1.0)</f>
        <v>1</v>
      </c>
      <c r="K266" s="34" t="str">
        <f t="shared" si="1"/>
        <v>      Ramp         </v>
      </c>
      <c r="L266" s="34" t="str">
        <f>IFERROR(__xludf.DUMMYFUNCTION("IF(IF(L$1="""","""",REGEXMATCH(LOWER($E266),XLOOKUP(L$1,Metadata!$A$2:$A1000,Metadata!$B$2:$B1000))),L$1,"""")"),"")</f>
        <v/>
      </c>
      <c r="M266" s="34" t="str">
        <f>IFERROR(__xludf.DUMMYFUNCTION("IF(IF(M$1="""","""",REGEXMATCH(LOWER($E266),XLOOKUP(M$1,Metadata!$A$2:$A1000,Metadata!$B$2:$B1000))),M$1,"""")"),"")</f>
        <v/>
      </c>
      <c r="N266" s="34" t="str">
        <f>IFERROR(__xludf.DUMMYFUNCTION("IF(IF(N$1="""","""",REGEXMATCH(LOWER($E266),XLOOKUP(N$1,Metadata!$A$2:$A1000,Metadata!$B$2:$B1000))),N$1,"""")"),"")</f>
        <v/>
      </c>
      <c r="O266" s="34" t="str">
        <f>IFERROR(__xludf.DUMMYFUNCTION("IF(IF(O$1="""","""",REGEXMATCH(LOWER($E266),XLOOKUP(O$1,Metadata!$A$2:$A1000,Metadata!$B$2:$B1000))),O$1,"""")"),"")</f>
        <v/>
      </c>
      <c r="P266" s="34" t="str">
        <f>IFERROR(__xludf.DUMMYFUNCTION("IF(IF(P$1="""","""",REGEXMATCH(LOWER($E266),XLOOKUP(P$1,Metadata!$A$2:$A1000,Metadata!$B$2:$B1000))),P$1,"""")"),"")</f>
        <v/>
      </c>
      <c r="Q266" s="34" t="str">
        <f>IFERROR(__xludf.DUMMYFUNCTION("IF(IF(Q$1="""","""",REGEXMATCH(LOWER($E266),XLOOKUP(Q$1,Metadata!$A$2:$A1000,Metadata!$B$2:$B1000))),Q$1,"""")"),"")</f>
        <v/>
      </c>
      <c r="R266" s="34" t="str">
        <f>IFERROR(__xludf.DUMMYFUNCTION("IF(IF(R$1="""","""",REGEXMATCH(LOWER($E266),XLOOKUP(R$1,Metadata!$A$2:$A1000,Metadata!$B$2:$B1000))),R$1,"""")"),"Ramp")</f>
        <v>Ramp</v>
      </c>
      <c r="S266" s="34" t="str">
        <f>IFERROR(__xludf.DUMMYFUNCTION("IF(IF(S$1="""","""",REGEXMATCH(LOWER($E266),XLOOKUP(S$1,Metadata!$A$2:$A1000,Metadata!$B$2:$B1000))),S$1,"""")"),"")</f>
        <v/>
      </c>
      <c r="T266" s="34" t="str">
        <f>IFERROR(__xludf.DUMMYFUNCTION("IF(IF(T$1="""","""",REGEXMATCH(LOWER($E266),XLOOKUP(T$1,Metadata!$A$2:$A1000,Metadata!$B$2:$B1000))),T$1,"""")"),"")</f>
        <v/>
      </c>
      <c r="U266" s="34" t="str">
        <f>IFERROR(__xludf.DUMMYFUNCTION("IF(IF(U$1="""","""",REGEXMATCH(LOWER($E266),XLOOKUP(U$1,Metadata!$A$2:$A1000,Metadata!$B$2:$B1000))),U$1,"""")"),"")</f>
        <v/>
      </c>
      <c r="V266" s="34" t="str">
        <f>IFERROR(__xludf.DUMMYFUNCTION("IF(IF(V$1="""","""",REGEXMATCH(LOWER($E266),XLOOKUP(V$1,Metadata!$A$2:$A1000,Metadata!$B$2:$B1000))),V$1,"""")"),"")</f>
        <v/>
      </c>
      <c r="W266" s="34" t="str">
        <f>IFERROR(__xludf.DUMMYFUNCTION("IF(IF(W$1="""","""",REGEXMATCH(LOWER($E266),XLOOKUP(W$1,Metadata!$A$2:$A1000,Metadata!$B$2:$B1000))),W$1,"""")"),"")</f>
        <v/>
      </c>
      <c r="X266" s="34" t="str">
        <f>IFERROR(__xludf.DUMMYFUNCTION("IF(IF(X$1="""","""",REGEXMATCH(LOWER($E266),XLOOKUP(X$1,Metadata!$A$2:$A1000,Metadata!$B$2:$B1000))),X$1,"""")"),"")</f>
        <v/>
      </c>
      <c r="Y266" s="34" t="str">
        <f>IFERROR(__xludf.DUMMYFUNCTION("IF(IF(Y$1="""","""",REGEXMATCH(LOWER($E266),XLOOKUP(Y$1,Metadata!$A$2:$A1000,Metadata!$B$2:$B1000))),Y$1,"""")"),"")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I267">XLOOKUP($A267,Cards!$A$2:$A1000,Cards!$B$2:$I1000,"")</f>
        <v>Nature</v>
      </c>
      <c r="C267" s="34">
        <v>2.0</v>
      </c>
      <c r="D267" s="34" t="s">
        <v>1717</v>
      </c>
      <c r="E267" s="34" t="s">
        <v>1718</v>
      </c>
      <c r="F267" s="34" t="s">
        <v>1260</v>
      </c>
      <c r="G267" s="34">
        <v>4.0</v>
      </c>
      <c r="H267" s="34" t="s">
        <v>1701</v>
      </c>
      <c r="I267" s="34" t="s">
        <v>26</v>
      </c>
      <c r="J267" s="34">
        <f>IFERROR(__xludf.DUMMYFUNCTION("LEN(REGEXREPLACE(XLOOKUP($A267,Cards!$A$2:$A1000,Cards!$H$2:$H1000,""""),"",\s"",""""))"),4.0)</f>
        <v>4</v>
      </c>
      <c r="K267" s="34" t="str">
        <f t="shared" si="1"/>
        <v>               </v>
      </c>
      <c r="L267" s="34" t="str">
        <f>IFERROR(__xludf.DUMMYFUNCTION("IF(IF(L$1="""","""",REGEXMATCH(LOWER($E267),XLOOKUP(L$1,Metadata!$A$2:$A1000,Metadata!$B$2:$B1000))),L$1,"""")"),"")</f>
        <v/>
      </c>
      <c r="M267" s="34" t="str">
        <f>IFERROR(__xludf.DUMMYFUNCTION("IF(IF(M$1="""","""",REGEXMATCH(LOWER($E267),XLOOKUP(M$1,Metadata!$A$2:$A1000,Metadata!$B$2:$B1000))),M$1,"""")"),"")</f>
        <v/>
      </c>
      <c r="N267" s="34" t="str">
        <f>IFERROR(__xludf.DUMMYFUNCTION("IF(IF(N$1="""","""",REGEXMATCH(LOWER($E267),XLOOKUP(N$1,Metadata!$A$2:$A1000,Metadata!$B$2:$B1000))),N$1,"""")"),"")</f>
        <v/>
      </c>
      <c r="O267" s="34" t="str">
        <f>IFERROR(__xludf.DUMMYFUNCTION("IF(IF(O$1="""","""",REGEXMATCH(LOWER($E267),XLOOKUP(O$1,Metadata!$A$2:$A1000,Metadata!$B$2:$B1000))),O$1,"""")"),"")</f>
        <v/>
      </c>
      <c r="P267" s="34" t="str">
        <f>IFERROR(__xludf.DUMMYFUNCTION("IF(IF(P$1="""","""",REGEXMATCH(LOWER($E267),XLOOKUP(P$1,Metadata!$A$2:$A1000,Metadata!$B$2:$B1000))),P$1,"""")"),"")</f>
        <v/>
      </c>
      <c r="Q267" s="34" t="str">
        <f>IFERROR(__xludf.DUMMYFUNCTION("IF(IF(Q$1="""","""",REGEXMATCH(LOWER($E267),XLOOKUP(Q$1,Metadata!$A$2:$A1000,Metadata!$B$2:$B1000))),Q$1,"""")"),"")</f>
        <v/>
      </c>
      <c r="R267" s="34" t="str">
        <f>IFERROR(__xludf.DUMMYFUNCTION("IF(IF(R$1="""","""",REGEXMATCH(LOWER($E267),XLOOKUP(R$1,Metadata!$A$2:$A1000,Metadata!$B$2:$B1000))),R$1,"""")"),"")</f>
        <v/>
      </c>
      <c r="S267" s="34" t="str">
        <f>IFERROR(__xludf.DUMMYFUNCTION("IF(IF(S$1="""","""",REGEXMATCH(LOWER($E267),XLOOKUP(S$1,Metadata!$A$2:$A1000,Metadata!$B$2:$B1000))),S$1,"""")"),"")</f>
        <v/>
      </c>
      <c r="T267" s="34" t="str">
        <f>IFERROR(__xludf.DUMMYFUNCTION("IF(IF(T$1="""","""",REGEXMATCH(LOWER($E267),XLOOKUP(T$1,Metadata!$A$2:$A1000,Metadata!$B$2:$B1000))),T$1,"""")"),"")</f>
        <v/>
      </c>
      <c r="U267" s="34" t="str">
        <f>IFERROR(__xludf.DUMMYFUNCTION("IF(IF(U$1="""","""",REGEXMATCH(LOWER($E267),XLOOKUP(U$1,Metadata!$A$2:$A1000,Metadata!$B$2:$B1000))),U$1,"""")"),"")</f>
        <v/>
      </c>
      <c r="V267" s="34" t="str">
        <f>IFERROR(__xludf.DUMMYFUNCTION("IF(IF(V$1="""","""",REGEXMATCH(LOWER($E267),XLOOKUP(V$1,Metadata!$A$2:$A1000,Metadata!$B$2:$B1000))),V$1,"""")"),"")</f>
        <v/>
      </c>
      <c r="W267" s="34" t="str">
        <f>IFERROR(__xludf.DUMMYFUNCTION("IF(IF(W$1="""","""",REGEXMATCH(LOWER($E267),XLOOKUP(W$1,Metadata!$A$2:$A1000,Metadata!$B$2:$B1000))),W$1,"""")"),"")</f>
        <v/>
      </c>
      <c r="X267" s="34" t="str">
        <f>IFERROR(__xludf.DUMMYFUNCTION("IF(IF(X$1="""","""",REGEXMATCH(LOWER($E267),XLOOKUP(X$1,Metadata!$A$2:$A1000,Metadata!$B$2:$B1000))),X$1,"""")"),"")</f>
        <v/>
      </c>
      <c r="Y267" s="34" t="str">
        <f>IFERROR(__xludf.DUMMYFUNCTION("IF(IF(Y$1="""","""",REGEXMATCH(LOWER($E267),XLOOKUP(Y$1,Metadata!$A$2:$A1000,Metadata!$B$2:$B1000))),Y$1,"""")"),"")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I268">XLOOKUP($A268,Cards!$A$2:$A1000,Cards!$B$2:$I1000,"")</f>
        <v>Nature</v>
      </c>
      <c r="C268" s="34">
        <v>2.0</v>
      </c>
      <c r="D268" s="34" t="s">
        <v>1720</v>
      </c>
      <c r="E268" s="34" t="s">
        <v>1721</v>
      </c>
      <c r="F268" s="34" t="s">
        <v>1722</v>
      </c>
      <c r="G268" s="34">
        <v>6.0</v>
      </c>
      <c r="H268" s="34" t="s">
        <v>1723</v>
      </c>
      <c r="I268" s="34" t="s">
        <v>32</v>
      </c>
      <c r="J268" s="34">
        <f>IFERROR(__xludf.DUMMYFUNCTION("LEN(REGEXREPLACE(XLOOKUP($A268,Cards!$A$2:$A1000,Cards!$H$2:$H1000,""""),"",\s"",""""))"),7.0)</f>
        <v>7</v>
      </c>
      <c r="K268" s="34" t="str">
        <f t="shared" si="1"/>
        <v>      Ramp         </v>
      </c>
      <c r="L268" s="34" t="str">
        <f>IFERROR(__xludf.DUMMYFUNCTION("IF(IF(L$1="""","""",REGEXMATCH(LOWER($E268),XLOOKUP(L$1,Metadata!$A$2:$A1000,Metadata!$B$2:$B1000))),L$1,"""")"),"")</f>
        <v/>
      </c>
      <c r="M268" s="34" t="str">
        <f>IFERROR(__xludf.DUMMYFUNCTION("IF(IF(M$1="""","""",REGEXMATCH(LOWER($E268),XLOOKUP(M$1,Metadata!$A$2:$A1000,Metadata!$B$2:$B1000))),M$1,"""")"),"")</f>
        <v/>
      </c>
      <c r="N268" s="34" t="str">
        <f>IFERROR(__xludf.DUMMYFUNCTION("IF(IF(N$1="""","""",REGEXMATCH(LOWER($E268),XLOOKUP(N$1,Metadata!$A$2:$A1000,Metadata!$B$2:$B1000))),N$1,"""")"),"")</f>
        <v/>
      </c>
      <c r="O268" s="34" t="str">
        <f>IFERROR(__xludf.DUMMYFUNCTION("IF(IF(O$1="""","""",REGEXMATCH(LOWER($E268),XLOOKUP(O$1,Metadata!$A$2:$A1000,Metadata!$B$2:$B1000))),O$1,"""")"),"")</f>
        <v/>
      </c>
      <c r="P268" s="34" t="str">
        <f>IFERROR(__xludf.DUMMYFUNCTION("IF(IF(P$1="""","""",REGEXMATCH(LOWER($E268),XLOOKUP(P$1,Metadata!$A$2:$A1000,Metadata!$B$2:$B1000))),P$1,"""")"),"")</f>
        <v/>
      </c>
      <c r="Q268" s="34" t="str">
        <f>IFERROR(__xludf.DUMMYFUNCTION("IF(IF(Q$1="""","""",REGEXMATCH(LOWER($E268),XLOOKUP(Q$1,Metadata!$A$2:$A1000,Metadata!$B$2:$B1000))),Q$1,"""")"),"")</f>
        <v/>
      </c>
      <c r="R268" s="34" t="str">
        <f>IFERROR(__xludf.DUMMYFUNCTION("IF(IF(R$1="""","""",REGEXMATCH(LOWER($E268),XLOOKUP(R$1,Metadata!$A$2:$A1000,Metadata!$B$2:$B1000))),R$1,"""")"),"Ramp")</f>
        <v>Ramp</v>
      </c>
      <c r="S268" s="34" t="str">
        <f>IFERROR(__xludf.DUMMYFUNCTION("IF(IF(S$1="""","""",REGEXMATCH(LOWER($E268),XLOOKUP(S$1,Metadata!$A$2:$A1000,Metadata!$B$2:$B1000))),S$1,"""")"),"")</f>
        <v/>
      </c>
      <c r="T268" s="34" t="str">
        <f>IFERROR(__xludf.DUMMYFUNCTION("IF(IF(T$1="""","""",REGEXMATCH(LOWER($E268),XLOOKUP(T$1,Metadata!$A$2:$A1000,Metadata!$B$2:$B1000))),T$1,"""")"),"")</f>
        <v/>
      </c>
      <c r="U268" s="34" t="str">
        <f>IFERROR(__xludf.DUMMYFUNCTION("IF(IF(U$1="""","""",REGEXMATCH(LOWER($E268),XLOOKUP(U$1,Metadata!$A$2:$A1000,Metadata!$B$2:$B1000))),U$1,"""")"),"")</f>
        <v/>
      </c>
      <c r="V268" s="34" t="str">
        <f>IFERROR(__xludf.DUMMYFUNCTION("IF(IF(V$1="""","""",REGEXMATCH(LOWER($E268),XLOOKUP(V$1,Metadata!$A$2:$A1000,Metadata!$B$2:$B1000))),V$1,"""")"),"")</f>
        <v/>
      </c>
      <c r="W268" s="34" t="str">
        <f>IFERROR(__xludf.DUMMYFUNCTION("IF(IF(W$1="""","""",REGEXMATCH(LOWER($E268),XLOOKUP(W$1,Metadata!$A$2:$A1000,Metadata!$B$2:$B1000))),W$1,"""")"),"")</f>
        <v/>
      </c>
      <c r="X268" s="34" t="str">
        <f>IFERROR(__xludf.DUMMYFUNCTION("IF(IF(X$1="""","""",REGEXMATCH(LOWER($E268),XLOOKUP(X$1,Metadata!$A$2:$A1000,Metadata!$B$2:$B1000))),X$1,"""")"),"")</f>
        <v/>
      </c>
      <c r="Y268" s="34" t="str">
        <f>IFERROR(__xludf.DUMMYFUNCTION("IF(IF(Y$1="""","""",REGEXMATCH(LOWER($E268),XLOOKUP(Y$1,Metadata!$A$2:$A1000,Metadata!$B$2:$B1000))),Y$1,"""")"),"")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I269">XLOOKUP($A269,Cards!$A$2:$A1000,Cards!$B$2:$I1000,"")</f>
        <v>Nature</v>
      </c>
      <c r="C269" s="34">
        <v>2.0</v>
      </c>
      <c r="D269" s="34" t="s">
        <v>919</v>
      </c>
      <c r="E269" s="34" t="s">
        <v>1725</v>
      </c>
      <c r="F269" s="34" t="s">
        <v>1726</v>
      </c>
      <c r="G269" s="34">
        <v>3.0</v>
      </c>
      <c r="H269" s="34" t="s">
        <v>1526</v>
      </c>
      <c r="I269" s="34" t="s">
        <v>70</v>
      </c>
      <c r="J269" s="34">
        <f>IFERROR(__xludf.DUMMYFUNCTION("LEN(REGEXREPLACE(XLOOKUP($A269,Cards!$A$2:$A1000,Cards!$H$2:$H1000,""""),"",\s"",""""))"),4.0)</f>
        <v>4</v>
      </c>
      <c r="K269" s="34" t="str">
        <f t="shared" si="1"/>
        <v>       Control  Aggro Empty-Crystal  Ambush   </v>
      </c>
      <c r="L269" s="34" t="str">
        <f>IFERROR(__xludf.DUMMYFUNCTION("IF(IF(L$1="""","""",REGEXMATCH(LOWER($E269),XLOOKUP(L$1,Metadata!$A$2:$A1000,Metadata!$B$2:$B1000))),L$1,"""")"),"")</f>
        <v/>
      </c>
      <c r="M269" s="34" t="str">
        <f>IFERROR(__xludf.DUMMYFUNCTION("IF(IF(M$1="""","""",REGEXMATCH(LOWER($E269),XLOOKUP(M$1,Metadata!$A$2:$A1000,Metadata!$B$2:$B1000))),M$1,"""")"),"")</f>
        <v/>
      </c>
      <c r="N269" s="34" t="str">
        <f>IFERROR(__xludf.DUMMYFUNCTION("IF(IF(N$1="""","""",REGEXMATCH(LOWER($E269),XLOOKUP(N$1,Metadata!$A$2:$A1000,Metadata!$B$2:$B1000))),N$1,"""")"),"")</f>
        <v/>
      </c>
      <c r="O269" s="34" t="str">
        <f>IFERROR(__xludf.DUMMYFUNCTION("IF(IF(O$1="""","""",REGEXMATCH(LOWER($E269),XLOOKUP(O$1,Metadata!$A$2:$A1000,Metadata!$B$2:$B1000))),O$1,"""")"),"")</f>
        <v/>
      </c>
      <c r="P269" s="34" t="str">
        <f>IFERROR(__xludf.DUMMYFUNCTION("IF(IF(P$1="""","""",REGEXMATCH(LOWER($E269),XLOOKUP(P$1,Metadata!$A$2:$A1000,Metadata!$B$2:$B1000))),P$1,"""")"),"")</f>
        <v/>
      </c>
      <c r="Q269" s="34" t="str">
        <f>IFERROR(__xludf.DUMMYFUNCTION("IF(IF(Q$1="""","""",REGEXMATCH(LOWER($E269),XLOOKUP(Q$1,Metadata!$A$2:$A1000,Metadata!$B$2:$B1000))),Q$1,"""")"),"")</f>
        <v/>
      </c>
      <c r="R269" s="34" t="str">
        <f>IFERROR(__xludf.DUMMYFUNCTION("IF(IF(R$1="""","""",REGEXMATCH(LOWER($E269),XLOOKUP(R$1,Metadata!$A$2:$A1000,Metadata!$B$2:$B1000))),R$1,"""")"),"")</f>
        <v/>
      </c>
      <c r="S269" s="34" t="str">
        <f>IFERROR(__xludf.DUMMYFUNCTION("IF(IF(S$1="""","""",REGEXMATCH(LOWER($E269),XLOOKUP(S$1,Metadata!$A$2:$A1000,Metadata!$B$2:$B1000))),S$1,"""")"),"Control")</f>
        <v>Control</v>
      </c>
      <c r="T269" s="34" t="str">
        <f>IFERROR(__xludf.DUMMYFUNCTION("IF(IF(T$1="""","""",REGEXMATCH(LOWER($E269),XLOOKUP(T$1,Metadata!$A$2:$A1000,Metadata!$B$2:$B1000))),T$1,"""")"),"")</f>
        <v/>
      </c>
      <c r="U269" s="34" t="str">
        <f>IFERROR(__xludf.DUMMYFUNCTION("IF(IF(U$1="""","""",REGEXMATCH(LOWER($E269),XLOOKUP(U$1,Metadata!$A$2:$A1000,Metadata!$B$2:$B1000))),U$1,"""")"),"Aggro")</f>
        <v>Aggro</v>
      </c>
      <c r="V269" s="34" t="str">
        <f>IFERROR(__xludf.DUMMYFUNCTION("IF(IF(V$1="""","""",REGEXMATCH(LOWER($E269),XLOOKUP(V$1,Metadata!$A$2:$A1000,Metadata!$B$2:$B1000))),V$1,"""")"),"Empty-Crystal")</f>
        <v>Empty-Crystal</v>
      </c>
      <c r="W269" s="34" t="str">
        <f>IFERROR(__xludf.DUMMYFUNCTION("IF(IF(W$1="""","""",REGEXMATCH(LOWER($E269),XLOOKUP(W$1,Metadata!$A$2:$A1000,Metadata!$B$2:$B1000))),W$1,"""")"),"")</f>
        <v/>
      </c>
      <c r="X269" s="34" t="str">
        <f>IFERROR(__xludf.DUMMYFUNCTION("IF(IF(X$1="""","""",REGEXMATCH(LOWER($E269),XLOOKUP(X$1,Metadata!$A$2:$A1000,Metadata!$B$2:$B1000))),X$1,"""")"),"Ambush")</f>
        <v>Ambush</v>
      </c>
      <c r="Y269" s="34" t="str">
        <f>IFERROR(__xludf.DUMMYFUNCTION("IF(IF(Y$1="""","""",REGEXMATCH(LOWER($E269),XLOOKUP(Y$1,Metadata!$A$2:$A1000,Metadata!$B$2:$B1000))),Y$1,"""")"),"")</f>
        <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I270">XLOOKUP($A270,Cards!$A$2:$A1000,Cards!$B$2:$I1000,"")</f>
        <v>Nature</v>
      </c>
      <c r="C270" s="34">
        <v>1.0</v>
      </c>
      <c r="D270" s="34" t="s">
        <v>387</v>
      </c>
      <c r="E270" s="34" t="s">
        <v>1728</v>
      </c>
      <c r="F270" s="34" t="s">
        <v>1729</v>
      </c>
      <c r="G270" s="34">
        <v>2.0</v>
      </c>
      <c r="H270" s="34" t="s">
        <v>1530</v>
      </c>
      <c r="I270" s="34" t="s">
        <v>70</v>
      </c>
      <c r="J270" s="34">
        <f>IFERROR(__xludf.DUMMYFUNCTION("LEN(REGEXREPLACE(XLOOKUP($A270,Cards!$A$2:$A1000,Cards!$H$2:$H1000,""""),"",\s"",""""))"),3.0)</f>
        <v>3</v>
      </c>
      <c r="K270" s="34" t="str">
        <f t="shared" si="1"/>
        <v>      Ramp         </v>
      </c>
      <c r="L270" s="34" t="str">
        <f>IFERROR(__xludf.DUMMYFUNCTION("IF(IF(L$1="""","""",REGEXMATCH(LOWER($E270),XLOOKUP(L$1,Metadata!$A$2:$A1000,Metadata!$B$2:$B1000))),L$1,"""")"),"")</f>
        <v/>
      </c>
      <c r="M270" s="34" t="str">
        <f>IFERROR(__xludf.DUMMYFUNCTION("IF(IF(M$1="""","""",REGEXMATCH(LOWER($E270),XLOOKUP(M$1,Metadata!$A$2:$A1000,Metadata!$B$2:$B1000))),M$1,"""")"),"")</f>
        <v/>
      </c>
      <c r="N270" s="34" t="str">
        <f>IFERROR(__xludf.DUMMYFUNCTION("IF(IF(N$1="""","""",REGEXMATCH(LOWER($E270),XLOOKUP(N$1,Metadata!$A$2:$A1000,Metadata!$B$2:$B1000))),N$1,"""")"),"")</f>
        <v/>
      </c>
      <c r="O270" s="34" t="str">
        <f>IFERROR(__xludf.DUMMYFUNCTION("IF(IF(O$1="""","""",REGEXMATCH(LOWER($E270),XLOOKUP(O$1,Metadata!$A$2:$A1000,Metadata!$B$2:$B1000))),O$1,"""")"),"")</f>
        <v/>
      </c>
      <c r="P270" s="34" t="str">
        <f>IFERROR(__xludf.DUMMYFUNCTION("IF(IF(P$1="""","""",REGEXMATCH(LOWER($E270),XLOOKUP(P$1,Metadata!$A$2:$A1000,Metadata!$B$2:$B1000))),P$1,"""")"),"")</f>
        <v/>
      </c>
      <c r="Q270" s="34" t="str">
        <f>IFERROR(__xludf.DUMMYFUNCTION("IF(IF(Q$1="""","""",REGEXMATCH(LOWER($E270),XLOOKUP(Q$1,Metadata!$A$2:$A1000,Metadata!$B$2:$B1000))),Q$1,"""")"),"")</f>
        <v/>
      </c>
      <c r="R270" s="34" t="str">
        <f>IFERROR(__xludf.DUMMYFUNCTION("IF(IF(R$1="""","""",REGEXMATCH(LOWER($E270),XLOOKUP(R$1,Metadata!$A$2:$A1000,Metadata!$B$2:$B1000))),R$1,"""")"),"Ramp")</f>
        <v>Ramp</v>
      </c>
      <c r="S270" s="34" t="str">
        <f>IFERROR(__xludf.DUMMYFUNCTION("IF(IF(S$1="""","""",REGEXMATCH(LOWER($E270),XLOOKUP(S$1,Metadata!$A$2:$A1000,Metadata!$B$2:$B1000))),S$1,"""")"),"")</f>
        <v/>
      </c>
      <c r="T270" s="34" t="str">
        <f>IFERROR(__xludf.DUMMYFUNCTION("IF(IF(T$1="""","""",REGEXMATCH(LOWER($E270),XLOOKUP(T$1,Metadata!$A$2:$A1000,Metadata!$B$2:$B1000))),T$1,"""")"),"")</f>
        <v/>
      </c>
      <c r="U270" s="34" t="str">
        <f>IFERROR(__xludf.DUMMYFUNCTION("IF(IF(U$1="""","""",REGEXMATCH(LOWER($E270),XLOOKUP(U$1,Metadata!$A$2:$A1000,Metadata!$B$2:$B1000))),U$1,"""")"),"")</f>
        <v/>
      </c>
      <c r="V270" s="34" t="str">
        <f>IFERROR(__xludf.DUMMYFUNCTION("IF(IF(V$1="""","""",REGEXMATCH(LOWER($E270),XLOOKUP(V$1,Metadata!$A$2:$A1000,Metadata!$B$2:$B1000))),V$1,"""")"),"")</f>
        <v/>
      </c>
      <c r="W270" s="34" t="str">
        <f>IFERROR(__xludf.DUMMYFUNCTION("IF(IF(W$1="""","""",REGEXMATCH(LOWER($E270),XLOOKUP(W$1,Metadata!$A$2:$A1000,Metadata!$B$2:$B1000))),W$1,"""")"),"")</f>
        <v/>
      </c>
      <c r="X270" s="34" t="str">
        <f>IFERROR(__xludf.DUMMYFUNCTION("IF(IF(X$1="""","""",REGEXMATCH(LOWER($E270),XLOOKUP(X$1,Metadata!$A$2:$A1000,Metadata!$B$2:$B1000))),X$1,"""")"),"")</f>
        <v/>
      </c>
      <c r="Y270" s="34" t="str">
        <f>IFERROR(__xludf.DUMMYFUNCTION("IF(IF(Y$1="""","""",REGEXMATCH(LOWER($E270),XLOOKUP(Y$1,Metadata!$A$2:$A1000,Metadata!$B$2:$B1000))),Y$1,"""")"),"")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I271">XLOOKUP($A271,Cards!$A$2:$A1000,Cards!$B$2:$I1000,"")</f>
        <v>Nature</v>
      </c>
      <c r="C271" s="34">
        <v>2.0</v>
      </c>
      <c r="D271" s="34" t="s">
        <v>539</v>
      </c>
      <c r="E271" s="34" t="s">
        <v>1731</v>
      </c>
      <c r="F271" s="34" t="s">
        <v>119</v>
      </c>
      <c r="G271" s="34">
        <v>2.0</v>
      </c>
      <c r="H271" s="34" t="s">
        <v>1530</v>
      </c>
      <c r="I271" s="34" t="s">
        <v>26</v>
      </c>
      <c r="J271" s="34">
        <f>IFERROR(__xludf.DUMMYFUNCTION("LEN(REGEXREPLACE(XLOOKUP($A271,Cards!$A$2:$A1000,Cards!$H$2:$H1000,""""),"",\s"",""""))"),3.0)</f>
        <v>3</v>
      </c>
      <c r="K271" s="34" t="str">
        <f t="shared" si="1"/>
        <v>               </v>
      </c>
      <c r="L271" s="34" t="str">
        <f>IFERROR(__xludf.DUMMYFUNCTION("IF(IF(L$1="""","""",REGEXMATCH(LOWER($E271),XLOOKUP(L$1,Metadata!$A$2:$A1000,Metadata!$B$2:$B1000))),L$1,"""")"),"")</f>
        <v/>
      </c>
      <c r="M271" s="34" t="str">
        <f>IFERROR(__xludf.DUMMYFUNCTION("IF(IF(M$1="""","""",REGEXMATCH(LOWER($E271),XLOOKUP(M$1,Metadata!$A$2:$A1000,Metadata!$B$2:$B1000))),M$1,"""")"),"")</f>
        <v/>
      </c>
      <c r="N271" s="34" t="str">
        <f>IFERROR(__xludf.DUMMYFUNCTION("IF(IF(N$1="""","""",REGEXMATCH(LOWER($E271),XLOOKUP(N$1,Metadata!$A$2:$A1000,Metadata!$B$2:$B1000))),N$1,"""")"),"")</f>
        <v/>
      </c>
      <c r="O271" s="34" t="str">
        <f>IFERROR(__xludf.DUMMYFUNCTION("IF(IF(O$1="""","""",REGEXMATCH(LOWER($E271),XLOOKUP(O$1,Metadata!$A$2:$A1000,Metadata!$B$2:$B1000))),O$1,"""")"),"")</f>
        <v/>
      </c>
      <c r="P271" s="34" t="str">
        <f>IFERROR(__xludf.DUMMYFUNCTION("IF(IF(P$1="""","""",REGEXMATCH(LOWER($E271),XLOOKUP(P$1,Metadata!$A$2:$A1000,Metadata!$B$2:$B1000))),P$1,"""")"),"")</f>
        <v/>
      </c>
      <c r="Q271" s="34" t="str">
        <f>IFERROR(__xludf.DUMMYFUNCTION("IF(IF(Q$1="""","""",REGEXMATCH(LOWER($E271),XLOOKUP(Q$1,Metadata!$A$2:$A1000,Metadata!$B$2:$B1000))),Q$1,"""")"),"")</f>
        <v/>
      </c>
      <c r="R271" s="34" t="str">
        <f>IFERROR(__xludf.DUMMYFUNCTION("IF(IF(R$1="""","""",REGEXMATCH(LOWER($E271),XLOOKUP(R$1,Metadata!$A$2:$A1000,Metadata!$B$2:$B1000))),R$1,"""")"),"")</f>
        <v/>
      </c>
      <c r="S271" s="34" t="str">
        <f>IFERROR(__xludf.DUMMYFUNCTION("IF(IF(S$1="""","""",REGEXMATCH(LOWER($E271),XLOOKUP(S$1,Metadata!$A$2:$A1000,Metadata!$B$2:$B1000))),S$1,"""")"),"")</f>
        <v/>
      </c>
      <c r="T271" s="34" t="str">
        <f>IFERROR(__xludf.DUMMYFUNCTION("IF(IF(T$1="""","""",REGEXMATCH(LOWER($E271),XLOOKUP(T$1,Metadata!$A$2:$A1000,Metadata!$B$2:$B1000))),T$1,"""")"),"")</f>
        <v/>
      </c>
      <c r="U271" s="34" t="str">
        <f>IFERROR(__xludf.DUMMYFUNCTION("IF(IF(U$1="""","""",REGEXMATCH(LOWER($E271),XLOOKUP(U$1,Metadata!$A$2:$A1000,Metadata!$B$2:$B1000))),U$1,"""")"),"")</f>
        <v/>
      </c>
      <c r="V271" s="34" t="str">
        <f>IFERROR(__xludf.DUMMYFUNCTION("IF(IF(V$1="""","""",REGEXMATCH(LOWER($E271),XLOOKUP(V$1,Metadata!$A$2:$A1000,Metadata!$B$2:$B1000))),V$1,"""")"),"")</f>
        <v/>
      </c>
      <c r="W271" s="34" t="str">
        <f>IFERROR(__xludf.DUMMYFUNCTION("IF(IF(W$1="""","""",REGEXMATCH(LOWER($E271),XLOOKUP(W$1,Metadata!$A$2:$A1000,Metadata!$B$2:$B1000))),W$1,"""")"),"")</f>
        <v/>
      </c>
      <c r="X271" s="34" t="str">
        <f>IFERROR(__xludf.DUMMYFUNCTION("IF(IF(X$1="""","""",REGEXMATCH(LOWER($E271),XLOOKUP(X$1,Metadata!$A$2:$A1000,Metadata!$B$2:$B1000))),X$1,"""")"),"")</f>
        <v/>
      </c>
      <c r="Y271" s="34" t="str">
        <f>IFERROR(__xludf.DUMMYFUNCTION("IF(IF(Y$1="""","""",REGEXMATCH(LOWER($E271),XLOOKUP(Y$1,Metadata!$A$2:$A1000,Metadata!$B$2:$B1000))),Y$1,"""")"),"")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I272">XLOOKUP($A272,Cards!$A$2:$A1000,Cards!$B$2:$I1000,"")</f>
        <v>Nature</v>
      </c>
      <c r="C272" s="34">
        <v>2.0</v>
      </c>
      <c r="D272" s="34" t="s">
        <v>1524</v>
      </c>
      <c r="E272" s="34" t="s">
        <v>1733</v>
      </c>
      <c r="F272" s="34" t="s">
        <v>1734</v>
      </c>
      <c r="G272" s="34">
        <v>5.0</v>
      </c>
      <c r="H272" s="34" t="s">
        <v>1535</v>
      </c>
      <c r="I272" s="34" t="s">
        <v>26</v>
      </c>
      <c r="J272" s="34">
        <f>IFERROR(__xludf.DUMMYFUNCTION("LEN(REGEXREPLACE(XLOOKUP($A272,Cards!$A$2:$A1000,Cards!$H$2:$H1000,""""),"",\s"",""""))"),6.0)</f>
        <v>6</v>
      </c>
      <c r="K272" s="34" t="str">
        <f t="shared" si="1"/>
        <v>               </v>
      </c>
      <c r="L272" s="34" t="str">
        <f>IFERROR(__xludf.DUMMYFUNCTION("IF(IF(L$1="""","""",REGEXMATCH(LOWER($E272),XLOOKUP(L$1,Metadata!$A$2:$A1000,Metadata!$B$2:$B1000))),L$1,"""")"),"")</f>
        <v/>
      </c>
      <c r="M272" s="34" t="str">
        <f>IFERROR(__xludf.DUMMYFUNCTION("IF(IF(M$1="""","""",REGEXMATCH(LOWER($E272),XLOOKUP(M$1,Metadata!$A$2:$A1000,Metadata!$B$2:$B1000))),M$1,"""")"),"")</f>
        <v/>
      </c>
      <c r="N272" s="34" t="str">
        <f>IFERROR(__xludf.DUMMYFUNCTION("IF(IF(N$1="""","""",REGEXMATCH(LOWER($E272),XLOOKUP(N$1,Metadata!$A$2:$A1000,Metadata!$B$2:$B1000))),N$1,"""")"),"")</f>
        <v/>
      </c>
      <c r="O272" s="34" t="str">
        <f>IFERROR(__xludf.DUMMYFUNCTION("IF(IF(O$1="""","""",REGEXMATCH(LOWER($E272),XLOOKUP(O$1,Metadata!$A$2:$A1000,Metadata!$B$2:$B1000))),O$1,"""")"),"")</f>
        <v/>
      </c>
      <c r="P272" s="34" t="str">
        <f>IFERROR(__xludf.DUMMYFUNCTION("IF(IF(P$1="""","""",REGEXMATCH(LOWER($E272),XLOOKUP(P$1,Metadata!$A$2:$A1000,Metadata!$B$2:$B1000))),P$1,"""")"),"")</f>
        <v/>
      </c>
      <c r="Q272" s="34" t="str">
        <f>IFERROR(__xludf.DUMMYFUNCTION("IF(IF(Q$1="""","""",REGEXMATCH(LOWER($E272),XLOOKUP(Q$1,Metadata!$A$2:$A1000,Metadata!$B$2:$B1000))),Q$1,"""")"),"")</f>
        <v/>
      </c>
      <c r="R272" s="34" t="str">
        <f>IFERROR(__xludf.DUMMYFUNCTION("IF(IF(R$1="""","""",REGEXMATCH(LOWER($E272),XLOOKUP(R$1,Metadata!$A$2:$A1000,Metadata!$B$2:$B1000))),R$1,"""")"),"")</f>
        <v/>
      </c>
      <c r="S272" s="34" t="str">
        <f>IFERROR(__xludf.DUMMYFUNCTION("IF(IF(S$1="""","""",REGEXMATCH(LOWER($E272),XLOOKUP(S$1,Metadata!$A$2:$A1000,Metadata!$B$2:$B1000))),S$1,"""")"),"")</f>
        <v/>
      </c>
      <c r="T272" s="34" t="str">
        <f>IFERROR(__xludf.DUMMYFUNCTION("IF(IF(T$1="""","""",REGEXMATCH(LOWER($E272),XLOOKUP(T$1,Metadata!$A$2:$A1000,Metadata!$B$2:$B1000))),T$1,"""")"),"")</f>
        <v/>
      </c>
      <c r="U272" s="34" t="str">
        <f>IFERROR(__xludf.DUMMYFUNCTION("IF(IF(U$1="""","""",REGEXMATCH(LOWER($E272),XLOOKUP(U$1,Metadata!$A$2:$A1000,Metadata!$B$2:$B1000))),U$1,"""")"),"")</f>
        <v/>
      </c>
      <c r="V272" s="34" t="str">
        <f>IFERROR(__xludf.DUMMYFUNCTION("IF(IF(V$1="""","""",REGEXMATCH(LOWER($E272),XLOOKUP(V$1,Metadata!$A$2:$A1000,Metadata!$B$2:$B1000))),V$1,"""")"),"")</f>
        <v/>
      </c>
      <c r="W272" s="34" t="str">
        <f>IFERROR(__xludf.DUMMYFUNCTION("IF(IF(W$1="""","""",REGEXMATCH(LOWER($E272),XLOOKUP(W$1,Metadata!$A$2:$A1000,Metadata!$B$2:$B1000))),W$1,"""")"),"")</f>
        <v/>
      </c>
      <c r="X272" s="34" t="str">
        <f>IFERROR(__xludf.DUMMYFUNCTION("IF(IF(X$1="""","""",REGEXMATCH(LOWER($E272),XLOOKUP(X$1,Metadata!$A$2:$A1000,Metadata!$B$2:$B1000))),X$1,"""")"),"")</f>
        <v/>
      </c>
      <c r="Y272" s="34" t="str">
        <f>IFERROR(__xludf.DUMMYFUNCTION("IF(IF(Y$1="""","""",REGEXMATCH(LOWER($E272),XLOOKUP(Y$1,Metadata!$A$2:$A1000,Metadata!$B$2:$B1000))),Y$1,"""")"),"")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I273">XLOOKUP($A273,Cards!$A$2:$A1000,Cards!$B$2:$I1000,"")</f>
        <v>Nature</v>
      </c>
      <c r="C273" s="34">
        <v>1.0</v>
      </c>
      <c r="D273" s="34" t="s">
        <v>1717</v>
      </c>
      <c r="E273" s="34" t="s">
        <v>1736</v>
      </c>
      <c r="F273" s="34" t="s">
        <v>1737</v>
      </c>
      <c r="G273" s="34">
        <v>3.0</v>
      </c>
      <c r="H273" s="34" t="s">
        <v>1530</v>
      </c>
      <c r="I273" s="34" t="s">
        <v>26</v>
      </c>
      <c r="J273" s="34">
        <f>IFERROR(__xludf.DUMMYFUNCTION("LEN(REGEXREPLACE(XLOOKUP($A273,Cards!$A$2:$A1000,Cards!$H$2:$H1000,""""),"",\s"",""""))"),3.0)</f>
        <v>3</v>
      </c>
      <c r="K273" s="34" t="str">
        <f t="shared" si="1"/>
        <v>     Unearth       Ambush   </v>
      </c>
      <c r="L273" s="34" t="str">
        <f>IFERROR(__xludf.DUMMYFUNCTION("IF(IF(L$1="""","""",REGEXMATCH(LOWER($E273),XLOOKUP(L$1,Metadata!$A$2:$A1000,Metadata!$B$2:$B1000))),L$1,"""")"),"")</f>
        <v/>
      </c>
      <c r="M273" s="34" t="str">
        <f>IFERROR(__xludf.DUMMYFUNCTION("IF(IF(M$1="""","""",REGEXMATCH(LOWER($E273),XLOOKUP(M$1,Metadata!$A$2:$A1000,Metadata!$B$2:$B1000))),M$1,"""")"),"")</f>
        <v/>
      </c>
      <c r="N273" s="34" t="str">
        <f>IFERROR(__xludf.DUMMYFUNCTION("IF(IF(N$1="""","""",REGEXMATCH(LOWER($E273),XLOOKUP(N$1,Metadata!$A$2:$A1000,Metadata!$B$2:$B1000))),N$1,"""")"),"")</f>
        <v/>
      </c>
      <c r="O273" s="34" t="str">
        <f>IFERROR(__xludf.DUMMYFUNCTION("IF(IF(O$1="""","""",REGEXMATCH(LOWER($E273),XLOOKUP(O$1,Metadata!$A$2:$A1000,Metadata!$B$2:$B1000))),O$1,"""")"),"")</f>
        <v/>
      </c>
      <c r="P273" s="34" t="str">
        <f>IFERROR(__xludf.DUMMYFUNCTION("IF(IF(P$1="""","""",REGEXMATCH(LOWER($E273),XLOOKUP(P$1,Metadata!$A$2:$A1000,Metadata!$B$2:$B1000))),P$1,"""")"),"")</f>
        <v/>
      </c>
      <c r="Q273" s="34" t="str">
        <f>IFERROR(__xludf.DUMMYFUNCTION("IF(IF(Q$1="""","""",REGEXMATCH(LOWER($E273),XLOOKUP(Q$1,Metadata!$A$2:$A1000,Metadata!$B$2:$B1000))),Q$1,"""")"),"Unearth")</f>
        <v>Unearth</v>
      </c>
      <c r="R273" s="34" t="str">
        <f>IFERROR(__xludf.DUMMYFUNCTION("IF(IF(R$1="""","""",REGEXMATCH(LOWER($E273),XLOOKUP(R$1,Metadata!$A$2:$A1000,Metadata!$B$2:$B1000))),R$1,"""")"),"")</f>
        <v/>
      </c>
      <c r="S273" s="34" t="str">
        <f>IFERROR(__xludf.DUMMYFUNCTION("IF(IF(S$1="""","""",REGEXMATCH(LOWER($E273),XLOOKUP(S$1,Metadata!$A$2:$A1000,Metadata!$B$2:$B1000))),S$1,"""")"),"")</f>
        <v/>
      </c>
      <c r="T273" s="34" t="str">
        <f>IFERROR(__xludf.DUMMYFUNCTION("IF(IF(T$1="""","""",REGEXMATCH(LOWER($E273),XLOOKUP(T$1,Metadata!$A$2:$A1000,Metadata!$B$2:$B1000))),T$1,"""")"),"")</f>
        <v/>
      </c>
      <c r="U273" s="34" t="str">
        <f>IFERROR(__xludf.DUMMYFUNCTION("IF(IF(U$1="""","""",REGEXMATCH(LOWER($E273),XLOOKUP(U$1,Metadata!$A$2:$A1000,Metadata!$B$2:$B1000))),U$1,"""")"),"")</f>
        <v/>
      </c>
      <c r="V273" s="34" t="str">
        <f>IFERROR(__xludf.DUMMYFUNCTION("IF(IF(V$1="""","""",REGEXMATCH(LOWER($E273),XLOOKUP(V$1,Metadata!$A$2:$A1000,Metadata!$B$2:$B1000))),V$1,"""")"),"")</f>
        <v/>
      </c>
      <c r="W273" s="34" t="str">
        <f>IFERROR(__xludf.DUMMYFUNCTION("IF(IF(W$1="""","""",REGEXMATCH(LOWER($E273),XLOOKUP(W$1,Metadata!$A$2:$A1000,Metadata!$B$2:$B1000))),W$1,"""")"),"")</f>
        <v/>
      </c>
      <c r="X273" s="34" t="str">
        <f>IFERROR(__xludf.DUMMYFUNCTION("IF(IF(X$1="""","""",REGEXMATCH(LOWER($E273),XLOOKUP(X$1,Metadata!$A$2:$A1000,Metadata!$B$2:$B1000))),X$1,"""")"),"Ambush")</f>
        <v>Ambush</v>
      </c>
      <c r="Y273" s="34" t="str">
        <f>IFERROR(__xludf.DUMMYFUNCTION("IF(IF(Y$1="""","""",REGEXMATCH(LOWER($E273),XLOOKUP(Y$1,Metadata!$A$2:$A1000,Metadata!$B$2:$B1000))),Y$1,"""")"),"")</f>
        <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I274">XLOOKUP($A274,Cards!$A$2:$A1000,Cards!$B$2:$I1000,"")</f>
        <v>Nature</v>
      </c>
      <c r="C274" s="34">
        <v>2.0</v>
      </c>
      <c r="D274" s="34" t="s">
        <v>1397</v>
      </c>
      <c r="E274" s="34" t="s">
        <v>1739</v>
      </c>
      <c r="F274" s="34" t="s">
        <v>1740</v>
      </c>
      <c r="G274" s="34">
        <v>1.0</v>
      </c>
      <c r="H274" s="34" t="s">
        <v>1503</v>
      </c>
      <c r="I274" s="34" t="s">
        <v>26</v>
      </c>
      <c r="J274" s="34">
        <f>IFERROR(__xludf.DUMMYFUNCTION("LEN(REGEXREPLACE(XLOOKUP($A274,Cards!$A$2:$A1000,Cards!$H$2:$H1000,""""),"",\s"",""""))"),2.0)</f>
        <v>2</v>
      </c>
      <c r="K274" s="34" t="str">
        <f t="shared" si="1"/>
        <v>      Ramp         </v>
      </c>
      <c r="L274" s="34" t="str">
        <f>IFERROR(__xludf.DUMMYFUNCTION("IF(IF(L$1="""","""",REGEXMATCH(LOWER($E274),XLOOKUP(L$1,Metadata!$A$2:$A1000,Metadata!$B$2:$B1000))),L$1,"""")"),"")</f>
        <v/>
      </c>
      <c r="M274" s="34" t="str">
        <f>IFERROR(__xludf.DUMMYFUNCTION("IF(IF(M$1="""","""",REGEXMATCH(LOWER($E274),XLOOKUP(M$1,Metadata!$A$2:$A1000,Metadata!$B$2:$B1000))),M$1,"""")"),"")</f>
        <v/>
      </c>
      <c r="N274" s="34" t="str">
        <f>IFERROR(__xludf.DUMMYFUNCTION("IF(IF(N$1="""","""",REGEXMATCH(LOWER($E274),XLOOKUP(N$1,Metadata!$A$2:$A1000,Metadata!$B$2:$B1000))),N$1,"""")"),"")</f>
        <v/>
      </c>
      <c r="O274" s="34" t="str">
        <f>IFERROR(__xludf.DUMMYFUNCTION("IF(IF(O$1="""","""",REGEXMATCH(LOWER($E274),XLOOKUP(O$1,Metadata!$A$2:$A1000,Metadata!$B$2:$B1000))),O$1,"""")"),"")</f>
        <v/>
      </c>
      <c r="P274" s="34" t="str">
        <f>IFERROR(__xludf.DUMMYFUNCTION("IF(IF(P$1="""","""",REGEXMATCH(LOWER($E274),XLOOKUP(P$1,Metadata!$A$2:$A1000,Metadata!$B$2:$B1000))),P$1,"""")"),"")</f>
        <v/>
      </c>
      <c r="Q274" s="34" t="str">
        <f>IFERROR(__xludf.DUMMYFUNCTION("IF(IF(Q$1="""","""",REGEXMATCH(LOWER($E274),XLOOKUP(Q$1,Metadata!$A$2:$A1000,Metadata!$B$2:$B1000))),Q$1,"""")"),"")</f>
        <v/>
      </c>
      <c r="R274" s="34" t="str">
        <f>IFERROR(__xludf.DUMMYFUNCTION("IF(IF(R$1="""","""",REGEXMATCH(LOWER($E274),XLOOKUP(R$1,Metadata!$A$2:$A1000,Metadata!$B$2:$B1000))),R$1,"""")"),"Ramp")</f>
        <v>Ramp</v>
      </c>
      <c r="S274" s="34" t="str">
        <f>IFERROR(__xludf.DUMMYFUNCTION("IF(IF(S$1="""","""",REGEXMATCH(LOWER($E274),XLOOKUP(S$1,Metadata!$A$2:$A1000,Metadata!$B$2:$B1000))),S$1,"""")"),"")</f>
        <v/>
      </c>
      <c r="T274" s="34" t="str">
        <f>IFERROR(__xludf.DUMMYFUNCTION("IF(IF(T$1="""","""",REGEXMATCH(LOWER($E274),XLOOKUP(T$1,Metadata!$A$2:$A1000,Metadata!$B$2:$B1000))),T$1,"""")"),"")</f>
        <v/>
      </c>
      <c r="U274" s="34" t="str">
        <f>IFERROR(__xludf.DUMMYFUNCTION("IF(IF(U$1="""","""",REGEXMATCH(LOWER($E274),XLOOKUP(U$1,Metadata!$A$2:$A1000,Metadata!$B$2:$B1000))),U$1,"""")"),"")</f>
        <v/>
      </c>
      <c r="V274" s="34" t="str">
        <f>IFERROR(__xludf.DUMMYFUNCTION("IF(IF(V$1="""","""",REGEXMATCH(LOWER($E274),XLOOKUP(V$1,Metadata!$A$2:$A1000,Metadata!$B$2:$B1000))),V$1,"""")"),"")</f>
        <v/>
      </c>
      <c r="W274" s="34" t="str">
        <f>IFERROR(__xludf.DUMMYFUNCTION("IF(IF(W$1="""","""",REGEXMATCH(LOWER($E274),XLOOKUP(W$1,Metadata!$A$2:$A1000,Metadata!$B$2:$B1000))),W$1,"""")"),"")</f>
        <v/>
      </c>
      <c r="X274" s="34" t="str">
        <f>IFERROR(__xludf.DUMMYFUNCTION("IF(IF(X$1="""","""",REGEXMATCH(LOWER($E274),XLOOKUP(X$1,Metadata!$A$2:$A1000,Metadata!$B$2:$B1000))),X$1,"""")"),"")</f>
        <v/>
      </c>
      <c r="Y274" s="34" t="str">
        <f>IFERROR(__xludf.DUMMYFUNCTION("IF(IF(Y$1="""","""",REGEXMATCH(LOWER($E274),XLOOKUP(Y$1,Metadata!$A$2:$A1000,Metadata!$B$2:$B1000))),Y$1,"""")"),"")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I275">XLOOKUP($A275,Cards!$A$2:$A1000,Cards!$B$2:$I1000,"")</f>
        <v>Nature Void</v>
      </c>
      <c r="C275" s="34">
        <v>0.0</v>
      </c>
      <c r="D275" s="34" t="s">
        <v>1743</v>
      </c>
      <c r="E275" s="34" t="s">
        <v>1744</v>
      </c>
      <c r="F275" s="34" t="s">
        <v>1745</v>
      </c>
      <c r="G275" s="34">
        <v>7.0</v>
      </c>
      <c r="H275" s="34" t="s">
        <v>1746</v>
      </c>
      <c r="I275" s="34" t="s">
        <v>32</v>
      </c>
      <c r="J275" s="34">
        <f>IFERROR(__xludf.DUMMYFUNCTION("LEN(REGEXREPLACE(XLOOKUP($A275,Cards!$A$2:$A1000,Cards!$H$2:$H1000,""""),"",\s"",""""))"),7.0)</f>
        <v>7</v>
      </c>
      <c r="K275" s="34" t="str">
        <f t="shared" si="1"/>
        <v>     Unearth    Aggro   Ambush   </v>
      </c>
      <c r="L275" s="34" t="str">
        <f>IFERROR(__xludf.DUMMYFUNCTION("IF(IF(L$1="""","""",REGEXMATCH(LOWER($E275),XLOOKUP(L$1,Metadata!$A$2:$A1000,Metadata!$B$2:$B1000))),L$1,"""")"),"")</f>
        <v/>
      </c>
      <c r="M275" s="34" t="str">
        <f>IFERROR(__xludf.DUMMYFUNCTION("IF(IF(M$1="""","""",REGEXMATCH(LOWER($E275),XLOOKUP(M$1,Metadata!$A$2:$A1000,Metadata!$B$2:$B1000))),M$1,"""")"),"")</f>
        <v/>
      </c>
      <c r="N275" s="34" t="str">
        <f>IFERROR(__xludf.DUMMYFUNCTION("IF(IF(N$1="""","""",REGEXMATCH(LOWER($E275),XLOOKUP(N$1,Metadata!$A$2:$A1000,Metadata!$B$2:$B1000))),N$1,"""")"),"")</f>
        <v/>
      </c>
      <c r="O275" s="34" t="str">
        <f>IFERROR(__xludf.DUMMYFUNCTION("IF(IF(O$1="""","""",REGEXMATCH(LOWER($E275),XLOOKUP(O$1,Metadata!$A$2:$A1000,Metadata!$B$2:$B1000))),O$1,"""")"),"")</f>
        <v/>
      </c>
      <c r="P275" s="34" t="str">
        <f>IFERROR(__xludf.DUMMYFUNCTION("IF(IF(P$1="""","""",REGEXMATCH(LOWER($E275),XLOOKUP(P$1,Metadata!$A$2:$A1000,Metadata!$B$2:$B1000))),P$1,"""")"),"")</f>
        <v/>
      </c>
      <c r="Q275" s="34" t="str">
        <f>IFERROR(__xludf.DUMMYFUNCTION("IF(IF(Q$1="""","""",REGEXMATCH(LOWER($E275),XLOOKUP(Q$1,Metadata!$A$2:$A1000,Metadata!$B$2:$B1000))),Q$1,"""")"),"Unearth")</f>
        <v>Unearth</v>
      </c>
      <c r="R275" s="34" t="str">
        <f>IFERROR(__xludf.DUMMYFUNCTION("IF(IF(R$1="""","""",REGEXMATCH(LOWER($E275),XLOOKUP(R$1,Metadata!$A$2:$A1000,Metadata!$B$2:$B1000))),R$1,"""")"),"")</f>
        <v/>
      </c>
      <c r="S275" s="34" t="str">
        <f>IFERROR(__xludf.DUMMYFUNCTION("IF(IF(S$1="""","""",REGEXMATCH(LOWER($E275),XLOOKUP(S$1,Metadata!$A$2:$A1000,Metadata!$B$2:$B1000))),S$1,"""")"),"")</f>
        <v/>
      </c>
      <c r="T275" s="34" t="str">
        <f>IFERROR(__xludf.DUMMYFUNCTION("IF(IF(T$1="""","""",REGEXMATCH(LOWER($E275),XLOOKUP(T$1,Metadata!$A$2:$A1000,Metadata!$B$2:$B1000))),T$1,"""")"),"")</f>
        <v/>
      </c>
      <c r="U275" s="34" t="str">
        <f>IFERROR(__xludf.DUMMYFUNCTION("IF(IF(U$1="""","""",REGEXMATCH(LOWER($E275),XLOOKUP(U$1,Metadata!$A$2:$A1000,Metadata!$B$2:$B1000))),U$1,"""")"),"Aggro")</f>
        <v>Aggro</v>
      </c>
      <c r="V275" s="34" t="str">
        <f>IFERROR(__xludf.DUMMYFUNCTION("IF(IF(V$1="""","""",REGEXMATCH(LOWER($E275),XLOOKUP(V$1,Metadata!$A$2:$A1000,Metadata!$B$2:$B1000))),V$1,"""")"),"")</f>
        <v/>
      </c>
      <c r="W275" s="34" t="str">
        <f>IFERROR(__xludf.DUMMYFUNCTION("IF(IF(W$1="""","""",REGEXMATCH(LOWER($E275),XLOOKUP(W$1,Metadata!$A$2:$A1000,Metadata!$B$2:$B1000))),W$1,"""")"),"")</f>
        <v/>
      </c>
      <c r="X275" s="34" t="str">
        <f>IFERROR(__xludf.DUMMYFUNCTION("IF(IF(X$1="""","""",REGEXMATCH(LOWER($E275),XLOOKUP(X$1,Metadata!$A$2:$A1000,Metadata!$B$2:$B1000))),X$1,"""")"),"Ambush")</f>
        <v>Ambush</v>
      </c>
      <c r="Y275" s="34" t="str">
        <f>IFERROR(__xludf.DUMMYFUNCTION("IF(IF(Y$1="""","""",REGEXMATCH(LOWER($E275),XLOOKUP(Y$1,Metadata!$A$2:$A1000,Metadata!$B$2:$B1000))),Y$1,"""")"),"")</f>
        <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I276">XLOOKUP($A276,Cards!$A$2:$A1000,Cards!$B$2:$I1000,"")</f>
        <v>Nature Void</v>
      </c>
      <c r="C276" s="34">
        <v>2.0</v>
      </c>
      <c r="D276" s="34" t="s">
        <v>1748</v>
      </c>
      <c r="E276" s="34" t="s">
        <v>1749</v>
      </c>
      <c r="F276" s="34" t="s">
        <v>1750</v>
      </c>
      <c r="G276" s="34">
        <v>3.0</v>
      </c>
      <c r="H276" s="34" t="s">
        <v>1751</v>
      </c>
      <c r="I276" s="34" t="s">
        <v>70</v>
      </c>
      <c r="J276" s="34">
        <f>IFERROR(__xludf.DUMMYFUNCTION("LEN(REGEXREPLACE(XLOOKUP($A276,Cards!$A$2:$A1000,Cards!$H$2:$H1000,""""),"",\s"",""""))"),4.0)</f>
        <v>4</v>
      </c>
      <c r="K276" s="34" t="str">
        <f t="shared" si="1"/>
        <v>         Aggro      </v>
      </c>
      <c r="L276" s="34" t="str">
        <f>IFERROR(__xludf.DUMMYFUNCTION("IF(IF(L$1="""","""",REGEXMATCH(LOWER($E276),XLOOKUP(L$1,Metadata!$A$2:$A1000,Metadata!$B$2:$B1000))),L$1,"""")"),"")</f>
        <v/>
      </c>
      <c r="M276" s="34" t="str">
        <f>IFERROR(__xludf.DUMMYFUNCTION("IF(IF(M$1="""","""",REGEXMATCH(LOWER($E276),XLOOKUP(M$1,Metadata!$A$2:$A1000,Metadata!$B$2:$B1000))),M$1,"""")"),"")</f>
        <v/>
      </c>
      <c r="N276" s="34" t="str">
        <f>IFERROR(__xludf.DUMMYFUNCTION("IF(IF(N$1="""","""",REGEXMATCH(LOWER($E276),XLOOKUP(N$1,Metadata!$A$2:$A1000,Metadata!$B$2:$B1000))),N$1,"""")"),"")</f>
        <v/>
      </c>
      <c r="O276" s="34" t="str">
        <f>IFERROR(__xludf.DUMMYFUNCTION("IF(IF(O$1="""","""",REGEXMATCH(LOWER($E276),XLOOKUP(O$1,Metadata!$A$2:$A1000,Metadata!$B$2:$B1000))),O$1,"""")"),"")</f>
        <v/>
      </c>
      <c r="P276" s="34" t="str">
        <f>IFERROR(__xludf.DUMMYFUNCTION("IF(IF(P$1="""","""",REGEXMATCH(LOWER($E276),XLOOKUP(P$1,Metadata!$A$2:$A1000,Metadata!$B$2:$B1000))),P$1,"""")"),"")</f>
        <v/>
      </c>
      <c r="Q276" s="34" t="str">
        <f>IFERROR(__xludf.DUMMYFUNCTION("IF(IF(Q$1="""","""",REGEXMATCH(LOWER($E276),XLOOKUP(Q$1,Metadata!$A$2:$A1000,Metadata!$B$2:$B1000))),Q$1,"""")"),"")</f>
        <v/>
      </c>
      <c r="R276" s="34" t="str">
        <f>IFERROR(__xludf.DUMMYFUNCTION("IF(IF(R$1="""","""",REGEXMATCH(LOWER($E276),XLOOKUP(R$1,Metadata!$A$2:$A1000,Metadata!$B$2:$B1000))),R$1,"""")"),"")</f>
        <v/>
      </c>
      <c r="S276" s="34" t="str">
        <f>IFERROR(__xludf.DUMMYFUNCTION("IF(IF(S$1="""","""",REGEXMATCH(LOWER($E276),XLOOKUP(S$1,Metadata!$A$2:$A1000,Metadata!$B$2:$B1000))),S$1,"""")"),"")</f>
        <v/>
      </c>
      <c r="T276" s="34" t="str">
        <f>IFERROR(__xludf.DUMMYFUNCTION("IF(IF(T$1="""","""",REGEXMATCH(LOWER($E276),XLOOKUP(T$1,Metadata!$A$2:$A1000,Metadata!$B$2:$B1000))),T$1,"""")"),"")</f>
        <v/>
      </c>
      <c r="U276" s="34" t="str">
        <f>IFERROR(__xludf.DUMMYFUNCTION("IF(IF(U$1="""","""",REGEXMATCH(LOWER($E276),XLOOKUP(U$1,Metadata!$A$2:$A1000,Metadata!$B$2:$B1000))),U$1,"""")"),"Aggro")</f>
        <v>Aggro</v>
      </c>
      <c r="V276" s="34" t="str">
        <f>IFERROR(__xludf.DUMMYFUNCTION("IF(IF(V$1="""","""",REGEXMATCH(LOWER($E276),XLOOKUP(V$1,Metadata!$A$2:$A1000,Metadata!$B$2:$B1000))),V$1,"""")"),"")</f>
        <v/>
      </c>
      <c r="W276" s="34" t="str">
        <f>IFERROR(__xludf.DUMMYFUNCTION("IF(IF(W$1="""","""",REGEXMATCH(LOWER($E276),XLOOKUP(W$1,Metadata!$A$2:$A1000,Metadata!$B$2:$B1000))),W$1,"""")"),"")</f>
        <v/>
      </c>
      <c r="X276" s="34" t="str">
        <f>IFERROR(__xludf.DUMMYFUNCTION("IF(IF(X$1="""","""",REGEXMATCH(LOWER($E276),XLOOKUP(X$1,Metadata!$A$2:$A1000,Metadata!$B$2:$B1000))),X$1,"""")"),"")</f>
        <v/>
      </c>
      <c r="Y276" s="34" t="str">
        <f>IFERROR(__xludf.DUMMYFUNCTION("IF(IF(Y$1="""","""",REGEXMATCH(LOWER($E276),XLOOKUP(Y$1,Metadata!$A$2:$A1000,Metadata!$B$2:$B1000))),Y$1,"""")"),"")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I277">XLOOKUP($A277,Cards!$A$2:$A1000,Cards!$B$2:$I1000,"")</f>
        <v>Nature</v>
      </c>
      <c r="C277" s="34">
        <v>1.0</v>
      </c>
      <c r="D277" s="34" t="s">
        <v>297</v>
      </c>
      <c r="E277" s="34" t="s">
        <v>1753</v>
      </c>
      <c r="F277" s="34" t="s">
        <v>1754</v>
      </c>
      <c r="G277" s="34">
        <v>3.0</v>
      </c>
      <c r="H277" s="34" t="s">
        <v>1530</v>
      </c>
      <c r="I277" s="34" t="s">
        <v>26</v>
      </c>
      <c r="J277" s="34">
        <f>IFERROR(__xludf.DUMMYFUNCTION("LEN(REGEXREPLACE(XLOOKUP($A277,Cards!$A$2:$A1000,Cards!$H$2:$H1000,""""),"",\s"",""""))"),3.0)</f>
        <v>3</v>
      </c>
      <c r="K277" s="34" t="str">
        <f t="shared" si="1"/>
        <v>      Ramp      Ambush   </v>
      </c>
      <c r="L277" s="34" t="str">
        <f>IFERROR(__xludf.DUMMYFUNCTION("IF(IF(L$1="""","""",REGEXMATCH(LOWER($E277),XLOOKUP(L$1,Metadata!$A$2:$A1000,Metadata!$B$2:$B1000))),L$1,"""")"),"")</f>
        <v/>
      </c>
      <c r="M277" s="34" t="str">
        <f>IFERROR(__xludf.DUMMYFUNCTION("IF(IF(M$1="""","""",REGEXMATCH(LOWER($E277),XLOOKUP(M$1,Metadata!$A$2:$A1000,Metadata!$B$2:$B1000))),M$1,"""")"),"")</f>
        <v/>
      </c>
      <c r="N277" s="34" t="str">
        <f>IFERROR(__xludf.DUMMYFUNCTION("IF(IF(N$1="""","""",REGEXMATCH(LOWER($E277),XLOOKUP(N$1,Metadata!$A$2:$A1000,Metadata!$B$2:$B1000))),N$1,"""")"),"")</f>
        <v/>
      </c>
      <c r="O277" s="34" t="str">
        <f>IFERROR(__xludf.DUMMYFUNCTION("IF(IF(O$1="""","""",REGEXMATCH(LOWER($E277),XLOOKUP(O$1,Metadata!$A$2:$A1000,Metadata!$B$2:$B1000))),O$1,"""")"),"")</f>
        <v/>
      </c>
      <c r="P277" s="34" t="str">
        <f>IFERROR(__xludf.DUMMYFUNCTION("IF(IF(P$1="""","""",REGEXMATCH(LOWER($E277),XLOOKUP(P$1,Metadata!$A$2:$A1000,Metadata!$B$2:$B1000))),P$1,"""")"),"")</f>
        <v/>
      </c>
      <c r="Q277" s="34" t="str">
        <f>IFERROR(__xludf.DUMMYFUNCTION("IF(IF(Q$1="""","""",REGEXMATCH(LOWER($E277),XLOOKUP(Q$1,Metadata!$A$2:$A1000,Metadata!$B$2:$B1000))),Q$1,"""")"),"")</f>
        <v/>
      </c>
      <c r="R277" s="34" t="str">
        <f>IFERROR(__xludf.DUMMYFUNCTION("IF(IF(R$1="""","""",REGEXMATCH(LOWER($E277),XLOOKUP(R$1,Metadata!$A$2:$A1000,Metadata!$B$2:$B1000))),R$1,"""")"),"Ramp")</f>
        <v>Ramp</v>
      </c>
      <c r="S277" s="34" t="str">
        <f>IFERROR(__xludf.DUMMYFUNCTION("IF(IF(S$1="""","""",REGEXMATCH(LOWER($E277),XLOOKUP(S$1,Metadata!$A$2:$A1000,Metadata!$B$2:$B1000))),S$1,"""")"),"")</f>
        <v/>
      </c>
      <c r="T277" s="34" t="str">
        <f>IFERROR(__xludf.DUMMYFUNCTION("IF(IF(T$1="""","""",REGEXMATCH(LOWER($E277),XLOOKUP(T$1,Metadata!$A$2:$A1000,Metadata!$B$2:$B1000))),T$1,"""")"),"")</f>
        <v/>
      </c>
      <c r="U277" s="34" t="str">
        <f>IFERROR(__xludf.DUMMYFUNCTION("IF(IF(U$1="""","""",REGEXMATCH(LOWER($E277),XLOOKUP(U$1,Metadata!$A$2:$A1000,Metadata!$B$2:$B1000))),U$1,"""")"),"")</f>
        <v/>
      </c>
      <c r="V277" s="34" t="str">
        <f>IFERROR(__xludf.DUMMYFUNCTION("IF(IF(V$1="""","""",REGEXMATCH(LOWER($E277),XLOOKUP(V$1,Metadata!$A$2:$A1000,Metadata!$B$2:$B1000))),V$1,"""")"),"")</f>
        <v/>
      </c>
      <c r="W277" s="34" t="str">
        <f>IFERROR(__xludf.DUMMYFUNCTION("IF(IF(W$1="""","""",REGEXMATCH(LOWER($E277),XLOOKUP(W$1,Metadata!$A$2:$A1000,Metadata!$B$2:$B1000))),W$1,"""")"),"")</f>
        <v/>
      </c>
      <c r="X277" s="34" t="str">
        <f>IFERROR(__xludf.DUMMYFUNCTION("IF(IF(X$1="""","""",REGEXMATCH(LOWER($E277),XLOOKUP(X$1,Metadata!$A$2:$A1000,Metadata!$B$2:$B1000))),X$1,"""")"),"Ambush")</f>
        <v>Ambush</v>
      </c>
      <c r="Y277" s="34" t="str">
        <f>IFERROR(__xludf.DUMMYFUNCTION("IF(IF(Y$1="""","""",REGEXMATCH(LOWER($E277),XLOOKUP(Y$1,Metadata!$A$2:$A1000,Metadata!$B$2:$B1000))),Y$1,"""")"),"")</f>
        <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I278">XLOOKUP($A278,Cards!$A$2:$A1000,Cards!$B$2:$I1000,"")</f>
        <v>Nature</v>
      </c>
      <c r="C278" s="34">
        <v>1.0</v>
      </c>
      <c r="D278" s="34" t="s">
        <v>1679</v>
      </c>
      <c r="E278" s="34" t="s">
        <v>1756</v>
      </c>
      <c r="F278" s="34"/>
      <c r="G278" s="34">
        <v>4.0</v>
      </c>
      <c r="H278" s="34" t="s">
        <v>1701</v>
      </c>
      <c r="I278" s="34" t="s">
        <v>70</v>
      </c>
      <c r="J278" s="34">
        <f>IFERROR(__xludf.DUMMYFUNCTION("LEN(REGEXREPLACE(XLOOKUP($A278,Cards!$A$2:$A1000,Cards!$H$2:$H1000,""""),"",\s"",""""))"),4.0)</f>
        <v>4</v>
      </c>
      <c r="K278" s="34" t="str">
        <f t="shared" si="1"/>
        <v>               </v>
      </c>
      <c r="L278" s="34" t="str">
        <f>IFERROR(__xludf.DUMMYFUNCTION("IF(IF(L$1="""","""",REGEXMATCH(LOWER($E278),XLOOKUP(L$1,Metadata!$A$2:$A1000,Metadata!$B$2:$B1000))),L$1,"""")"),"")</f>
        <v/>
      </c>
      <c r="M278" s="34" t="str">
        <f>IFERROR(__xludf.DUMMYFUNCTION("IF(IF(M$1="""","""",REGEXMATCH(LOWER($E278),XLOOKUP(M$1,Metadata!$A$2:$A1000,Metadata!$B$2:$B1000))),M$1,"""")"),"")</f>
        <v/>
      </c>
      <c r="N278" s="34" t="str">
        <f>IFERROR(__xludf.DUMMYFUNCTION("IF(IF(N$1="""","""",REGEXMATCH(LOWER($E278),XLOOKUP(N$1,Metadata!$A$2:$A1000,Metadata!$B$2:$B1000))),N$1,"""")"),"")</f>
        <v/>
      </c>
      <c r="O278" s="34" t="str">
        <f>IFERROR(__xludf.DUMMYFUNCTION("IF(IF(O$1="""","""",REGEXMATCH(LOWER($E278),XLOOKUP(O$1,Metadata!$A$2:$A1000,Metadata!$B$2:$B1000))),O$1,"""")"),"")</f>
        <v/>
      </c>
      <c r="P278" s="34" t="str">
        <f>IFERROR(__xludf.DUMMYFUNCTION("IF(IF(P$1="""","""",REGEXMATCH(LOWER($E278),XLOOKUP(P$1,Metadata!$A$2:$A1000,Metadata!$B$2:$B1000))),P$1,"""")"),"")</f>
        <v/>
      </c>
      <c r="Q278" s="34" t="str">
        <f>IFERROR(__xludf.DUMMYFUNCTION("IF(IF(Q$1="""","""",REGEXMATCH(LOWER($E278),XLOOKUP(Q$1,Metadata!$A$2:$A1000,Metadata!$B$2:$B1000))),Q$1,"""")"),"")</f>
        <v/>
      </c>
      <c r="R278" s="34" t="str">
        <f>IFERROR(__xludf.DUMMYFUNCTION("IF(IF(R$1="""","""",REGEXMATCH(LOWER($E278),XLOOKUP(R$1,Metadata!$A$2:$A1000,Metadata!$B$2:$B1000))),R$1,"""")"),"")</f>
        <v/>
      </c>
      <c r="S278" s="34" t="str">
        <f>IFERROR(__xludf.DUMMYFUNCTION("IF(IF(S$1="""","""",REGEXMATCH(LOWER($E278),XLOOKUP(S$1,Metadata!$A$2:$A1000,Metadata!$B$2:$B1000))),S$1,"""")"),"")</f>
        <v/>
      </c>
      <c r="T278" s="34" t="str">
        <f>IFERROR(__xludf.DUMMYFUNCTION("IF(IF(T$1="""","""",REGEXMATCH(LOWER($E278),XLOOKUP(T$1,Metadata!$A$2:$A1000,Metadata!$B$2:$B1000))),T$1,"""")"),"")</f>
        <v/>
      </c>
      <c r="U278" s="34" t="str">
        <f>IFERROR(__xludf.DUMMYFUNCTION("IF(IF(U$1="""","""",REGEXMATCH(LOWER($E278),XLOOKUP(U$1,Metadata!$A$2:$A1000,Metadata!$B$2:$B1000))),U$1,"""")"),"")</f>
        <v/>
      </c>
      <c r="V278" s="34" t="str">
        <f>IFERROR(__xludf.DUMMYFUNCTION("IF(IF(V$1="""","""",REGEXMATCH(LOWER($E278),XLOOKUP(V$1,Metadata!$A$2:$A1000,Metadata!$B$2:$B1000))),V$1,"""")"),"")</f>
        <v/>
      </c>
      <c r="W278" s="34" t="str">
        <f>IFERROR(__xludf.DUMMYFUNCTION("IF(IF(W$1="""","""",REGEXMATCH(LOWER($E278),XLOOKUP(W$1,Metadata!$A$2:$A1000,Metadata!$B$2:$B1000))),W$1,"""")"),"")</f>
        <v/>
      </c>
      <c r="X278" s="34" t="str">
        <f>IFERROR(__xludf.DUMMYFUNCTION("IF(IF(X$1="""","""",REGEXMATCH(LOWER($E278),XLOOKUP(X$1,Metadata!$A$2:$A1000,Metadata!$B$2:$B1000))),X$1,"""")"),"")</f>
        <v/>
      </c>
      <c r="Y278" s="34" t="str">
        <f>IFERROR(__xludf.DUMMYFUNCTION("IF(IF(Y$1="""","""",REGEXMATCH(LOWER($E278),XLOOKUP(Y$1,Metadata!$A$2:$A1000,Metadata!$B$2:$B1000))),Y$1,"""")"),"")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I279">XLOOKUP($A279,Cards!$A$2:$A1000,Cards!$B$2:$I1000,"")</f>
        <v>Nature</v>
      </c>
      <c r="C279" s="34">
        <v>1.0</v>
      </c>
      <c r="D279" s="34" t="s">
        <v>383</v>
      </c>
      <c r="E279" s="34" t="s">
        <v>1758</v>
      </c>
      <c r="F279" s="34" t="s">
        <v>1759</v>
      </c>
      <c r="G279" s="34">
        <v>5.0</v>
      </c>
      <c r="H279" s="34" t="s">
        <v>1667</v>
      </c>
      <c r="I279" s="34" t="s">
        <v>26</v>
      </c>
      <c r="J279" s="34">
        <f>IFERROR(__xludf.DUMMYFUNCTION("LEN(REGEXREPLACE(XLOOKUP($A279,Cards!$A$2:$A1000,Cards!$H$2:$H1000,""""),"",\s"",""""))"),5.0)</f>
        <v>5</v>
      </c>
      <c r="K279" s="34" t="str">
        <f t="shared" si="1"/>
        <v>      Ramp         </v>
      </c>
      <c r="L279" s="34" t="str">
        <f>IFERROR(__xludf.DUMMYFUNCTION("IF(IF(L$1="""","""",REGEXMATCH(LOWER($E279),XLOOKUP(L$1,Metadata!$A$2:$A1000,Metadata!$B$2:$B1000))),L$1,"""")"),"")</f>
        <v/>
      </c>
      <c r="M279" s="34" t="str">
        <f>IFERROR(__xludf.DUMMYFUNCTION("IF(IF(M$1="""","""",REGEXMATCH(LOWER($E279),XLOOKUP(M$1,Metadata!$A$2:$A1000,Metadata!$B$2:$B1000))),M$1,"""")"),"")</f>
        <v/>
      </c>
      <c r="N279" s="34" t="str">
        <f>IFERROR(__xludf.DUMMYFUNCTION("IF(IF(N$1="""","""",REGEXMATCH(LOWER($E279),XLOOKUP(N$1,Metadata!$A$2:$A1000,Metadata!$B$2:$B1000))),N$1,"""")"),"")</f>
        <v/>
      </c>
      <c r="O279" s="34" t="str">
        <f>IFERROR(__xludf.DUMMYFUNCTION("IF(IF(O$1="""","""",REGEXMATCH(LOWER($E279),XLOOKUP(O$1,Metadata!$A$2:$A1000,Metadata!$B$2:$B1000))),O$1,"""")"),"")</f>
        <v/>
      </c>
      <c r="P279" s="34" t="str">
        <f>IFERROR(__xludf.DUMMYFUNCTION("IF(IF(P$1="""","""",REGEXMATCH(LOWER($E279),XLOOKUP(P$1,Metadata!$A$2:$A1000,Metadata!$B$2:$B1000))),P$1,"""")"),"")</f>
        <v/>
      </c>
      <c r="Q279" s="34" t="str">
        <f>IFERROR(__xludf.DUMMYFUNCTION("IF(IF(Q$1="""","""",REGEXMATCH(LOWER($E279),XLOOKUP(Q$1,Metadata!$A$2:$A1000,Metadata!$B$2:$B1000))),Q$1,"""")"),"")</f>
        <v/>
      </c>
      <c r="R279" s="34" t="str">
        <f>IFERROR(__xludf.DUMMYFUNCTION("IF(IF(R$1="""","""",REGEXMATCH(LOWER($E279),XLOOKUP(R$1,Metadata!$A$2:$A1000,Metadata!$B$2:$B1000))),R$1,"""")"),"Ramp")</f>
        <v>Ramp</v>
      </c>
      <c r="S279" s="34" t="str">
        <f>IFERROR(__xludf.DUMMYFUNCTION("IF(IF(S$1="""","""",REGEXMATCH(LOWER($E279),XLOOKUP(S$1,Metadata!$A$2:$A1000,Metadata!$B$2:$B1000))),S$1,"""")"),"")</f>
        <v/>
      </c>
      <c r="T279" s="34" t="str">
        <f>IFERROR(__xludf.DUMMYFUNCTION("IF(IF(T$1="""","""",REGEXMATCH(LOWER($E279),XLOOKUP(T$1,Metadata!$A$2:$A1000,Metadata!$B$2:$B1000))),T$1,"""")"),"")</f>
        <v/>
      </c>
      <c r="U279" s="34" t="str">
        <f>IFERROR(__xludf.DUMMYFUNCTION("IF(IF(U$1="""","""",REGEXMATCH(LOWER($E279),XLOOKUP(U$1,Metadata!$A$2:$A1000,Metadata!$B$2:$B1000))),U$1,"""")"),"")</f>
        <v/>
      </c>
      <c r="V279" s="34" t="str">
        <f>IFERROR(__xludf.DUMMYFUNCTION("IF(IF(V$1="""","""",REGEXMATCH(LOWER($E279),XLOOKUP(V$1,Metadata!$A$2:$A1000,Metadata!$B$2:$B1000))),V$1,"""")"),"")</f>
        <v/>
      </c>
      <c r="W279" s="34" t="str">
        <f>IFERROR(__xludf.DUMMYFUNCTION("IF(IF(W$1="""","""",REGEXMATCH(LOWER($E279),XLOOKUP(W$1,Metadata!$A$2:$A1000,Metadata!$B$2:$B1000))),W$1,"""")"),"")</f>
        <v/>
      </c>
      <c r="X279" s="34" t="str">
        <f>IFERROR(__xludf.DUMMYFUNCTION("IF(IF(X$1="""","""",REGEXMATCH(LOWER($E279),XLOOKUP(X$1,Metadata!$A$2:$A1000,Metadata!$B$2:$B1000))),X$1,"""")"),"")</f>
        <v/>
      </c>
      <c r="Y279" s="34" t="str">
        <f>IFERROR(__xludf.DUMMYFUNCTION("IF(IF(Y$1="""","""",REGEXMATCH(LOWER($E279),XLOOKUP(Y$1,Metadata!$A$2:$A1000,Metadata!$B$2:$B1000))),Y$1,"""")"),"")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I280">XLOOKUP($A280,Cards!$A$2:$A1000,Cards!$B$2:$I1000,"")</f>
        <v>Nature</v>
      </c>
      <c r="C280" s="34">
        <v>0.0</v>
      </c>
      <c r="D280" s="34" t="s">
        <v>111</v>
      </c>
      <c r="E280" s="34" t="s">
        <v>1761</v>
      </c>
      <c r="F280" s="34" t="s">
        <v>1762</v>
      </c>
      <c r="G280" s="34">
        <v>2.0</v>
      </c>
      <c r="H280" s="34" t="s">
        <v>1503</v>
      </c>
      <c r="I280" s="34" t="s">
        <v>26</v>
      </c>
      <c r="J280" s="34">
        <f>IFERROR(__xludf.DUMMYFUNCTION("LEN(REGEXREPLACE(XLOOKUP($A280,Cards!$A$2:$A1000,Cards!$H$2:$H1000,""""),"",\s"",""""))"),2.0)</f>
        <v>2</v>
      </c>
      <c r="K280" s="34" t="str">
        <f t="shared" si="1"/>
        <v>     Unearth       Ambush   </v>
      </c>
      <c r="L280" s="34" t="str">
        <f>IFERROR(__xludf.DUMMYFUNCTION("IF(IF(L$1="""","""",REGEXMATCH(LOWER($E280),XLOOKUP(L$1,Metadata!$A$2:$A1000,Metadata!$B$2:$B1000))),L$1,"""")"),"")</f>
        <v/>
      </c>
      <c r="M280" s="34" t="str">
        <f>IFERROR(__xludf.DUMMYFUNCTION("IF(IF(M$1="""","""",REGEXMATCH(LOWER($E280),XLOOKUP(M$1,Metadata!$A$2:$A1000,Metadata!$B$2:$B1000))),M$1,"""")"),"")</f>
        <v/>
      </c>
      <c r="N280" s="34" t="str">
        <f>IFERROR(__xludf.DUMMYFUNCTION("IF(IF(N$1="""","""",REGEXMATCH(LOWER($E280),XLOOKUP(N$1,Metadata!$A$2:$A1000,Metadata!$B$2:$B1000))),N$1,"""")"),"")</f>
        <v/>
      </c>
      <c r="O280" s="34" t="str">
        <f>IFERROR(__xludf.DUMMYFUNCTION("IF(IF(O$1="""","""",REGEXMATCH(LOWER($E280),XLOOKUP(O$1,Metadata!$A$2:$A1000,Metadata!$B$2:$B1000))),O$1,"""")"),"")</f>
        <v/>
      </c>
      <c r="P280" s="34" t="str">
        <f>IFERROR(__xludf.DUMMYFUNCTION("IF(IF(P$1="""","""",REGEXMATCH(LOWER($E280),XLOOKUP(P$1,Metadata!$A$2:$A1000,Metadata!$B$2:$B1000))),P$1,"""")"),"")</f>
        <v/>
      </c>
      <c r="Q280" s="34" t="str">
        <f>IFERROR(__xludf.DUMMYFUNCTION("IF(IF(Q$1="""","""",REGEXMATCH(LOWER($E280),XLOOKUP(Q$1,Metadata!$A$2:$A1000,Metadata!$B$2:$B1000))),Q$1,"""")"),"Unearth")</f>
        <v>Unearth</v>
      </c>
      <c r="R280" s="34" t="str">
        <f>IFERROR(__xludf.DUMMYFUNCTION("IF(IF(R$1="""","""",REGEXMATCH(LOWER($E280),XLOOKUP(R$1,Metadata!$A$2:$A1000,Metadata!$B$2:$B1000))),R$1,"""")"),"")</f>
        <v/>
      </c>
      <c r="S280" s="34" t="str">
        <f>IFERROR(__xludf.DUMMYFUNCTION("IF(IF(S$1="""","""",REGEXMATCH(LOWER($E280),XLOOKUP(S$1,Metadata!$A$2:$A1000,Metadata!$B$2:$B1000))),S$1,"""")"),"")</f>
        <v/>
      </c>
      <c r="T280" s="34" t="str">
        <f>IFERROR(__xludf.DUMMYFUNCTION("IF(IF(T$1="""","""",REGEXMATCH(LOWER($E280),XLOOKUP(T$1,Metadata!$A$2:$A1000,Metadata!$B$2:$B1000))),T$1,"""")"),"")</f>
        <v/>
      </c>
      <c r="U280" s="34" t="str">
        <f>IFERROR(__xludf.DUMMYFUNCTION("IF(IF(U$1="""","""",REGEXMATCH(LOWER($E280),XLOOKUP(U$1,Metadata!$A$2:$A1000,Metadata!$B$2:$B1000))),U$1,"""")"),"")</f>
        <v/>
      </c>
      <c r="V280" s="34" t="str">
        <f>IFERROR(__xludf.DUMMYFUNCTION("IF(IF(V$1="""","""",REGEXMATCH(LOWER($E280),XLOOKUP(V$1,Metadata!$A$2:$A1000,Metadata!$B$2:$B1000))),V$1,"""")"),"")</f>
        <v/>
      </c>
      <c r="W280" s="34" t="str">
        <f>IFERROR(__xludf.DUMMYFUNCTION("IF(IF(W$1="""","""",REGEXMATCH(LOWER($E280),XLOOKUP(W$1,Metadata!$A$2:$A1000,Metadata!$B$2:$B1000))),W$1,"""")"),"")</f>
        <v/>
      </c>
      <c r="X280" s="34" t="str">
        <f>IFERROR(__xludf.DUMMYFUNCTION("IF(IF(X$1="""","""",REGEXMATCH(LOWER($E280),XLOOKUP(X$1,Metadata!$A$2:$A1000,Metadata!$B$2:$B1000))),X$1,"""")"),"Ambush")</f>
        <v>Ambush</v>
      </c>
      <c r="Y280" s="34" t="str">
        <f>IFERROR(__xludf.DUMMYFUNCTION("IF(IF(Y$1="""","""",REGEXMATCH(LOWER($E280),XLOOKUP(Y$1,Metadata!$A$2:$A1000,Metadata!$B$2:$B1000))),Y$1,"""")"),"")</f>
        <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I281">XLOOKUP($A281,Cards!$A$2:$A1000,Cards!$B$2:$I1000,"")</f>
        <v>Nature</v>
      </c>
      <c r="C281" s="34">
        <v>1.0</v>
      </c>
      <c r="D281" s="34" t="s">
        <v>661</v>
      </c>
      <c r="E281" s="34" t="s">
        <v>1764</v>
      </c>
      <c r="F281" s="34" t="s">
        <v>1765</v>
      </c>
      <c r="G281" s="34">
        <v>3.0</v>
      </c>
      <c r="H281" s="34" t="s">
        <v>1526</v>
      </c>
      <c r="I281" s="34" t="s">
        <v>70</v>
      </c>
      <c r="J281" s="34">
        <f>IFERROR(__xludf.DUMMYFUNCTION("LEN(REGEXREPLACE(XLOOKUP($A281,Cards!$A$2:$A1000,Cards!$H$2:$H1000,""""),"",\s"",""""))"),4.0)</f>
        <v>4</v>
      </c>
      <c r="K281" s="34" t="str">
        <f t="shared" si="1"/>
        <v>           Move    </v>
      </c>
      <c r="L281" s="34" t="str">
        <f>IFERROR(__xludf.DUMMYFUNCTION("IF(IF(L$1="""","""",REGEXMATCH(LOWER($E281),XLOOKUP(L$1,Metadata!$A$2:$A1000,Metadata!$B$2:$B1000))),L$1,"""")"),"")</f>
        <v/>
      </c>
      <c r="M281" s="34" t="str">
        <f>IFERROR(__xludf.DUMMYFUNCTION("IF(IF(M$1="""","""",REGEXMATCH(LOWER($E281),XLOOKUP(M$1,Metadata!$A$2:$A1000,Metadata!$B$2:$B1000))),M$1,"""")"),"")</f>
        <v/>
      </c>
      <c r="N281" s="34" t="str">
        <f>IFERROR(__xludf.DUMMYFUNCTION("IF(IF(N$1="""","""",REGEXMATCH(LOWER($E281),XLOOKUP(N$1,Metadata!$A$2:$A1000,Metadata!$B$2:$B1000))),N$1,"""")"),"")</f>
        <v/>
      </c>
      <c r="O281" s="34" t="str">
        <f>IFERROR(__xludf.DUMMYFUNCTION("IF(IF(O$1="""","""",REGEXMATCH(LOWER($E281),XLOOKUP(O$1,Metadata!$A$2:$A1000,Metadata!$B$2:$B1000))),O$1,"""")"),"")</f>
        <v/>
      </c>
      <c r="P281" s="34" t="str">
        <f>IFERROR(__xludf.DUMMYFUNCTION("IF(IF(P$1="""","""",REGEXMATCH(LOWER($E281),XLOOKUP(P$1,Metadata!$A$2:$A1000,Metadata!$B$2:$B1000))),P$1,"""")"),"")</f>
        <v/>
      </c>
      <c r="Q281" s="34" t="str">
        <f>IFERROR(__xludf.DUMMYFUNCTION("IF(IF(Q$1="""","""",REGEXMATCH(LOWER($E281),XLOOKUP(Q$1,Metadata!$A$2:$A1000,Metadata!$B$2:$B1000))),Q$1,"""")"),"")</f>
        <v/>
      </c>
      <c r="R281" s="34" t="str">
        <f>IFERROR(__xludf.DUMMYFUNCTION("IF(IF(R$1="""","""",REGEXMATCH(LOWER($E281),XLOOKUP(R$1,Metadata!$A$2:$A1000,Metadata!$B$2:$B1000))),R$1,"""")"),"")</f>
        <v/>
      </c>
      <c r="S281" s="34" t="str">
        <f>IFERROR(__xludf.DUMMYFUNCTION("IF(IF(S$1="""","""",REGEXMATCH(LOWER($E281),XLOOKUP(S$1,Metadata!$A$2:$A1000,Metadata!$B$2:$B1000))),S$1,"""")"),"")</f>
        <v/>
      </c>
      <c r="T281" s="34" t="str">
        <f>IFERROR(__xludf.DUMMYFUNCTION("IF(IF(T$1="""","""",REGEXMATCH(LOWER($E281),XLOOKUP(T$1,Metadata!$A$2:$A1000,Metadata!$B$2:$B1000))),T$1,"""")"),"")</f>
        <v/>
      </c>
      <c r="U281" s="34" t="str">
        <f>IFERROR(__xludf.DUMMYFUNCTION("IF(IF(U$1="""","""",REGEXMATCH(LOWER($E281),XLOOKUP(U$1,Metadata!$A$2:$A1000,Metadata!$B$2:$B1000))),U$1,"""")"),"")</f>
        <v/>
      </c>
      <c r="V281" s="34" t="str">
        <f>IFERROR(__xludf.DUMMYFUNCTION("IF(IF(V$1="""","""",REGEXMATCH(LOWER($E281),XLOOKUP(V$1,Metadata!$A$2:$A1000,Metadata!$B$2:$B1000))),V$1,"""")"),"")</f>
        <v/>
      </c>
      <c r="W281" s="34" t="str">
        <f>IFERROR(__xludf.DUMMYFUNCTION("IF(IF(W$1="""","""",REGEXMATCH(LOWER($E281),XLOOKUP(W$1,Metadata!$A$2:$A1000,Metadata!$B$2:$B1000))),W$1,"""")"),"Move")</f>
        <v>Move</v>
      </c>
      <c r="X281" s="34" t="str">
        <f>IFERROR(__xludf.DUMMYFUNCTION("IF(IF(X$1="""","""",REGEXMATCH(LOWER($E281),XLOOKUP(X$1,Metadata!$A$2:$A1000,Metadata!$B$2:$B1000))),X$1,"""")"),"")</f>
        <v/>
      </c>
      <c r="Y281" s="34" t="str">
        <f>IFERROR(__xludf.DUMMYFUNCTION("IF(IF(Y$1="""","""",REGEXMATCH(LOWER($E281),XLOOKUP(Y$1,Metadata!$A$2:$A1000,Metadata!$B$2:$B1000))),Y$1,"""")"),"")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I282">XLOOKUP($A282,Cards!$A$2:$A1000,Cards!$B$2:$I1000,"")</f>
        <v>Nature</v>
      </c>
      <c r="C282" s="34">
        <v>1.0</v>
      </c>
      <c r="D282" s="34" t="s">
        <v>1397</v>
      </c>
      <c r="E282" s="34" t="s">
        <v>1767</v>
      </c>
      <c r="F282" s="34" t="s">
        <v>1768</v>
      </c>
      <c r="G282" s="34">
        <v>3.0</v>
      </c>
      <c r="H282" s="34" t="s">
        <v>1691</v>
      </c>
      <c r="I282" s="34" t="s">
        <v>26</v>
      </c>
      <c r="J282" s="34">
        <f>IFERROR(__xludf.DUMMYFUNCTION("LEN(REGEXREPLACE(XLOOKUP($A282,Cards!$A$2:$A1000,Cards!$H$2:$H1000,""""),"",\s"",""""))"),3.0)</f>
        <v>3</v>
      </c>
      <c r="K282" s="34" t="str">
        <f t="shared" si="1"/>
        <v>               </v>
      </c>
      <c r="L282" s="34" t="str">
        <f>IFERROR(__xludf.DUMMYFUNCTION("IF(IF(L$1="""","""",REGEXMATCH(LOWER($E282),XLOOKUP(L$1,Metadata!$A$2:$A1000,Metadata!$B$2:$B1000))),L$1,"""")"),"")</f>
        <v/>
      </c>
      <c r="M282" s="34" t="str">
        <f>IFERROR(__xludf.DUMMYFUNCTION("IF(IF(M$1="""","""",REGEXMATCH(LOWER($E282),XLOOKUP(M$1,Metadata!$A$2:$A1000,Metadata!$B$2:$B1000))),M$1,"""")"),"")</f>
        <v/>
      </c>
      <c r="N282" s="34" t="str">
        <f>IFERROR(__xludf.DUMMYFUNCTION("IF(IF(N$1="""","""",REGEXMATCH(LOWER($E282),XLOOKUP(N$1,Metadata!$A$2:$A1000,Metadata!$B$2:$B1000))),N$1,"""")"),"")</f>
        <v/>
      </c>
      <c r="O282" s="34" t="str">
        <f>IFERROR(__xludf.DUMMYFUNCTION("IF(IF(O$1="""","""",REGEXMATCH(LOWER($E282),XLOOKUP(O$1,Metadata!$A$2:$A1000,Metadata!$B$2:$B1000))),O$1,"""")"),"")</f>
        <v/>
      </c>
      <c r="P282" s="34" t="str">
        <f>IFERROR(__xludf.DUMMYFUNCTION("IF(IF(P$1="""","""",REGEXMATCH(LOWER($E282),XLOOKUP(P$1,Metadata!$A$2:$A1000,Metadata!$B$2:$B1000))),P$1,"""")"),"")</f>
        <v/>
      </c>
      <c r="Q282" s="34" t="str">
        <f>IFERROR(__xludf.DUMMYFUNCTION("IF(IF(Q$1="""","""",REGEXMATCH(LOWER($E282),XLOOKUP(Q$1,Metadata!$A$2:$A1000,Metadata!$B$2:$B1000))),Q$1,"""")"),"")</f>
        <v/>
      </c>
      <c r="R282" s="34" t="str">
        <f>IFERROR(__xludf.DUMMYFUNCTION("IF(IF(R$1="""","""",REGEXMATCH(LOWER($E282),XLOOKUP(R$1,Metadata!$A$2:$A1000,Metadata!$B$2:$B1000))),R$1,"""")"),"")</f>
        <v/>
      </c>
      <c r="S282" s="34" t="str">
        <f>IFERROR(__xludf.DUMMYFUNCTION("IF(IF(S$1="""","""",REGEXMATCH(LOWER($E282),XLOOKUP(S$1,Metadata!$A$2:$A1000,Metadata!$B$2:$B1000))),S$1,"""")"),"")</f>
        <v/>
      </c>
      <c r="T282" s="34" t="str">
        <f>IFERROR(__xludf.DUMMYFUNCTION("IF(IF(T$1="""","""",REGEXMATCH(LOWER($E282),XLOOKUP(T$1,Metadata!$A$2:$A1000,Metadata!$B$2:$B1000))),T$1,"""")"),"")</f>
        <v/>
      </c>
      <c r="U282" s="34" t="str">
        <f>IFERROR(__xludf.DUMMYFUNCTION("IF(IF(U$1="""","""",REGEXMATCH(LOWER($E282),XLOOKUP(U$1,Metadata!$A$2:$A1000,Metadata!$B$2:$B1000))),U$1,"""")"),"")</f>
        <v/>
      </c>
      <c r="V282" s="34" t="str">
        <f>IFERROR(__xludf.DUMMYFUNCTION("IF(IF(V$1="""","""",REGEXMATCH(LOWER($E282),XLOOKUP(V$1,Metadata!$A$2:$A1000,Metadata!$B$2:$B1000))),V$1,"""")"),"")</f>
        <v/>
      </c>
      <c r="W282" s="34" t="str">
        <f>IFERROR(__xludf.DUMMYFUNCTION("IF(IF(W$1="""","""",REGEXMATCH(LOWER($E282),XLOOKUP(W$1,Metadata!$A$2:$A1000,Metadata!$B$2:$B1000))),W$1,"""")"),"")</f>
        <v/>
      </c>
      <c r="X282" s="34" t="str">
        <f>IFERROR(__xludf.DUMMYFUNCTION("IF(IF(X$1="""","""",REGEXMATCH(LOWER($E282),XLOOKUP(X$1,Metadata!$A$2:$A1000,Metadata!$B$2:$B1000))),X$1,"""")"),"")</f>
        <v/>
      </c>
      <c r="Y282" s="34" t="str">
        <f>IFERROR(__xludf.DUMMYFUNCTION("IF(IF(Y$1="""","""",REGEXMATCH(LOWER($E282),XLOOKUP(Y$1,Metadata!$A$2:$A1000,Metadata!$B$2:$B1000))),Y$1,"""")"),"")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I283">XLOOKUP($A283,Cards!$A$2:$A1000,Cards!$B$2:$I1000,"")</f>
        <v>Void</v>
      </c>
      <c r="C283" s="34">
        <v>2.0</v>
      </c>
      <c r="D283" s="34" t="s">
        <v>124</v>
      </c>
      <c r="E283" s="34" t="s">
        <v>1771</v>
      </c>
      <c r="F283" s="34" t="s">
        <v>1772</v>
      </c>
      <c r="G283" s="34">
        <v>1.0</v>
      </c>
      <c r="H283" s="34" t="s">
        <v>1773</v>
      </c>
      <c r="I283" s="34" t="s">
        <v>70</v>
      </c>
      <c r="J283" s="34">
        <f>IFERROR(__xludf.DUMMYFUNCTION("LEN(REGEXREPLACE(XLOOKUP($A283,Cards!$A$2:$A1000,Cards!$H$2:$H1000,""""),"",\s"",""""))"),1.0)</f>
        <v>1</v>
      </c>
      <c r="K283" s="34" t="str">
        <f t="shared" si="1"/>
        <v>     Unearth Ramp      Ambush   </v>
      </c>
      <c r="L283" s="34" t="str">
        <f>IFERROR(__xludf.DUMMYFUNCTION("IF(IF(L$1="""","""",REGEXMATCH(LOWER($E283),XLOOKUP(L$1,Metadata!$A$2:$A1000,Metadata!$B$2:$B1000))),L$1,"""")"),"")</f>
        <v/>
      </c>
      <c r="M283" s="34" t="str">
        <f>IFERROR(__xludf.DUMMYFUNCTION("IF(IF(M$1="""","""",REGEXMATCH(LOWER($E283),XLOOKUP(M$1,Metadata!$A$2:$A1000,Metadata!$B$2:$B1000))),M$1,"""")"),"")</f>
        <v/>
      </c>
      <c r="N283" s="34" t="str">
        <f>IFERROR(__xludf.DUMMYFUNCTION("IF(IF(N$1="""","""",REGEXMATCH(LOWER($E283),XLOOKUP(N$1,Metadata!$A$2:$A1000,Metadata!$B$2:$B1000))),N$1,"""")"),"")</f>
        <v/>
      </c>
      <c r="O283" s="34" t="str">
        <f>IFERROR(__xludf.DUMMYFUNCTION("IF(IF(O$1="""","""",REGEXMATCH(LOWER($E283),XLOOKUP(O$1,Metadata!$A$2:$A1000,Metadata!$B$2:$B1000))),O$1,"""")"),"")</f>
        <v/>
      </c>
      <c r="P283" s="34" t="str">
        <f>IFERROR(__xludf.DUMMYFUNCTION("IF(IF(P$1="""","""",REGEXMATCH(LOWER($E283),XLOOKUP(P$1,Metadata!$A$2:$A1000,Metadata!$B$2:$B1000))),P$1,"""")"),"")</f>
        <v/>
      </c>
      <c r="Q283" s="34" t="str">
        <f>IFERROR(__xludf.DUMMYFUNCTION("IF(IF(Q$1="""","""",REGEXMATCH(LOWER($E283),XLOOKUP(Q$1,Metadata!$A$2:$A1000,Metadata!$B$2:$B1000))),Q$1,"""")"),"Unearth")</f>
        <v>Unearth</v>
      </c>
      <c r="R283" s="34" t="str">
        <f>IFERROR(__xludf.DUMMYFUNCTION("IF(IF(R$1="""","""",REGEXMATCH(LOWER($E283),XLOOKUP(R$1,Metadata!$A$2:$A1000,Metadata!$B$2:$B1000))),R$1,"""")"),"Ramp")</f>
        <v>Ramp</v>
      </c>
      <c r="S283" s="34" t="str">
        <f>IFERROR(__xludf.DUMMYFUNCTION("IF(IF(S$1="""","""",REGEXMATCH(LOWER($E283),XLOOKUP(S$1,Metadata!$A$2:$A1000,Metadata!$B$2:$B1000))),S$1,"""")"),"")</f>
        <v/>
      </c>
      <c r="T283" s="34" t="str">
        <f>IFERROR(__xludf.DUMMYFUNCTION("IF(IF(T$1="""","""",REGEXMATCH(LOWER($E283),XLOOKUP(T$1,Metadata!$A$2:$A1000,Metadata!$B$2:$B1000))),T$1,"""")"),"")</f>
        <v/>
      </c>
      <c r="U283" s="34" t="str">
        <f>IFERROR(__xludf.DUMMYFUNCTION("IF(IF(U$1="""","""",REGEXMATCH(LOWER($E283),XLOOKUP(U$1,Metadata!$A$2:$A1000,Metadata!$B$2:$B1000))),U$1,"""")"),"")</f>
        <v/>
      </c>
      <c r="V283" s="34" t="str">
        <f>IFERROR(__xludf.DUMMYFUNCTION("IF(IF(V$1="""","""",REGEXMATCH(LOWER($E283),XLOOKUP(V$1,Metadata!$A$2:$A1000,Metadata!$B$2:$B1000))),V$1,"""")"),"")</f>
        <v/>
      </c>
      <c r="W283" s="34" t="str">
        <f>IFERROR(__xludf.DUMMYFUNCTION("IF(IF(W$1="""","""",REGEXMATCH(LOWER($E283),XLOOKUP(W$1,Metadata!$A$2:$A1000,Metadata!$B$2:$B1000))),W$1,"""")"),"")</f>
        <v/>
      </c>
      <c r="X283" s="34" t="str">
        <f>IFERROR(__xludf.DUMMYFUNCTION("IF(IF(X$1="""","""",REGEXMATCH(LOWER($E283),XLOOKUP(X$1,Metadata!$A$2:$A1000,Metadata!$B$2:$B1000))),X$1,"""")"),"Ambush")</f>
        <v>Ambush</v>
      </c>
      <c r="Y283" s="34" t="str">
        <f>IFERROR(__xludf.DUMMYFUNCTION("IF(IF(Y$1="""","""",REGEXMATCH(LOWER($E283),XLOOKUP(Y$1,Metadata!$A$2:$A1000,Metadata!$B$2:$B1000))),Y$1,"""")"),"")</f>
        <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I284">XLOOKUP($A284,Cards!$A$2:$A1000,Cards!$B$2:$I1000,"")</f>
        <v>Nature</v>
      </c>
      <c r="C284" s="34">
        <v>1.0</v>
      </c>
      <c r="D284" s="34" t="s">
        <v>1720</v>
      </c>
      <c r="E284" s="34" t="s">
        <v>1775</v>
      </c>
      <c r="F284" s="34" t="s">
        <v>1776</v>
      </c>
      <c r="G284" s="34">
        <v>2.0</v>
      </c>
      <c r="H284" s="34" t="s">
        <v>1503</v>
      </c>
      <c r="I284" s="34" t="s">
        <v>26</v>
      </c>
      <c r="J284" s="34">
        <f>IFERROR(__xludf.DUMMYFUNCTION("LEN(REGEXREPLACE(XLOOKUP($A284,Cards!$A$2:$A1000,Cards!$H$2:$H1000,""""),"",\s"",""""))"),2.0)</f>
        <v>2</v>
      </c>
      <c r="K284" s="34" t="str">
        <f t="shared" si="1"/>
        <v>               </v>
      </c>
      <c r="L284" s="34" t="str">
        <f>IFERROR(__xludf.DUMMYFUNCTION("IF(IF(L$1="""","""",REGEXMATCH(LOWER($E284),XLOOKUP(L$1,Metadata!$A$2:$A1000,Metadata!$B$2:$B1000))),L$1,"""")"),"")</f>
        <v/>
      </c>
      <c r="M284" s="34" t="str">
        <f>IFERROR(__xludf.DUMMYFUNCTION("IF(IF(M$1="""","""",REGEXMATCH(LOWER($E284),XLOOKUP(M$1,Metadata!$A$2:$A1000,Metadata!$B$2:$B1000))),M$1,"""")"),"")</f>
        <v/>
      </c>
      <c r="N284" s="34" t="str">
        <f>IFERROR(__xludf.DUMMYFUNCTION("IF(IF(N$1="""","""",REGEXMATCH(LOWER($E284),XLOOKUP(N$1,Metadata!$A$2:$A1000,Metadata!$B$2:$B1000))),N$1,"""")"),"")</f>
        <v/>
      </c>
      <c r="O284" s="34" t="str">
        <f>IFERROR(__xludf.DUMMYFUNCTION("IF(IF(O$1="""","""",REGEXMATCH(LOWER($E284),XLOOKUP(O$1,Metadata!$A$2:$A1000,Metadata!$B$2:$B1000))),O$1,"""")"),"")</f>
        <v/>
      </c>
      <c r="P284" s="34" t="str">
        <f>IFERROR(__xludf.DUMMYFUNCTION("IF(IF(P$1="""","""",REGEXMATCH(LOWER($E284),XLOOKUP(P$1,Metadata!$A$2:$A1000,Metadata!$B$2:$B1000))),P$1,"""")"),"")</f>
        <v/>
      </c>
      <c r="Q284" s="34" t="str">
        <f>IFERROR(__xludf.DUMMYFUNCTION("IF(IF(Q$1="""","""",REGEXMATCH(LOWER($E284),XLOOKUP(Q$1,Metadata!$A$2:$A1000,Metadata!$B$2:$B1000))),Q$1,"""")"),"")</f>
        <v/>
      </c>
      <c r="R284" s="34" t="str">
        <f>IFERROR(__xludf.DUMMYFUNCTION("IF(IF(R$1="""","""",REGEXMATCH(LOWER($E284),XLOOKUP(R$1,Metadata!$A$2:$A1000,Metadata!$B$2:$B1000))),R$1,"""")"),"")</f>
        <v/>
      </c>
      <c r="S284" s="34" t="str">
        <f>IFERROR(__xludf.DUMMYFUNCTION("IF(IF(S$1="""","""",REGEXMATCH(LOWER($E284),XLOOKUP(S$1,Metadata!$A$2:$A1000,Metadata!$B$2:$B1000))),S$1,"""")"),"")</f>
        <v/>
      </c>
      <c r="T284" s="34" t="str">
        <f>IFERROR(__xludf.DUMMYFUNCTION("IF(IF(T$1="""","""",REGEXMATCH(LOWER($E284),XLOOKUP(T$1,Metadata!$A$2:$A1000,Metadata!$B$2:$B1000))),T$1,"""")"),"")</f>
        <v/>
      </c>
      <c r="U284" s="34" t="str">
        <f>IFERROR(__xludf.DUMMYFUNCTION("IF(IF(U$1="""","""",REGEXMATCH(LOWER($E284),XLOOKUP(U$1,Metadata!$A$2:$A1000,Metadata!$B$2:$B1000))),U$1,"""")"),"")</f>
        <v/>
      </c>
      <c r="V284" s="34" t="str">
        <f>IFERROR(__xludf.DUMMYFUNCTION("IF(IF(V$1="""","""",REGEXMATCH(LOWER($E284),XLOOKUP(V$1,Metadata!$A$2:$A1000,Metadata!$B$2:$B1000))),V$1,"""")"),"")</f>
        <v/>
      </c>
      <c r="W284" s="34" t="str">
        <f>IFERROR(__xludf.DUMMYFUNCTION("IF(IF(W$1="""","""",REGEXMATCH(LOWER($E284),XLOOKUP(W$1,Metadata!$A$2:$A1000,Metadata!$B$2:$B1000))),W$1,"""")"),"")</f>
        <v/>
      </c>
      <c r="X284" s="34" t="str">
        <f>IFERROR(__xludf.DUMMYFUNCTION("IF(IF(X$1="""","""",REGEXMATCH(LOWER($E284),XLOOKUP(X$1,Metadata!$A$2:$A1000,Metadata!$B$2:$B1000))),X$1,"""")"),"")</f>
        <v/>
      </c>
      <c r="Y284" s="34" t="str">
        <f>IFERROR(__xludf.DUMMYFUNCTION("IF(IF(Y$1="""","""",REGEXMATCH(LOWER($E284),XLOOKUP(Y$1,Metadata!$A$2:$A1000,Metadata!$B$2:$B1000))),Y$1,"""")"),"")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I285">XLOOKUP($A285,Cards!$A$2:$A1000,Cards!$B$2:$I1000,"")</f>
        <v>Void</v>
      </c>
      <c r="C285" s="34">
        <v>2.0</v>
      </c>
      <c r="D285" s="34" t="s">
        <v>1778</v>
      </c>
      <c r="E285" s="34" t="s">
        <v>1779</v>
      </c>
      <c r="F285" s="34" t="s">
        <v>1780</v>
      </c>
      <c r="G285" s="34">
        <v>4.0</v>
      </c>
      <c r="H285" s="34" t="s">
        <v>1781</v>
      </c>
      <c r="I285" s="34" t="s">
        <v>32</v>
      </c>
      <c r="J285" s="34">
        <f>IFERROR(__xludf.DUMMYFUNCTION("LEN(REGEXREPLACE(XLOOKUP($A285,Cards!$A$2:$A1000,Cards!$H$2:$H1000,""""),"",\s"",""""))"),5.0)</f>
        <v>5</v>
      </c>
      <c r="K285" s="34" t="str">
        <f t="shared" si="1"/>
        <v>     Unearth  Control     Ambush   </v>
      </c>
      <c r="L285" s="34" t="str">
        <f>IFERROR(__xludf.DUMMYFUNCTION("IF(IF(L$1="""","""",REGEXMATCH(LOWER($E285),XLOOKUP(L$1,Metadata!$A$2:$A1000,Metadata!$B$2:$B1000))),L$1,"""")"),"")</f>
        <v/>
      </c>
      <c r="M285" s="34" t="str">
        <f>IFERROR(__xludf.DUMMYFUNCTION("IF(IF(M$1="""","""",REGEXMATCH(LOWER($E285),XLOOKUP(M$1,Metadata!$A$2:$A1000,Metadata!$B$2:$B1000))),M$1,"""")"),"")</f>
        <v/>
      </c>
      <c r="N285" s="34" t="str">
        <f>IFERROR(__xludf.DUMMYFUNCTION("IF(IF(N$1="""","""",REGEXMATCH(LOWER($E285),XLOOKUP(N$1,Metadata!$A$2:$A1000,Metadata!$B$2:$B1000))),N$1,"""")"),"")</f>
        <v/>
      </c>
      <c r="O285" s="34" t="str">
        <f>IFERROR(__xludf.DUMMYFUNCTION("IF(IF(O$1="""","""",REGEXMATCH(LOWER($E285),XLOOKUP(O$1,Metadata!$A$2:$A1000,Metadata!$B$2:$B1000))),O$1,"""")"),"")</f>
        <v/>
      </c>
      <c r="P285" s="34" t="str">
        <f>IFERROR(__xludf.DUMMYFUNCTION("IF(IF(P$1="""","""",REGEXMATCH(LOWER($E285),XLOOKUP(P$1,Metadata!$A$2:$A1000,Metadata!$B$2:$B1000))),P$1,"""")"),"")</f>
        <v/>
      </c>
      <c r="Q285" s="34" t="str">
        <f>IFERROR(__xludf.DUMMYFUNCTION("IF(IF(Q$1="""","""",REGEXMATCH(LOWER($E285),XLOOKUP(Q$1,Metadata!$A$2:$A1000,Metadata!$B$2:$B1000))),Q$1,"""")"),"Unearth")</f>
        <v>Unearth</v>
      </c>
      <c r="R285" s="34" t="str">
        <f>IFERROR(__xludf.DUMMYFUNCTION("IF(IF(R$1="""","""",REGEXMATCH(LOWER($E285),XLOOKUP(R$1,Metadata!$A$2:$A1000,Metadata!$B$2:$B1000))),R$1,"""")"),"")</f>
        <v/>
      </c>
      <c r="S285" s="34" t="str">
        <f>IFERROR(__xludf.DUMMYFUNCTION("IF(IF(S$1="""","""",REGEXMATCH(LOWER($E285),XLOOKUP(S$1,Metadata!$A$2:$A1000,Metadata!$B$2:$B1000))),S$1,"""")"),"Control")</f>
        <v>Control</v>
      </c>
      <c r="T285" s="34" t="str">
        <f>IFERROR(__xludf.DUMMYFUNCTION("IF(IF(T$1="""","""",REGEXMATCH(LOWER($E285),XLOOKUP(T$1,Metadata!$A$2:$A1000,Metadata!$B$2:$B1000))),T$1,"""")"),"")</f>
        <v/>
      </c>
      <c r="U285" s="34" t="str">
        <f>IFERROR(__xludf.DUMMYFUNCTION("IF(IF(U$1="""","""",REGEXMATCH(LOWER($E285),XLOOKUP(U$1,Metadata!$A$2:$A1000,Metadata!$B$2:$B1000))),U$1,"""")"),"")</f>
        <v/>
      </c>
      <c r="V285" s="34" t="str">
        <f>IFERROR(__xludf.DUMMYFUNCTION("IF(IF(V$1="""","""",REGEXMATCH(LOWER($E285),XLOOKUP(V$1,Metadata!$A$2:$A1000,Metadata!$B$2:$B1000))),V$1,"""")"),"")</f>
        <v/>
      </c>
      <c r="W285" s="34" t="str">
        <f>IFERROR(__xludf.DUMMYFUNCTION("IF(IF(W$1="""","""",REGEXMATCH(LOWER($E285),XLOOKUP(W$1,Metadata!$A$2:$A1000,Metadata!$B$2:$B1000))),W$1,"""")"),"")</f>
        <v/>
      </c>
      <c r="X285" s="34" t="str">
        <f>IFERROR(__xludf.DUMMYFUNCTION("IF(IF(X$1="""","""",REGEXMATCH(LOWER($E285),XLOOKUP(X$1,Metadata!$A$2:$A1000,Metadata!$B$2:$B1000))),X$1,"""")"),"Ambush")</f>
        <v>Ambush</v>
      </c>
      <c r="Y285" s="34" t="str">
        <f>IFERROR(__xludf.DUMMYFUNCTION("IF(IF(Y$1="""","""",REGEXMATCH(LOWER($E285),XLOOKUP(Y$1,Metadata!$A$2:$A1000,Metadata!$B$2:$B1000))),Y$1,"""")"),"")</f>
        <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I286">XLOOKUP($A286,Cards!$A$2:$A1000,Cards!$B$2:$I1000,"")</f>
        <v>Void</v>
      </c>
      <c r="C286" s="34">
        <v>2.0</v>
      </c>
      <c r="D286" s="34" t="s">
        <v>1783</v>
      </c>
      <c r="E286" s="34" t="s">
        <v>1784</v>
      </c>
      <c r="F286" s="34" t="s">
        <v>1785</v>
      </c>
      <c r="G286" s="34">
        <v>4.0</v>
      </c>
      <c r="H286" s="34" t="s">
        <v>1786</v>
      </c>
      <c r="I286" s="34" t="s">
        <v>32</v>
      </c>
      <c r="J286" s="34">
        <f>IFERROR(__xludf.DUMMYFUNCTION("LEN(REGEXREPLACE(XLOOKUP($A286,Cards!$A$2:$A1000,Cards!$H$2:$H1000,""""),"",\s"",""""))"),7.0)</f>
        <v>7</v>
      </c>
      <c r="K286" s="34" t="str">
        <f t="shared" si="1"/>
        <v>               </v>
      </c>
      <c r="L286" s="34" t="str">
        <f>IFERROR(__xludf.DUMMYFUNCTION("IF(IF(L$1="""","""",REGEXMATCH(LOWER($E286),XLOOKUP(L$1,Metadata!$A$2:$A1000,Metadata!$B$2:$B1000))),L$1,"""")"),"")</f>
        <v/>
      </c>
      <c r="M286" s="34" t="str">
        <f>IFERROR(__xludf.DUMMYFUNCTION("IF(IF(M$1="""","""",REGEXMATCH(LOWER($E286),XLOOKUP(M$1,Metadata!$A$2:$A1000,Metadata!$B$2:$B1000))),M$1,"""")"),"")</f>
        <v/>
      </c>
      <c r="N286" s="34" t="str">
        <f>IFERROR(__xludf.DUMMYFUNCTION("IF(IF(N$1="""","""",REGEXMATCH(LOWER($E286),XLOOKUP(N$1,Metadata!$A$2:$A1000,Metadata!$B$2:$B1000))),N$1,"""")"),"")</f>
        <v/>
      </c>
      <c r="O286" s="34" t="str">
        <f>IFERROR(__xludf.DUMMYFUNCTION("IF(IF(O$1="""","""",REGEXMATCH(LOWER($E286),XLOOKUP(O$1,Metadata!$A$2:$A1000,Metadata!$B$2:$B1000))),O$1,"""")"),"")</f>
        <v/>
      </c>
      <c r="P286" s="34" t="str">
        <f>IFERROR(__xludf.DUMMYFUNCTION("IF(IF(P$1="""","""",REGEXMATCH(LOWER($E286),XLOOKUP(P$1,Metadata!$A$2:$A1000,Metadata!$B$2:$B1000))),P$1,"""")"),"")</f>
        <v/>
      </c>
      <c r="Q286" s="34" t="str">
        <f>IFERROR(__xludf.DUMMYFUNCTION("IF(IF(Q$1="""","""",REGEXMATCH(LOWER($E286),XLOOKUP(Q$1,Metadata!$A$2:$A1000,Metadata!$B$2:$B1000))),Q$1,"""")"),"")</f>
        <v/>
      </c>
      <c r="R286" s="34" t="str">
        <f>IFERROR(__xludf.DUMMYFUNCTION("IF(IF(R$1="""","""",REGEXMATCH(LOWER($E286),XLOOKUP(R$1,Metadata!$A$2:$A1000,Metadata!$B$2:$B1000))),R$1,"""")"),"")</f>
        <v/>
      </c>
      <c r="S286" s="34" t="str">
        <f>IFERROR(__xludf.DUMMYFUNCTION("IF(IF(S$1="""","""",REGEXMATCH(LOWER($E286),XLOOKUP(S$1,Metadata!$A$2:$A1000,Metadata!$B$2:$B1000))),S$1,"""")"),"")</f>
        <v/>
      </c>
      <c r="T286" s="34" t="str">
        <f>IFERROR(__xludf.DUMMYFUNCTION("IF(IF(T$1="""","""",REGEXMATCH(LOWER($E286),XLOOKUP(T$1,Metadata!$A$2:$A1000,Metadata!$B$2:$B1000))),T$1,"""")"),"")</f>
        <v/>
      </c>
      <c r="U286" s="34" t="str">
        <f>IFERROR(__xludf.DUMMYFUNCTION("IF(IF(U$1="""","""",REGEXMATCH(LOWER($E286),XLOOKUP(U$1,Metadata!$A$2:$A1000,Metadata!$B$2:$B1000))),U$1,"""")"),"")</f>
        <v/>
      </c>
      <c r="V286" s="34" t="str">
        <f>IFERROR(__xludf.DUMMYFUNCTION("IF(IF(V$1="""","""",REGEXMATCH(LOWER($E286),XLOOKUP(V$1,Metadata!$A$2:$A1000,Metadata!$B$2:$B1000))),V$1,"""")"),"")</f>
        <v/>
      </c>
      <c r="W286" s="34" t="str">
        <f>IFERROR(__xludf.DUMMYFUNCTION("IF(IF(W$1="""","""",REGEXMATCH(LOWER($E286),XLOOKUP(W$1,Metadata!$A$2:$A1000,Metadata!$B$2:$B1000))),W$1,"""")"),"")</f>
        <v/>
      </c>
      <c r="X286" s="34" t="str">
        <f>IFERROR(__xludf.DUMMYFUNCTION("IF(IF(X$1="""","""",REGEXMATCH(LOWER($E286),XLOOKUP(X$1,Metadata!$A$2:$A1000,Metadata!$B$2:$B1000))),X$1,"""")"),"")</f>
        <v/>
      </c>
      <c r="Y286" s="34" t="str">
        <f>IFERROR(__xludf.DUMMYFUNCTION("IF(IF(Y$1="""","""",REGEXMATCH(LOWER($E286),XLOOKUP(Y$1,Metadata!$A$2:$A1000,Metadata!$B$2:$B1000))),Y$1,"""")"),"")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I287">XLOOKUP($A287,Cards!$A$2:$A1000,Cards!$B$2:$I1000,"")</f>
        <v>Void</v>
      </c>
      <c r="C287" s="34">
        <v>2.0</v>
      </c>
      <c r="D287" s="34" t="s">
        <v>1788</v>
      </c>
      <c r="E287" s="34" t="s">
        <v>1789</v>
      </c>
      <c r="F287" s="34" t="s">
        <v>1790</v>
      </c>
      <c r="G287" s="34">
        <v>3.0</v>
      </c>
      <c r="H287" s="34" t="s">
        <v>1791</v>
      </c>
      <c r="I287" s="34" t="s">
        <v>70</v>
      </c>
      <c r="J287" s="34">
        <f>IFERROR(__xludf.DUMMYFUNCTION("LEN(REGEXREPLACE(XLOOKUP($A287,Cards!$A$2:$A1000,Cards!$H$2:$H1000,""""),"",\s"",""""))"),3.0)</f>
        <v>3</v>
      </c>
      <c r="K287" s="34" t="str">
        <f t="shared" si="1"/>
        <v>      Ramp Control   Empty-Crystal  Ambush   </v>
      </c>
      <c r="L287" s="34" t="str">
        <f>IFERROR(__xludf.DUMMYFUNCTION("IF(IF(L$1="""","""",REGEXMATCH(LOWER($E287),XLOOKUP(L$1,Metadata!$A$2:$A1000,Metadata!$B$2:$B1000))),L$1,"""")"),"")</f>
        <v/>
      </c>
      <c r="M287" s="34" t="str">
        <f>IFERROR(__xludf.DUMMYFUNCTION("IF(IF(M$1="""","""",REGEXMATCH(LOWER($E287),XLOOKUP(M$1,Metadata!$A$2:$A1000,Metadata!$B$2:$B1000))),M$1,"""")"),"")</f>
        <v/>
      </c>
      <c r="N287" s="34" t="str">
        <f>IFERROR(__xludf.DUMMYFUNCTION("IF(IF(N$1="""","""",REGEXMATCH(LOWER($E287),XLOOKUP(N$1,Metadata!$A$2:$A1000,Metadata!$B$2:$B1000))),N$1,"""")"),"")</f>
        <v/>
      </c>
      <c r="O287" s="34" t="str">
        <f>IFERROR(__xludf.DUMMYFUNCTION("IF(IF(O$1="""","""",REGEXMATCH(LOWER($E287),XLOOKUP(O$1,Metadata!$A$2:$A1000,Metadata!$B$2:$B1000))),O$1,"""")"),"")</f>
        <v/>
      </c>
      <c r="P287" s="34" t="str">
        <f>IFERROR(__xludf.DUMMYFUNCTION("IF(IF(P$1="""","""",REGEXMATCH(LOWER($E287),XLOOKUP(P$1,Metadata!$A$2:$A1000,Metadata!$B$2:$B1000))),P$1,"""")"),"")</f>
        <v/>
      </c>
      <c r="Q287" s="34" t="str">
        <f>IFERROR(__xludf.DUMMYFUNCTION("IF(IF(Q$1="""","""",REGEXMATCH(LOWER($E287),XLOOKUP(Q$1,Metadata!$A$2:$A1000,Metadata!$B$2:$B1000))),Q$1,"""")"),"")</f>
        <v/>
      </c>
      <c r="R287" s="34" t="str">
        <f>IFERROR(__xludf.DUMMYFUNCTION("IF(IF(R$1="""","""",REGEXMATCH(LOWER($E287),XLOOKUP(R$1,Metadata!$A$2:$A1000,Metadata!$B$2:$B1000))),R$1,"""")"),"Ramp")</f>
        <v>Ramp</v>
      </c>
      <c r="S287" s="34" t="str">
        <f>IFERROR(__xludf.DUMMYFUNCTION("IF(IF(S$1="""","""",REGEXMATCH(LOWER($E287),XLOOKUP(S$1,Metadata!$A$2:$A1000,Metadata!$B$2:$B1000))),S$1,"""")"),"Control")</f>
        <v>Control</v>
      </c>
      <c r="T287" s="34" t="str">
        <f>IFERROR(__xludf.DUMMYFUNCTION("IF(IF(T$1="""","""",REGEXMATCH(LOWER($E287),XLOOKUP(T$1,Metadata!$A$2:$A1000,Metadata!$B$2:$B1000))),T$1,"""")"),"")</f>
        <v/>
      </c>
      <c r="U287" s="34" t="str">
        <f>IFERROR(__xludf.DUMMYFUNCTION("IF(IF(U$1="""","""",REGEXMATCH(LOWER($E287),XLOOKUP(U$1,Metadata!$A$2:$A1000,Metadata!$B$2:$B1000))),U$1,"""")"),"")</f>
        <v/>
      </c>
      <c r="V287" s="34" t="str">
        <f>IFERROR(__xludf.DUMMYFUNCTION("IF(IF(V$1="""","""",REGEXMATCH(LOWER($E287),XLOOKUP(V$1,Metadata!$A$2:$A1000,Metadata!$B$2:$B1000))),V$1,"""")"),"Empty-Crystal")</f>
        <v>Empty-Crystal</v>
      </c>
      <c r="W287" s="34" t="str">
        <f>IFERROR(__xludf.DUMMYFUNCTION("IF(IF(W$1="""","""",REGEXMATCH(LOWER($E287),XLOOKUP(W$1,Metadata!$A$2:$A1000,Metadata!$B$2:$B1000))),W$1,"""")"),"")</f>
        <v/>
      </c>
      <c r="X287" s="34" t="str">
        <f>IFERROR(__xludf.DUMMYFUNCTION("IF(IF(X$1="""","""",REGEXMATCH(LOWER($E287),XLOOKUP(X$1,Metadata!$A$2:$A1000,Metadata!$B$2:$B1000))),X$1,"""")"),"Ambush")</f>
        <v>Ambush</v>
      </c>
      <c r="Y287" s="34" t="str">
        <f>IFERROR(__xludf.DUMMYFUNCTION("IF(IF(Y$1="""","""",REGEXMATCH(LOWER($E287),XLOOKUP(Y$1,Metadata!$A$2:$A1000,Metadata!$B$2:$B1000))),Y$1,"""")"),"")</f>
        <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I288">XLOOKUP($A288,Cards!$A$2:$A1000,Cards!$B$2:$I1000,"")</f>
        <v>Void</v>
      </c>
      <c r="C288" s="34">
        <v>2.0</v>
      </c>
      <c r="D288" s="34" t="s">
        <v>181</v>
      </c>
      <c r="E288" s="34" t="s">
        <v>1793</v>
      </c>
      <c r="F288" s="34" t="s">
        <v>1794</v>
      </c>
      <c r="G288" s="34">
        <v>0.0</v>
      </c>
      <c r="H288" s="34" t="s">
        <v>1795</v>
      </c>
      <c r="I288" s="34" t="s">
        <v>70</v>
      </c>
      <c r="J288" s="34">
        <f>IFERROR(__xludf.DUMMYFUNCTION("LEN(REGEXREPLACE(XLOOKUP($A288,Cards!$A$2:$A1000,Cards!$H$2:$H1000,""""),"",\s"",""""))"),2.0)</f>
        <v>2</v>
      </c>
      <c r="K288" s="34" t="str">
        <f t="shared" si="1"/>
        <v>               </v>
      </c>
      <c r="L288" s="34" t="str">
        <f>IFERROR(__xludf.DUMMYFUNCTION("IF(IF(L$1="""","""",REGEXMATCH(LOWER($E288),XLOOKUP(L$1,Metadata!$A$2:$A1000,Metadata!$B$2:$B1000))),L$1,"""")"),"")</f>
        <v/>
      </c>
      <c r="M288" s="34" t="str">
        <f>IFERROR(__xludf.DUMMYFUNCTION("IF(IF(M$1="""","""",REGEXMATCH(LOWER($E288),XLOOKUP(M$1,Metadata!$A$2:$A1000,Metadata!$B$2:$B1000))),M$1,"""")"),"")</f>
        <v/>
      </c>
      <c r="N288" s="34" t="str">
        <f>IFERROR(__xludf.DUMMYFUNCTION("IF(IF(N$1="""","""",REGEXMATCH(LOWER($E288),XLOOKUP(N$1,Metadata!$A$2:$A1000,Metadata!$B$2:$B1000))),N$1,"""")"),"")</f>
        <v/>
      </c>
      <c r="O288" s="34" t="str">
        <f>IFERROR(__xludf.DUMMYFUNCTION("IF(IF(O$1="""","""",REGEXMATCH(LOWER($E288),XLOOKUP(O$1,Metadata!$A$2:$A1000,Metadata!$B$2:$B1000))),O$1,"""")"),"")</f>
        <v/>
      </c>
      <c r="P288" s="34" t="str">
        <f>IFERROR(__xludf.DUMMYFUNCTION("IF(IF(P$1="""","""",REGEXMATCH(LOWER($E288),XLOOKUP(P$1,Metadata!$A$2:$A1000,Metadata!$B$2:$B1000))),P$1,"""")"),"")</f>
        <v/>
      </c>
      <c r="Q288" s="34" t="str">
        <f>IFERROR(__xludf.DUMMYFUNCTION("IF(IF(Q$1="""","""",REGEXMATCH(LOWER($E288),XLOOKUP(Q$1,Metadata!$A$2:$A1000,Metadata!$B$2:$B1000))),Q$1,"""")"),"")</f>
        <v/>
      </c>
      <c r="R288" s="34" t="str">
        <f>IFERROR(__xludf.DUMMYFUNCTION("IF(IF(R$1="""","""",REGEXMATCH(LOWER($E288),XLOOKUP(R$1,Metadata!$A$2:$A1000,Metadata!$B$2:$B1000))),R$1,"""")"),"")</f>
        <v/>
      </c>
      <c r="S288" s="34" t="str">
        <f>IFERROR(__xludf.DUMMYFUNCTION("IF(IF(S$1="""","""",REGEXMATCH(LOWER($E288),XLOOKUP(S$1,Metadata!$A$2:$A1000,Metadata!$B$2:$B1000))),S$1,"""")"),"")</f>
        <v/>
      </c>
      <c r="T288" s="34" t="str">
        <f>IFERROR(__xludf.DUMMYFUNCTION("IF(IF(T$1="""","""",REGEXMATCH(LOWER($E288),XLOOKUP(T$1,Metadata!$A$2:$A1000,Metadata!$B$2:$B1000))),T$1,"""")"),"")</f>
        <v/>
      </c>
      <c r="U288" s="34" t="str">
        <f>IFERROR(__xludf.DUMMYFUNCTION("IF(IF(U$1="""","""",REGEXMATCH(LOWER($E288),XLOOKUP(U$1,Metadata!$A$2:$A1000,Metadata!$B$2:$B1000))),U$1,"""")"),"")</f>
        <v/>
      </c>
      <c r="V288" s="34" t="str">
        <f>IFERROR(__xludf.DUMMYFUNCTION("IF(IF(V$1="""","""",REGEXMATCH(LOWER($E288),XLOOKUP(V$1,Metadata!$A$2:$A1000,Metadata!$B$2:$B1000))),V$1,"""")"),"")</f>
        <v/>
      </c>
      <c r="W288" s="34" t="str">
        <f>IFERROR(__xludf.DUMMYFUNCTION("IF(IF(W$1="""","""",REGEXMATCH(LOWER($E288),XLOOKUP(W$1,Metadata!$A$2:$A1000,Metadata!$B$2:$B1000))),W$1,"""")"),"")</f>
        <v/>
      </c>
      <c r="X288" s="34" t="str">
        <f>IFERROR(__xludf.DUMMYFUNCTION("IF(IF(X$1="""","""",REGEXMATCH(LOWER($E288),XLOOKUP(X$1,Metadata!$A$2:$A1000,Metadata!$B$2:$B1000))),X$1,"""")"),"")</f>
        <v/>
      </c>
      <c r="Y288" s="34" t="str">
        <f>IFERROR(__xludf.DUMMYFUNCTION("IF(IF(Y$1="""","""",REGEXMATCH(LOWER($E288),XLOOKUP(Y$1,Metadata!$A$2:$A1000,Metadata!$B$2:$B1000))),Y$1,"""")"),"")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I289">XLOOKUP($A289,Cards!$A$2:$A1000,Cards!$B$2:$I1000,"")</f>
        <v>Void</v>
      </c>
      <c r="C289" s="34">
        <v>2.0</v>
      </c>
      <c r="D289" s="34" t="s">
        <v>124</v>
      </c>
      <c r="E289" s="34" t="s">
        <v>1797</v>
      </c>
      <c r="F289" s="34" t="s">
        <v>1798</v>
      </c>
      <c r="G289" s="34">
        <v>3.0</v>
      </c>
      <c r="H289" s="34" t="s">
        <v>1791</v>
      </c>
      <c r="I289" s="34" t="s">
        <v>26</v>
      </c>
      <c r="J289" s="34">
        <f>IFERROR(__xludf.DUMMYFUNCTION("LEN(REGEXREPLACE(XLOOKUP($A289,Cards!$A$2:$A1000,Cards!$H$2:$H1000,""""),"",\s"",""""))"),3.0)</f>
        <v>3</v>
      </c>
      <c r="K289" s="34" t="str">
        <f t="shared" si="1"/>
        <v>               </v>
      </c>
      <c r="L289" s="34" t="str">
        <f>IFERROR(__xludf.DUMMYFUNCTION("IF(IF(L$1="""","""",REGEXMATCH(LOWER($E289),XLOOKUP(L$1,Metadata!$A$2:$A1000,Metadata!$B$2:$B1000))),L$1,"""")"),"")</f>
        <v/>
      </c>
      <c r="M289" s="34" t="str">
        <f>IFERROR(__xludf.DUMMYFUNCTION("IF(IF(M$1="""","""",REGEXMATCH(LOWER($E289),XLOOKUP(M$1,Metadata!$A$2:$A1000,Metadata!$B$2:$B1000))),M$1,"""")"),"")</f>
        <v/>
      </c>
      <c r="N289" s="34" t="str">
        <f>IFERROR(__xludf.DUMMYFUNCTION("IF(IF(N$1="""","""",REGEXMATCH(LOWER($E289),XLOOKUP(N$1,Metadata!$A$2:$A1000,Metadata!$B$2:$B1000))),N$1,"""")"),"")</f>
        <v/>
      </c>
      <c r="O289" s="34" t="str">
        <f>IFERROR(__xludf.DUMMYFUNCTION("IF(IF(O$1="""","""",REGEXMATCH(LOWER($E289),XLOOKUP(O$1,Metadata!$A$2:$A1000,Metadata!$B$2:$B1000))),O$1,"""")"),"")</f>
        <v/>
      </c>
      <c r="P289" s="34" t="str">
        <f>IFERROR(__xludf.DUMMYFUNCTION("IF(IF(P$1="""","""",REGEXMATCH(LOWER($E289),XLOOKUP(P$1,Metadata!$A$2:$A1000,Metadata!$B$2:$B1000))),P$1,"""")"),"")</f>
        <v/>
      </c>
      <c r="Q289" s="34" t="str">
        <f>IFERROR(__xludf.DUMMYFUNCTION("IF(IF(Q$1="""","""",REGEXMATCH(LOWER($E289),XLOOKUP(Q$1,Metadata!$A$2:$A1000,Metadata!$B$2:$B1000))),Q$1,"""")"),"")</f>
        <v/>
      </c>
      <c r="R289" s="34" t="str">
        <f>IFERROR(__xludf.DUMMYFUNCTION("IF(IF(R$1="""","""",REGEXMATCH(LOWER($E289),XLOOKUP(R$1,Metadata!$A$2:$A1000,Metadata!$B$2:$B1000))),R$1,"""")"),"")</f>
        <v/>
      </c>
      <c r="S289" s="34" t="str">
        <f>IFERROR(__xludf.DUMMYFUNCTION("IF(IF(S$1="""","""",REGEXMATCH(LOWER($E289),XLOOKUP(S$1,Metadata!$A$2:$A1000,Metadata!$B$2:$B1000))),S$1,"""")"),"")</f>
        <v/>
      </c>
      <c r="T289" s="34" t="str">
        <f>IFERROR(__xludf.DUMMYFUNCTION("IF(IF(T$1="""","""",REGEXMATCH(LOWER($E289),XLOOKUP(T$1,Metadata!$A$2:$A1000,Metadata!$B$2:$B1000))),T$1,"""")"),"")</f>
        <v/>
      </c>
      <c r="U289" s="34" t="str">
        <f>IFERROR(__xludf.DUMMYFUNCTION("IF(IF(U$1="""","""",REGEXMATCH(LOWER($E289),XLOOKUP(U$1,Metadata!$A$2:$A1000,Metadata!$B$2:$B1000))),U$1,"""")"),"")</f>
        <v/>
      </c>
      <c r="V289" s="34" t="str">
        <f>IFERROR(__xludf.DUMMYFUNCTION("IF(IF(V$1="""","""",REGEXMATCH(LOWER($E289),XLOOKUP(V$1,Metadata!$A$2:$A1000,Metadata!$B$2:$B1000))),V$1,"""")"),"")</f>
        <v/>
      </c>
      <c r="W289" s="34" t="str">
        <f>IFERROR(__xludf.DUMMYFUNCTION("IF(IF(W$1="""","""",REGEXMATCH(LOWER($E289),XLOOKUP(W$1,Metadata!$A$2:$A1000,Metadata!$B$2:$B1000))),W$1,"""")"),"")</f>
        <v/>
      </c>
      <c r="X289" s="34" t="str">
        <f>IFERROR(__xludf.DUMMYFUNCTION("IF(IF(X$1="""","""",REGEXMATCH(LOWER($E289),XLOOKUP(X$1,Metadata!$A$2:$A1000,Metadata!$B$2:$B1000))),X$1,"""")"),"")</f>
        <v/>
      </c>
      <c r="Y289" s="34" t="str">
        <f>IFERROR(__xludf.DUMMYFUNCTION("IF(IF(Y$1="""","""",REGEXMATCH(LOWER($E289),XLOOKUP(Y$1,Metadata!$A$2:$A1000,Metadata!$B$2:$B1000))),Y$1,"""")"),"")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I290">XLOOKUP($A290,Cards!$A$2:$A1000,Cards!$B$2:$I1000,"")</f>
        <v>Void</v>
      </c>
      <c r="C290" s="34">
        <v>2.0</v>
      </c>
      <c r="D290" s="34" t="s">
        <v>979</v>
      </c>
      <c r="E290" s="34" t="s">
        <v>1800</v>
      </c>
      <c r="F290" s="34" t="s">
        <v>1801</v>
      </c>
      <c r="G290" s="34">
        <v>0.0</v>
      </c>
      <c r="H290" s="34" t="s">
        <v>1795</v>
      </c>
      <c r="I290" s="34" t="s">
        <v>70</v>
      </c>
      <c r="J290" s="34">
        <f>IFERROR(__xludf.DUMMYFUNCTION("LEN(REGEXREPLACE(XLOOKUP($A290,Cards!$A$2:$A1000,Cards!$H$2:$H1000,""""),"",\s"",""""))"),2.0)</f>
        <v>2</v>
      </c>
      <c r="K290" s="34" t="str">
        <f t="shared" si="1"/>
        <v>               </v>
      </c>
      <c r="L290" s="34" t="str">
        <f>IFERROR(__xludf.DUMMYFUNCTION("IF(IF(L$1="""","""",REGEXMATCH(LOWER($E290),XLOOKUP(L$1,Metadata!$A$2:$A1000,Metadata!$B$2:$B1000))),L$1,"""")"),"")</f>
        <v/>
      </c>
      <c r="M290" s="34" t="str">
        <f>IFERROR(__xludf.DUMMYFUNCTION("IF(IF(M$1="""","""",REGEXMATCH(LOWER($E290),XLOOKUP(M$1,Metadata!$A$2:$A1000,Metadata!$B$2:$B1000))),M$1,"""")"),"")</f>
        <v/>
      </c>
      <c r="N290" s="34" t="str">
        <f>IFERROR(__xludf.DUMMYFUNCTION("IF(IF(N$1="""","""",REGEXMATCH(LOWER($E290),XLOOKUP(N$1,Metadata!$A$2:$A1000,Metadata!$B$2:$B1000))),N$1,"""")"),"")</f>
        <v/>
      </c>
      <c r="O290" s="34" t="str">
        <f>IFERROR(__xludf.DUMMYFUNCTION("IF(IF(O$1="""","""",REGEXMATCH(LOWER($E290),XLOOKUP(O$1,Metadata!$A$2:$A1000,Metadata!$B$2:$B1000))),O$1,"""")"),"")</f>
        <v/>
      </c>
      <c r="P290" s="34" t="str">
        <f>IFERROR(__xludf.DUMMYFUNCTION("IF(IF(P$1="""","""",REGEXMATCH(LOWER($E290),XLOOKUP(P$1,Metadata!$A$2:$A1000,Metadata!$B$2:$B1000))),P$1,"""")"),"")</f>
        <v/>
      </c>
      <c r="Q290" s="34" t="str">
        <f>IFERROR(__xludf.DUMMYFUNCTION("IF(IF(Q$1="""","""",REGEXMATCH(LOWER($E290),XLOOKUP(Q$1,Metadata!$A$2:$A1000,Metadata!$B$2:$B1000))),Q$1,"""")"),"")</f>
        <v/>
      </c>
      <c r="R290" s="34" t="str">
        <f>IFERROR(__xludf.DUMMYFUNCTION("IF(IF(R$1="""","""",REGEXMATCH(LOWER($E290),XLOOKUP(R$1,Metadata!$A$2:$A1000,Metadata!$B$2:$B1000))),R$1,"""")"),"")</f>
        <v/>
      </c>
      <c r="S290" s="34" t="str">
        <f>IFERROR(__xludf.DUMMYFUNCTION("IF(IF(S$1="""","""",REGEXMATCH(LOWER($E290),XLOOKUP(S$1,Metadata!$A$2:$A1000,Metadata!$B$2:$B1000))),S$1,"""")"),"")</f>
        <v/>
      </c>
      <c r="T290" s="34" t="str">
        <f>IFERROR(__xludf.DUMMYFUNCTION("IF(IF(T$1="""","""",REGEXMATCH(LOWER($E290),XLOOKUP(T$1,Metadata!$A$2:$A1000,Metadata!$B$2:$B1000))),T$1,"""")"),"")</f>
        <v/>
      </c>
      <c r="U290" s="34" t="str">
        <f>IFERROR(__xludf.DUMMYFUNCTION("IF(IF(U$1="""","""",REGEXMATCH(LOWER($E290),XLOOKUP(U$1,Metadata!$A$2:$A1000,Metadata!$B$2:$B1000))),U$1,"""")"),"")</f>
        <v/>
      </c>
      <c r="V290" s="34" t="str">
        <f>IFERROR(__xludf.DUMMYFUNCTION("IF(IF(V$1="""","""",REGEXMATCH(LOWER($E290),XLOOKUP(V$1,Metadata!$A$2:$A1000,Metadata!$B$2:$B1000))),V$1,"""")"),"")</f>
        <v/>
      </c>
      <c r="W290" s="34" t="str">
        <f>IFERROR(__xludf.DUMMYFUNCTION("IF(IF(W$1="""","""",REGEXMATCH(LOWER($E290),XLOOKUP(W$1,Metadata!$A$2:$A1000,Metadata!$B$2:$B1000))),W$1,"""")"),"")</f>
        <v/>
      </c>
      <c r="X290" s="34" t="str">
        <f>IFERROR(__xludf.DUMMYFUNCTION("IF(IF(X$1="""","""",REGEXMATCH(LOWER($E290),XLOOKUP(X$1,Metadata!$A$2:$A1000,Metadata!$B$2:$B1000))),X$1,"""")"),"")</f>
        <v/>
      </c>
      <c r="Y290" s="34" t="str">
        <f>IFERROR(__xludf.DUMMYFUNCTION("IF(IF(Y$1="""","""",REGEXMATCH(LOWER($E290),XLOOKUP(Y$1,Metadata!$A$2:$A1000,Metadata!$B$2:$B1000))),Y$1,"""")"),"")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I291">XLOOKUP($A291,Cards!$A$2:$A1000,Cards!$B$2:$I1000,"")</f>
        <v>Void</v>
      </c>
      <c r="C291" s="34">
        <v>2.0</v>
      </c>
      <c r="D291" s="34" t="s">
        <v>124</v>
      </c>
      <c r="E291" s="34" t="s">
        <v>1803</v>
      </c>
      <c r="F291" s="34" t="s">
        <v>663</v>
      </c>
      <c r="G291" s="34">
        <v>4.0</v>
      </c>
      <c r="H291" s="34" t="s">
        <v>1804</v>
      </c>
      <c r="I291" s="34" t="s">
        <v>26</v>
      </c>
      <c r="J291" s="34">
        <f>IFERROR(__xludf.DUMMYFUNCTION("LEN(REGEXREPLACE(XLOOKUP($A291,Cards!$A$2:$A1000,Cards!$H$2:$H1000,""""),"",\s"",""""))"),5.0)</f>
        <v>5</v>
      </c>
      <c r="K291" s="34" t="str">
        <f t="shared" si="1"/>
        <v>      Ramp         </v>
      </c>
      <c r="L291" s="34" t="str">
        <f>IFERROR(__xludf.DUMMYFUNCTION("IF(IF(L$1="""","""",REGEXMATCH(LOWER($E291),XLOOKUP(L$1,Metadata!$A$2:$A1000,Metadata!$B$2:$B1000))),L$1,"""")"),"")</f>
        <v/>
      </c>
      <c r="M291" s="34" t="str">
        <f>IFERROR(__xludf.DUMMYFUNCTION("IF(IF(M$1="""","""",REGEXMATCH(LOWER($E291),XLOOKUP(M$1,Metadata!$A$2:$A1000,Metadata!$B$2:$B1000))),M$1,"""")"),"")</f>
        <v/>
      </c>
      <c r="N291" s="34" t="str">
        <f>IFERROR(__xludf.DUMMYFUNCTION("IF(IF(N$1="""","""",REGEXMATCH(LOWER($E291),XLOOKUP(N$1,Metadata!$A$2:$A1000,Metadata!$B$2:$B1000))),N$1,"""")"),"")</f>
        <v/>
      </c>
      <c r="O291" s="34" t="str">
        <f>IFERROR(__xludf.DUMMYFUNCTION("IF(IF(O$1="""","""",REGEXMATCH(LOWER($E291),XLOOKUP(O$1,Metadata!$A$2:$A1000,Metadata!$B$2:$B1000))),O$1,"""")"),"")</f>
        <v/>
      </c>
      <c r="P291" s="34" t="str">
        <f>IFERROR(__xludf.DUMMYFUNCTION("IF(IF(P$1="""","""",REGEXMATCH(LOWER($E291),XLOOKUP(P$1,Metadata!$A$2:$A1000,Metadata!$B$2:$B1000))),P$1,"""")"),"")</f>
        <v/>
      </c>
      <c r="Q291" s="34" t="str">
        <f>IFERROR(__xludf.DUMMYFUNCTION("IF(IF(Q$1="""","""",REGEXMATCH(LOWER($E291),XLOOKUP(Q$1,Metadata!$A$2:$A1000,Metadata!$B$2:$B1000))),Q$1,"""")"),"")</f>
        <v/>
      </c>
      <c r="R291" s="34" t="str">
        <f>IFERROR(__xludf.DUMMYFUNCTION("IF(IF(R$1="""","""",REGEXMATCH(LOWER($E291),XLOOKUP(R$1,Metadata!$A$2:$A1000,Metadata!$B$2:$B1000))),R$1,"""")"),"Ramp")</f>
        <v>Ramp</v>
      </c>
      <c r="S291" s="34" t="str">
        <f>IFERROR(__xludf.DUMMYFUNCTION("IF(IF(S$1="""","""",REGEXMATCH(LOWER($E291),XLOOKUP(S$1,Metadata!$A$2:$A1000,Metadata!$B$2:$B1000))),S$1,"""")"),"")</f>
        <v/>
      </c>
      <c r="T291" s="34" t="str">
        <f>IFERROR(__xludf.DUMMYFUNCTION("IF(IF(T$1="""","""",REGEXMATCH(LOWER($E291),XLOOKUP(T$1,Metadata!$A$2:$A1000,Metadata!$B$2:$B1000))),T$1,"""")"),"")</f>
        <v/>
      </c>
      <c r="U291" s="34" t="str">
        <f>IFERROR(__xludf.DUMMYFUNCTION("IF(IF(U$1="""","""",REGEXMATCH(LOWER($E291),XLOOKUP(U$1,Metadata!$A$2:$A1000,Metadata!$B$2:$B1000))),U$1,"""")"),"")</f>
        <v/>
      </c>
      <c r="V291" s="34" t="str">
        <f>IFERROR(__xludf.DUMMYFUNCTION("IF(IF(V$1="""","""",REGEXMATCH(LOWER($E291),XLOOKUP(V$1,Metadata!$A$2:$A1000,Metadata!$B$2:$B1000))),V$1,"""")"),"")</f>
        <v/>
      </c>
      <c r="W291" s="34" t="str">
        <f>IFERROR(__xludf.DUMMYFUNCTION("IF(IF(W$1="""","""",REGEXMATCH(LOWER($E291),XLOOKUP(W$1,Metadata!$A$2:$A1000,Metadata!$B$2:$B1000))),W$1,"""")"),"")</f>
        <v/>
      </c>
      <c r="X291" s="34" t="str">
        <f>IFERROR(__xludf.DUMMYFUNCTION("IF(IF(X$1="""","""",REGEXMATCH(LOWER($E291),XLOOKUP(X$1,Metadata!$A$2:$A1000,Metadata!$B$2:$B1000))),X$1,"""")"),"")</f>
        <v/>
      </c>
      <c r="Y291" s="34" t="str">
        <f>IFERROR(__xludf.DUMMYFUNCTION("IF(IF(Y$1="""","""",REGEXMATCH(LOWER($E291),XLOOKUP(Y$1,Metadata!$A$2:$A1000,Metadata!$B$2:$B1000))),Y$1,"""")"),"")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I292">XLOOKUP($A292,Cards!$A$2:$A1000,Cards!$B$2:$I1000,"")</f>
        <v>Void</v>
      </c>
      <c r="C292" s="34">
        <v>2.0</v>
      </c>
      <c r="D292" s="34" t="s">
        <v>1788</v>
      </c>
      <c r="E292" s="34" t="s">
        <v>1806</v>
      </c>
      <c r="F292" s="34" t="s">
        <v>663</v>
      </c>
      <c r="G292" s="34">
        <v>1.0</v>
      </c>
      <c r="H292" s="34" t="s">
        <v>1807</v>
      </c>
      <c r="I292" s="34" t="s">
        <v>32</v>
      </c>
      <c r="J292" s="34">
        <f>IFERROR(__xludf.DUMMYFUNCTION("LEN(REGEXREPLACE(XLOOKUP($A292,Cards!$A$2:$A1000,Cards!$H$2:$H1000,""""),"",\s"",""""))"),6.0)</f>
        <v>6</v>
      </c>
      <c r="K292" s="34" t="str">
        <f t="shared" si="1"/>
        <v>               </v>
      </c>
      <c r="L292" s="34" t="str">
        <f>IFERROR(__xludf.DUMMYFUNCTION("IF(IF(L$1="""","""",REGEXMATCH(LOWER($E292),XLOOKUP(L$1,Metadata!$A$2:$A1000,Metadata!$B$2:$B1000))),L$1,"""")"),"")</f>
        <v/>
      </c>
      <c r="M292" s="34" t="str">
        <f>IFERROR(__xludf.DUMMYFUNCTION("IF(IF(M$1="""","""",REGEXMATCH(LOWER($E292),XLOOKUP(M$1,Metadata!$A$2:$A1000,Metadata!$B$2:$B1000))),M$1,"""")"),"")</f>
        <v/>
      </c>
      <c r="N292" s="34" t="str">
        <f>IFERROR(__xludf.DUMMYFUNCTION("IF(IF(N$1="""","""",REGEXMATCH(LOWER($E292),XLOOKUP(N$1,Metadata!$A$2:$A1000,Metadata!$B$2:$B1000))),N$1,"""")"),"")</f>
        <v/>
      </c>
      <c r="O292" s="34" t="str">
        <f>IFERROR(__xludf.DUMMYFUNCTION("IF(IF(O$1="""","""",REGEXMATCH(LOWER($E292),XLOOKUP(O$1,Metadata!$A$2:$A1000,Metadata!$B$2:$B1000))),O$1,"""")"),"")</f>
        <v/>
      </c>
      <c r="P292" s="34" t="str">
        <f>IFERROR(__xludf.DUMMYFUNCTION("IF(IF(P$1="""","""",REGEXMATCH(LOWER($E292),XLOOKUP(P$1,Metadata!$A$2:$A1000,Metadata!$B$2:$B1000))),P$1,"""")"),"")</f>
        <v/>
      </c>
      <c r="Q292" s="34" t="str">
        <f>IFERROR(__xludf.DUMMYFUNCTION("IF(IF(Q$1="""","""",REGEXMATCH(LOWER($E292),XLOOKUP(Q$1,Metadata!$A$2:$A1000,Metadata!$B$2:$B1000))),Q$1,"""")"),"")</f>
        <v/>
      </c>
      <c r="R292" s="34" t="str">
        <f>IFERROR(__xludf.DUMMYFUNCTION("IF(IF(R$1="""","""",REGEXMATCH(LOWER($E292),XLOOKUP(R$1,Metadata!$A$2:$A1000,Metadata!$B$2:$B1000))),R$1,"""")"),"")</f>
        <v/>
      </c>
      <c r="S292" s="34" t="str">
        <f>IFERROR(__xludf.DUMMYFUNCTION("IF(IF(S$1="""","""",REGEXMATCH(LOWER($E292),XLOOKUP(S$1,Metadata!$A$2:$A1000,Metadata!$B$2:$B1000))),S$1,"""")"),"")</f>
        <v/>
      </c>
      <c r="T292" s="34" t="str">
        <f>IFERROR(__xludf.DUMMYFUNCTION("IF(IF(T$1="""","""",REGEXMATCH(LOWER($E292),XLOOKUP(T$1,Metadata!$A$2:$A1000,Metadata!$B$2:$B1000))),T$1,"""")"),"")</f>
        <v/>
      </c>
      <c r="U292" s="34" t="str">
        <f>IFERROR(__xludf.DUMMYFUNCTION("IF(IF(U$1="""","""",REGEXMATCH(LOWER($E292),XLOOKUP(U$1,Metadata!$A$2:$A1000,Metadata!$B$2:$B1000))),U$1,"""")"),"")</f>
        <v/>
      </c>
      <c r="V292" s="34" t="str">
        <f>IFERROR(__xludf.DUMMYFUNCTION("IF(IF(V$1="""","""",REGEXMATCH(LOWER($E292),XLOOKUP(V$1,Metadata!$A$2:$A1000,Metadata!$B$2:$B1000))),V$1,"""")"),"")</f>
        <v/>
      </c>
      <c r="W292" s="34" t="str">
        <f>IFERROR(__xludf.DUMMYFUNCTION("IF(IF(W$1="""","""",REGEXMATCH(LOWER($E292),XLOOKUP(W$1,Metadata!$A$2:$A1000,Metadata!$B$2:$B1000))),W$1,"""")"),"")</f>
        <v/>
      </c>
      <c r="X292" s="34" t="str">
        <f>IFERROR(__xludf.DUMMYFUNCTION("IF(IF(X$1="""","""",REGEXMATCH(LOWER($E292),XLOOKUP(X$1,Metadata!$A$2:$A1000,Metadata!$B$2:$B1000))),X$1,"""")"),"")</f>
        <v/>
      </c>
      <c r="Y292" s="34" t="str">
        <f>IFERROR(__xludf.DUMMYFUNCTION("IF(IF(Y$1="""","""",REGEXMATCH(LOWER($E292),XLOOKUP(Y$1,Metadata!$A$2:$A1000,Metadata!$B$2:$B1000))),Y$1,"""")"),"")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I293">XLOOKUP($A293,Cards!$A$2:$A1000,Cards!$B$2:$I1000,"")</f>
        <v>Void</v>
      </c>
      <c r="C293" s="34">
        <v>2.0</v>
      </c>
      <c r="D293" s="34" t="s">
        <v>201</v>
      </c>
      <c r="E293" s="34" t="s">
        <v>1809</v>
      </c>
      <c r="F293" s="34" t="s">
        <v>1798</v>
      </c>
      <c r="G293" s="34">
        <v>5.0</v>
      </c>
      <c r="H293" s="34" t="s">
        <v>1781</v>
      </c>
      <c r="I293" s="34" t="s">
        <v>70</v>
      </c>
      <c r="J293" s="34">
        <f>IFERROR(__xludf.DUMMYFUNCTION("LEN(REGEXREPLACE(XLOOKUP($A293,Cards!$A$2:$A1000,Cards!$H$2:$H1000,""""),"",\s"",""""))"),5.0)</f>
        <v>5</v>
      </c>
      <c r="K293" s="34" t="str">
        <f t="shared" si="1"/>
        <v>               </v>
      </c>
      <c r="L293" s="34" t="str">
        <f>IFERROR(__xludf.DUMMYFUNCTION("IF(IF(L$1="""","""",REGEXMATCH(LOWER($E293),XLOOKUP(L$1,Metadata!$A$2:$A1000,Metadata!$B$2:$B1000))),L$1,"""")"),"")</f>
        <v/>
      </c>
      <c r="M293" s="34" t="str">
        <f>IFERROR(__xludf.DUMMYFUNCTION("IF(IF(M$1="""","""",REGEXMATCH(LOWER($E293),XLOOKUP(M$1,Metadata!$A$2:$A1000,Metadata!$B$2:$B1000))),M$1,"""")"),"")</f>
        <v/>
      </c>
      <c r="N293" s="34" t="str">
        <f>IFERROR(__xludf.DUMMYFUNCTION("IF(IF(N$1="""","""",REGEXMATCH(LOWER($E293),XLOOKUP(N$1,Metadata!$A$2:$A1000,Metadata!$B$2:$B1000))),N$1,"""")"),"")</f>
        <v/>
      </c>
      <c r="O293" s="34" t="str">
        <f>IFERROR(__xludf.DUMMYFUNCTION("IF(IF(O$1="""","""",REGEXMATCH(LOWER($E293),XLOOKUP(O$1,Metadata!$A$2:$A1000,Metadata!$B$2:$B1000))),O$1,"""")"),"")</f>
        <v/>
      </c>
      <c r="P293" s="34" t="str">
        <f>IFERROR(__xludf.DUMMYFUNCTION("IF(IF(P$1="""","""",REGEXMATCH(LOWER($E293),XLOOKUP(P$1,Metadata!$A$2:$A1000,Metadata!$B$2:$B1000))),P$1,"""")"),"")</f>
        <v/>
      </c>
      <c r="Q293" s="34" t="str">
        <f>IFERROR(__xludf.DUMMYFUNCTION("IF(IF(Q$1="""","""",REGEXMATCH(LOWER($E293),XLOOKUP(Q$1,Metadata!$A$2:$A1000,Metadata!$B$2:$B1000))),Q$1,"""")"),"")</f>
        <v/>
      </c>
      <c r="R293" s="34" t="str">
        <f>IFERROR(__xludf.DUMMYFUNCTION("IF(IF(R$1="""","""",REGEXMATCH(LOWER($E293),XLOOKUP(R$1,Metadata!$A$2:$A1000,Metadata!$B$2:$B1000))),R$1,"""")"),"")</f>
        <v/>
      </c>
      <c r="S293" s="34" t="str">
        <f>IFERROR(__xludf.DUMMYFUNCTION("IF(IF(S$1="""","""",REGEXMATCH(LOWER($E293),XLOOKUP(S$1,Metadata!$A$2:$A1000,Metadata!$B$2:$B1000))),S$1,"""")"),"")</f>
        <v/>
      </c>
      <c r="T293" s="34" t="str">
        <f>IFERROR(__xludf.DUMMYFUNCTION("IF(IF(T$1="""","""",REGEXMATCH(LOWER($E293),XLOOKUP(T$1,Metadata!$A$2:$A1000,Metadata!$B$2:$B1000))),T$1,"""")"),"")</f>
        <v/>
      </c>
      <c r="U293" s="34" t="str">
        <f>IFERROR(__xludf.DUMMYFUNCTION("IF(IF(U$1="""","""",REGEXMATCH(LOWER($E293),XLOOKUP(U$1,Metadata!$A$2:$A1000,Metadata!$B$2:$B1000))),U$1,"""")"),"")</f>
        <v/>
      </c>
      <c r="V293" s="34" t="str">
        <f>IFERROR(__xludf.DUMMYFUNCTION("IF(IF(V$1="""","""",REGEXMATCH(LOWER($E293),XLOOKUP(V$1,Metadata!$A$2:$A1000,Metadata!$B$2:$B1000))),V$1,"""")"),"")</f>
        <v/>
      </c>
      <c r="W293" s="34" t="str">
        <f>IFERROR(__xludf.DUMMYFUNCTION("IF(IF(W$1="""","""",REGEXMATCH(LOWER($E293),XLOOKUP(W$1,Metadata!$A$2:$A1000,Metadata!$B$2:$B1000))),W$1,"""")"),"")</f>
        <v/>
      </c>
      <c r="X293" s="34" t="str">
        <f>IFERROR(__xludf.DUMMYFUNCTION("IF(IF(X$1="""","""",REGEXMATCH(LOWER($E293),XLOOKUP(X$1,Metadata!$A$2:$A1000,Metadata!$B$2:$B1000))),X$1,"""")"),"")</f>
        <v/>
      </c>
      <c r="Y293" s="34" t="str">
        <f>IFERROR(__xludf.DUMMYFUNCTION("IF(IF(Y$1="""","""",REGEXMATCH(LOWER($E293),XLOOKUP(Y$1,Metadata!$A$2:$A1000,Metadata!$B$2:$B1000))),Y$1,"""")"),"")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I294">XLOOKUP($A294,Cards!$A$2:$A1000,Cards!$B$2:$I1000,"")</f>
        <v>Nature</v>
      </c>
      <c r="C294" s="34">
        <v>1.0</v>
      </c>
      <c r="D294" s="34" t="s">
        <v>1397</v>
      </c>
      <c r="E294" s="34" t="s">
        <v>1811</v>
      </c>
      <c r="F294" s="34" t="s">
        <v>1812</v>
      </c>
      <c r="G294" s="34">
        <v>2.0</v>
      </c>
      <c r="H294" s="34" t="s">
        <v>1503</v>
      </c>
      <c r="I294" s="34" t="s">
        <v>26</v>
      </c>
      <c r="J294" s="34">
        <f>IFERROR(__xludf.DUMMYFUNCTION("LEN(REGEXREPLACE(XLOOKUP($A294,Cards!$A$2:$A1000,Cards!$H$2:$H1000,""""),"",\s"",""""))"),2.0)</f>
        <v>2</v>
      </c>
      <c r="K294" s="34" t="str">
        <f t="shared" si="1"/>
        <v>               </v>
      </c>
      <c r="L294" s="34" t="str">
        <f>IFERROR(__xludf.DUMMYFUNCTION("IF(IF(L$1="""","""",REGEXMATCH(LOWER($E294),XLOOKUP(L$1,Metadata!$A$2:$A1000,Metadata!$B$2:$B1000))),L$1,"""")"),"")</f>
        <v/>
      </c>
      <c r="M294" s="34" t="str">
        <f>IFERROR(__xludf.DUMMYFUNCTION("IF(IF(M$1="""","""",REGEXMATCH(LOWER($E294),XLOOKUP(M$1,Metadata!$A$2:$A1000,Metadata!$B$2:$B1000))),M$1,"""")"),"")</f>
        <v/>
      </c>
      <c r="N294" s="34" t="str">
        <f>IFERROR(__xludf.DUMMYFUNCTION("IF(IF(N$1="""","""",REGEXMATCH(LOWER($E294),XLOOKUP(N$1,Metadata!$A$2:$A1000,Metadata!$B$2:$B1000))),N$1,"""")"),"")</f>
        <v/>
      </c>
      <c r="O294" s="34" t="str">
        <f>IFERROR(__xludf.DUMMYFUNCTION("IF(IF(O$1="""","""",REGEXMATCH(LOWER($E294),XLOOKUP(O$1,Metadata!$A$2:$A1000,Metadata!$B$2:$B1000))),O$1,"""")"),"")</f>
        <v/>
      </c>
      <c r="P294" s="34" t="str">
        <f>IFERROR(__xludf.DUMMYFUNCTION("IF(IF(P$1="""","""",REGEXMATCH(LOWER($E294),XLOOKUP(P$1,Metadata!$A$2:$A1000,Metadata!$B$2:$B1000))),P$1,"""")"),"")</f>
        <v/>
      </c>
      <c r="Q294" s="34" t="str">
        <f>IFERROR(__xludf.DUMMYFUNCTION("IF(IF(Q$1="""","""",REGEXMATCH(LOWER($E294),XLOOKUP(Q$1,Metadata!$A$2:$A1000,Metadata!$B$2:$B1000))),Q$1,"""")"),"")</f>
        <v/>
      </c>
      <c r="R294" s="34" t="str">
        <f>IFERROR(__xludf.DUMMYFUNCTION("IF(IF(R$1="""","""",REGEXMATCH(LOWER($E294),XLOOKUP(R$1,Metadata!$A$2:$A1000,Metadata!$B$2:$B1000))),R$1,"""")"),"")</f>
        <v/>
      </c>
      <c r="S294" s="34" t="str">
        <f>IFERROR(__xludf.DUMMYFUNCTION("IF(IF(S$1="""","""",REGEXMATCH(LOWER($E294),XLOOKUP(S$1,Metadata!$A$2:$A1000,Metadata!$B$2:$B1000))),S$1,"""")"),"")</f>
        <v/>
      </c>
      <c r="T294" s="34" t="str">
        <f>IFERROR(__xludf.DUMMYFUNCTION("IF(IF(T$1="""","""",REGEXMATCH(LOWER($E294),XLOOKUP(T$1,Metadata!$A$2:$A1000,Metadata!$B$2:$B1000))),T$1,"""")"),"")</f>
        <v/>
      </c>
      <c r="U294" s="34" t="str">
        <f>IFERROR(__xludf.DUMMYFUNCTION("IF(IF(U$1="""","""",REGEXMATCH(LOWER($E294),XLOOKUP(U$1,Metadata!$A$2:$A1000,Metadata!$B$2:$B1000))),U$1,"""")"),"")</f>
        <v/>
      </c>
      <c r="V294" s="34" t="str">
        <f>IFERROR(__xludf.DUMMYFUNCTION("IF(IF(V$1="""","""",REGEXMATCH(LOWER($E294),XLOOKUP(V$1,Metadata!$A$2:$A1000,Metadata!$B$2:$B1000))),V$1,"""")"),"")</f>
        <v/>
      </c>
      <c r="W294" s="34" t="str">
        <f>IFERROR(__xludf.DUMMYFUNCTION("IF(IF(W$1="""","""",REGEXMATCH(LOWER($E294),XLOOKUP(W$1,Metadata!$A$2:$A1000,Metadata!$B$2:$B1000))),W$1,"""")"),"")</f>
        <v/>
      </c>
      <c r="X294" s="34" t="str">
        <f>IFERROR(__xludf.DUMMYFUNCTION("IF(IF(X$1="""","""",REGEXMATCH(LOWER($E294),XLOOKUP(X$1,Metadata!$A$2:$A1000,Metadata!$B$2:$B1000))),X$1,"""")"),"")</f>
        <v/>
      </c>
      <c r="Y294" s="34" t="str">
        <f>IFERROR(__xludf.DUMMYFUNCTION("IF(IF(Y$1="""","""",REGEXMATCH(LOWER($E294),XLOOKUP(Y$1,Metadata!$A$2:$A1000,Metadata!$B$2:$B1000))),Y$1,"""")"),"")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I295">XLOOKUP($A295,Cards!$A$2:$A1000,Cards!$B$2:$I1000,"")</f>
        <v>Void</v>
      </c>
      <c r="C295" s="34">
        <v>2.0</v>
      </c>
      <c r="D295" s="34" t="s">
        <v>1788</v>
      </c>
      <c r="E295" s="34" t="s">
        <v>1814</v>
      </c>
      <c r="F295" s="34" t="s">
        <v>663</v>
      </c>
      <c r="G295" s="34">
        <v>1.0</v>
      </c>
      <c r="H295" s="34" t="s">
        <v>1773</v>
      </c>
      <c r="I295" s="34" t="s">
        <v>26</v>
      </c>
      <c r="J295" s="34">
        <f>IFERROR(__xludf.DUMMYFUNCTION("LEN(REGEXREPLACE(XLOOKUP($A295,Cards!$A$2:$A1000,Cards!$H$2:$H1000,""""),"",\s"",""""))"),1.0)</f>
        <v>1</v>
      </c>
      <c r="K295" s="34" t="str">
        <f t="shared" si="1"/>
        <v>               </v>
      </c>
      <c r="L295" s="34" t="str">
        <f>IFERROR(__xludf.DUMMYFUNCTION("IF(IF(L$1="""","""",REGEXMATCH(LOWER($E295),XLOOKUP(L$1,Metadata!$A$2:$A1000,Metadata!$B$2:$B1000))),L$1,"""")"),"")</f>
        <v/>
      </c>
      <c r="M295" s="34" t="str">
        <f>IFERROR(__xludf.DUMMYFUNCTION("IF(IF(M$1="""","""",REGEXMATCH(LOWER($E295),XLOOKUP(M$1,Metadata!$A$2:$A1000,Metadata!$B$2:$B1000))),M$1,"""")"),"")</f>
        <v/>
      </c>
      <c r="N295" s="34" t="str">
        <f>IFERROR(__xludf.DUMMYFUNCTION("IF(IF(N$1="""","""",REGEXMATCH(LOWER($E295),XLOOKUP(N$1,Metadata!$A$2:$A1000,Metadata!$B$2:$B1000))),N$1,"""")"),"")</f>
        <v/>
      </c>
      <c r="O295" s="34" t="str">
        <f>IFERROR(__xludf.DUMMYFUNCTION("IF(IF(O$1="""","""",REGEXMATCH(LOWER($E295),XLOOKUP(O$1,Metadata!$A$2:$A1000,Metadata!$B$2:$B1000))),O$1,"""")"),"")</f>
        <v/>
      </c>
      <c r="P295" s="34" t="str">
        <f>IFERROR(__xludf.DUMMYFUNCTION("IF(IF(P$1="""","""",REGEXMATCH(LOWER($E295),XLOOKUP(P$1,Metadata!$A$2:$A1000,Metadata!$B$2:$B1000))),P$1,"""")"),"")</f>
        <v/>
      </c>
      <c r="Q295" s="34" t="str">
        <f>IFERROR(__xludf.DUMMYFUNCTION("IF(IF(Q$1="""","""",REGEXMATCH(LOWER($E295),XLOOKUP(Q$1,Metadata!$A$2:$A1000,Metadata!$B$2:$B1000))),Q$1,"""")"),"")</f>
        <v/>
      </c>
      <c r="R295" s="34" t="str">
        <f>IFERROR(__xludf.DUMMYFUNCTION("IF(IF(R$1="""","""",REGEXMATCH(LOWER($E295),XLOOKUP(R$1,Metadata!$A$2:$A1000,Metadata!$B$2:$B1000))),R$1,"""")"),"")</f>
        <v/>
      </c>
      <c r="S295" s="34" t="str">
        <f>IFERROR(__xludf.DUMMYFUNCTION("IF(IF(S$1="""","""",REGEXMATCH(LOWER($E295),XLOOKUP(S$1,Metadata!$A$2:$A1000,Metadata!$B$2:$B1000))),S$1,"""")"),"")</f>
        <v/>
      </c>
      <c r="T295" s="34" t="str">
        <f>IFERROR(__xludf.DUMMYFUNCTION("IF(IF(T$1="""","""",REGEXMATCH(LOWER($E295),XLOOKUP(T$1,Metadata!$A$2:$A1000,Metadata!$B$2:$B1000))),T$1,"""")"),"")</f>
        <v/>
      </c>
      <c r="U295" s="34" t="str">
        <f>IFERROR(__xludf.DUMMYFUNCTION("IF(IF(U$1="""","""",REGEXMATCH(LOWER($E295),XLOOKUP(U$1,Metadata!$A$2:$A1000,Metadata!$B$2:$B1000))),U$1,"""")"),"")</f>
        <v/>
      </c>
      <c r="V295" s="34" t="str">
        <f>IFERROR(__xludf.DUMMYFUNCTION("IF(IF(V$1="""","""",REGEXMATCH(LOWER($E295),XLOOKUP(V$1,Metadata!$A$2:$A1000,Metadata!$B$2:$B1000))),V$1,"""")"),"")</f>
        <v/>
      </c>
      <c r="W295" s="34" t="str">
        <f>IFERROR(__xludf.DUMMYFUNCTION("IF(IF(W$1="""","""",REGEXMATCH(LOWER($E295),XLOOKUP(W$1,Metadata!$A$2:$A1000,Metadata!$B$2:$B1000))),W$1,"""")"),"")</f>
        <v/>
      </c>
      <c r="X295" s="34" t="str">
        <f>IFERROR(__xludf.DUMMYFUNCTION("IF(IF(X$1="""","""",REGEXMATCH(LOWER($E295),XLOOKUP(X$1,Metadata!$A$2:$A1000,Metadata!$B$2:$B1000))),X$1,"""")"),"")</f>
        <v/>
      </c>
      <c r="Y295" s="34" t="str">
        <f>IFERROR(__xludf.DUMMYFUNCTION("IF(IF(Y$1="""","""",REGEXMATCH(LOWER($E295),XLOOKUP(Y$1,Metadata!$A$2:$A1000,Metadata!$B$2:$B1000))),Y$1,"""")"),"")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I296">XLOOKUP($A296,Cards!$A$2:$A1000,Cards!$B$2:$I1000,"")</f>
        <v>Nature</v>
      </c>
      <c r="C296" s="34">
        <v>1.0</v>
      </c>
      <c r="D296" s="34" t="s">
        <v>1816</v>
      </c>
      <c r="E296" s="34" t="s">
        <v>1817</v>
      </c>
      <c r="F296" s="34" t="s">
        <v>1818</v>
      </c>
      <c r="G296" s="34">
        <v>5.0</v>
      </c>
      <c r="H296" s="34" t="s">
        <v>1819</v>
      </c>
      <c r="I296" s="34" t="s">
        <v>70</v>
      </c>
      <c r="J296" s="34">
        <f>IFERROR(__xludf.DUMMYFUNCTION("LEN(REGEXREPLACE(XLOOKUP($A296,Cards!$A$2:$A1000,Cards!$H$2:$H1000,""""),"",\s"",""""))"),5.0)</f>
        <v>5</v>
      </c>
      <c r="K296" s="34" t="str">
        <f t="shared" si="1"/>
        <v>      Ramp         </v>
      </c>
      <c r="L296" s="34" t="str">
        <f>IFERROR(__xludf.DUMMYFUNCTION("IF(IF(L$1="""","""",REGEXMATCH(LOWER($E296),XLOOKUP(L$1,Metadata!$A$2:$A1000,Metadata!$B$2:$B1000))),L$1,"""")"),"")</f>
        <v/>
      </c>
      <c r="M296" s="34" t="str">
        <f>IFERROR(__xludf.DUMMYFUNCTION("IF(IF(M$1="""","""",REGEXMATCH(LOWER($E296),XLOOKUP(M$1,Metadata!$A$2:$A1000,Metadata!$B$2:$B1000))),M$1,"""")"),"")</f>
        <v/>
      </c>
      <c r="N296" s="34" t="str">
        <f>IFERROR(__xludf.DUMMYFUNCTION("IF(IF(N$1="""","""",REGEXMATCH(LOWER($E296),XLOOKUP(N$1,Metadata!$A$2:$A1000,Metadata!$B$2:$B1000))),N$1,"""")"),"")</f>
        <v/>
      </c>
      <c r="O296" s="34" t="str">
        <f>IFERROR(__xludf.DUMMYFUNCTION("IF(IF(O$1="""","""",REGEXMATCH(LOWER($E296),XLOOKUP(O$1,Metadata!$A$2:$A1000,Metadata!$B$2:$B1000))),O$1,"""")"),"")</f>
        <v/>
      </c>
      <c r="P296" s="34" t="str">
        <f>IFERROR(__xludf.DUMMYFUNCTION("IF(IF(P$1="""","""",REGEXMATCH(LOWER($E296),XLOOKUP(P$1,Metadata!$A$2:$A1000,Metadata!$B$2:$B1000))),P$1,"""")"),"")</f>
        <v/>
      </c>
      <c r="Q296" s="34" t="str">
        <f>IFERROR(__xludf.DUMMYFUNCTION("IF(IF(Q$1="""","""",REGEXMATCH(LOWER($E296),XLOOKUP(Q$1,Metadata!$A$2:$A1000,Metadata!$B$2:$B1000))),Q$1,"""")"),"")</f>
        <v/>
      </c>
      <c r="R296" s="34" t="str">
        <f>IFERROR(__xludf.DUMMYFUNCTION("IF(IF(R$1="""","""",REGEXMATCH(LOWER($E296),XLOOKUP(R$1,Metadata!$A$2:$A1000,Metadata!$B$2:$B1000))),R$1,"""")"),"Ramp")</f>
        <v>Ramp</v>
      </c>
      <c r="S296" s="34" t="str">
        <f>IFERROR(__xludf.DUMMYFUNCTION("IF(IF(S$1="""","""",REGEXMATCH(LOWER($E296),XLOOKUP(S$1,Metadata!$A$2:$A1000,Metadata!$B$2:$B1000))),S$1,"""")"),"")</f>
        <v/>
      </c>
      <c r="T296" s="34" t="str">
        <f>IFERROR(__xludf.DUMMYFUNCTION("IF(IF(T$1="""","""",REGEXMATCH(LOWER($E296),XLOOKUP(T$1,Metadata!$A$2:$A1000,Metadata!$B$2:$B1000))),T$1,"""")"),"")</f>
        <v/>
      </c>
      <c r="U296" s="34" t="str">
        <f>IFERROR(__xludf.DUMMYFUNCTION("IF(IF(U$1="""","""",REGEXMATCH(LOWER($E296),XLOOKUP(U$1,Metadata!$A$2:$A1000,Metadata!$B$2:$B1000))),U$1,"""")"),"")</f>
        <v/>
      </c>
      <c r="V296" s="34" t="str">
        <f>IFERROR(__xludf.DUMMYFUNCTION("IF(IF(V$1="""","""",REGEXMATCH(LOWER($E296),XLOOKUP(V$1,Metadata!$A$2:$A1000,Metadata!$B$2:$B1000))),V$1,"""")"),"")</f>
        <v/>
      </c>
      <c r="W296" s="34" t="str">
        <f>IFERROR(__xludf.DUMMYFUNCTION("IF(IF(W$1="""","""",REGEXMATCH(LOWER($E296),XLOOKUP(W$1,Metadata!$A$2:$A1000,Metadata!$B$2:$B1000))),W$1,"""")"),"")</f>
        <v/>
      </c>
      <c r="X296" s="34" t="str">
        <f>IFERROR(__xludf.DUMMYFUNCTION("IF(IF(X$1="""","""",REGEXMATCH(LOWER($E296),XLOOKUP(X$1,Metadata!$A$2:$A1000,Metadata!$B$2:$B1000))),X$1,"""")"),"")</f>
        <v/>
      </c>
      <c r="Y296" s="34" t="str">
        <f>IFERROR(__xludf.DUMMYFUNCTION("IF(IF(Y$1="""","""",REGEXMATCH(LOWER($E296),XLOOKUP(Y$1,Metadata!$A$2:$A1000,Metadata!$B$2:$B1000))),Y$1,"""")"),"")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I297">XLOOKUP($A297,Cards!$A$2:$A1000,Cards!$B$2:$I1000,"")</f>
        <v>Nature</v>
      </c>
      <c r="C297" s="34">
        <v>0.0</v>
      </c>
      <c r="D297" s="34" t="s">
        <v>661</v>
      </c>
      <c r="E297" s="34" t="s">
        <v>1821</v>
      </c>
      <c r="F297" s="34" t="s">
        <v>1822</v>
      </c>
      <c r="G297" s="34">
        <v>2.0</v>
      </c>
      <c r="H297" s="34" t="s">
        <v>1503</v>
      </c>
      <c r="I297" s="34" t="s">
        <v>26</v>
      </c>
      <c r="J297" s="34">
        <f>IFERROR(__xludf.DUMMYFUNCTION("LEN(REGEXREPLACE(XLOOKUP($A297,Cards!$A$2:$A1000,Cards!$H$2:$H1000,""""),"",\s"",""""))"),2.0)</f>
        <v>2</v>
      </c>
      <c r="K297" s="34" t="str">
        <f t="shared" si="1"/>
        <v>           Move    </v>
      </c>
      <c r="L297" s="34" t="str">
        <f>IFERROR(__xludf.DUMMYFUNCTION("IF(IF(L$1="""","""",REGEXMATCH(LOWER($E297),XLOOKUP(L$1,Metadata!$A$2:$A1000,Metadata!$B$2:$B1000))),L$1,"""")"),"")</f>
        <v/>
      </c>
      <c r="M297" s="34" t="str">
        <f>IFERROR(__xludf.DUMMYFUNCTION("IF(IF(M$1="""","""",REGEXMATCH(LOWER($E297),XLOOKUP(M$1,Metadata!$A$2:$A1000,Metadata!$B$2:$B1000))),M$1,"""")"),"")</f>
        <v/>
      </c>
      <c r="N297" s="34" t="str">
        <f>IFERROR(__xludf.DUMMYFUNCTION("IF(IF(N$1="""","""",REGEXMATCH(LOWER($E297),XLOOKUP(N$1,Metadata!$A$2:$A1000,Metadata!$B$2:$B1000))),N$1,"""")"),"")</f>
        <v/>
      </c>
      <c r="O297" s="34" t="str">
        <f>IFERROR(__xludf.DUMMYFUNCTION("IF(IF(O$1="""","""",REGEXMATCH(LOWER($E297),XLOOKUP(O$1,Metadata!$A$2:$A1000,Metadata!$B$2:$B1000))),O$1,"""")"),"")</f>
        <v/>
      </c>
      <c r="P297" s="34" t="str">
        <f>IFERROR(__xludf.DUMMYFUNCTION("IF(IF(P$1="""","""",REGEXMATCH(LOWER($E297),XLOOKUP(P$1,Metadata!$A$2:$A1000,Metadata!$B$2:$B1000))),P$1,"""")"),"")</f>
        <v/>
      </c>
      <c r="Q297" s="34" t="str">
        <f>IFERROR(__xludf.DUMMYFUNCTION("IF(IF(Q$1="""","""",REGEXMATCH(LOWER($E297),XLOOKUP(Q$1,Metadata!$A$2:$A1000,Metadata!$B$2:$B1000))),Q$1,"""")"),"")</f>
        <v/>
      </c>
      <c r="R297" s="34" t="str">
        <f>IFERROR(__xludf.DUMMYFUNCTION("IF(IF(R$1="""","""",REGEXMATCH(LOWER($E297),XLOOKUP(R$1,Metadata!$A$2:$A1000,Metadata!$B$2:$B1000))),R$1,"""")"),"")</f>
        <v/>
      </c>
      <c r="S297" s="34" t="str">
        <f>IFERROR(__xludf.DUMMYFUNCTION("IF(IF(S$1="""","""",REGEXMATCH(LOWER($E297),XLOOKUP(S$1,Metadata!$A$2:$A1000,Metadata!$B$2:$B1000))),S$1,"""")"),"")</f>
        <v/>
      </c>
      <c r="T297" s="34" t="str">
        <f>IFERROR(__xludf.DUMMYFUNCTION("IF(IF(T$1="""","""",REGEXMATCH(LOWER($E297),XLOOKUP(T$1,Metadata!$A$2:$A1000,Metadata!$B$2:$B1000))),T$1,"""")"),"")</f>
        <v/>
      </c>
      <c r="U297" s="34" t="str">
        <f>IFERROR(__xludf.DUMMYFUNCTION("IF(IF(U$1="""","""",REGEXMATCH(LOWER($E297),XLOOKUP(U$1,Metadata!$A$2:$A1000,Metadata!$B$2:$B1000))),U$1,"""")"),"")</f>
        <v/>
      </c>
      <c r="V297" s="34" t="str">
        <f>IFERROR(__xludf.DUMMYFUNCTION("IF(IF(V$1="""","""",REGEXMATCH(LOWER($E297),XLOOKUP(V$1,Metadata!$A$2:$A1000,Metadata!$B$2:$B1000))),V$1,"""")"),"")</f>
        <v/>
      </c>
      <c r="W297" s="34" t="str">
        <f>IFERROR(__xludf.DUMMYFUNCTION("IF(IF(W$1="""","""",REGEXMATCH(LOWER($E297),XLOOKUP(W$1,Metadata!$A$2:$A1000,Metadata!$B$2:$B1000))),W$1,"""")"),"Move")</f>
        <v>Move</v>
      </c>
      <c r="X297" s="34" t="str">
        <f>IFERROR(__xludf.DUMMYFUNCTION("IF(IF(X$1="""","""",REGEXMATCH(LOWER($E297),XLOOKUP(X$1,Metadata!$A$2:$A1000,Metadata!$B$2:$B1000))),X$1,"""")"),"")</f>
        <v/>
      </c>
      <c r="Y297" s="34" t="str">
        <f>IFERROR(__xludf.DUMMYFUNCTION("IF(IF(Y$1="""","""",REGEXMATCH(LOWER($E297),XLOOKUP(Y$1,Metadata!$A$2:$A1000,Metadata!$B$2:$B1000))),Y$1,"""")"),"")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I298">XLOOKUP($A298,Cards!$A$2:$A1000,Cards!$B$2:$I1000,"")</f>
        <v>Nature</v>
      </c>
      <c r="C298" s="34">
        <v>1.0</v>
      </c>
      <c r="D298" s="34" t="s">
        <v>1665</v>
      </c>
      <c r="E298" s="34" t="s">
        <v>1824</v>
      </c>
      <c r="F298" s="34" t="s">
        <v>1825</v>
      </c>
      <c r="G298" s="34">
        <v>7.0</v>
      </c>
      <c r="H298" s="34" t="s">
        <v>1685</v>
      </c>
      <c r="I298" s="34" t="s">
        <v>70</v>
      </c>
      <c r="J298" s="34">
        <f>IFERROR(__xludf.DUMMYFUNCTION("LEN(REGEXREPLACE(XLOOKUP($A298,Cards!$A$2:$A1000,Cards!$H$2:$H1000,""""),"",\s"",""""))"),6.0)</f>
        <v>6</v>
      </c>
      <c r="K298" s="34" t="str">
        <f t="shared" si="1"/>
        <v>      Ramp      Ambush   </v>
      </c>
      <c r="L298" s="34" t="str">
        <f>IFERROR(__xludf.DUMMYFUNCTION("IF(IF(L$1="""","""",REGEXMATCH(LOWER($E298),XLOOKUP(L$1,Metadata!$A$2:$A1000,Metadata!$B$2:$B1000))),L$1,"""")"),"")</f>
        <v/>
      </c>
      <c r="M298" s="34" t="str">
        <f>IFERROR(__xludf.DUMMYFUNCTION("IF(IF(M$1="""","""",REGEXMATCH(LOWER($E298),XLOOKUP(M$1,Metadata!$A$2:$A1000,Metadata!$B$2:$B1000))),M$1,"""")"),"")</f>
        <v/>
      </c>
      <c r="N298" s="34" t="str">
        <f>IFERROR(__xludf.DUMMYFUNCTION("IF(IF(N$1="""","""",REGEXMATCH(LOWER($E298),XLOOKUP(N$1,Metadata!$A$2:$A1000,Metadata!$B$2:$B1000))),N$1,"""")"),"")</f>
        <v/>
      </c>
      <c r="O298" s="34" t="str">
        <f>IFERROR(__xludf.DUMMYFUNCTION("IF(IF(O$1="""","""",REGEXMATCH(LOWER($E298),XLOOKUP(O$1,Metadata!$A$2:$A1000,Metadata!$B$2:$B1000))),O$1,"""")"),"")</f>
        <v/>
      </c>
      <c r="P298" s="34" t="str">
        <f>IFERROR(__xludf.DUMMYFUNCTION("IF(IF(P$1="""","""",REGEXMATCH(LOWER($E298),XLOOKUP(P$1,Metadata!$A$2:$A1000,Metadata!$B$2:$B1000))),P$1,"""")"),"")</f>
        <v/>
      </c>
      <c r="Q298" s="34" t="str">
        <f>IFERROR(__xludf.DUMMYFUNCTION("IF(IF(Q$1="""","""",REGEXMATCH(LOWER($E298),XLOOKUP(Q$1,Metadata!$A$2:$A1000,Metadata!$B$2:$B1000))),Q$1,"""")"),"")</f>
        <v/>
      </c>
      <c r="R298" s="34" t="str">
        <f>IFERROR(__xludf.DUMMYFUNCTION("IF(IF(R$1="""","""",REGEXMATCH(LOWER($E298),XLOOKUP(R$1,Metadata!$A$2:$A1000,Metadata!$B$2:$B1000))),R$1,"""")"),"Ramp")</f>
        <v>Ramp</v>
      </c>
      <c r="S298" s="34" t="str">
        <f>IFERROR(__xludf.DUMMYFUNCTION("IF(IF(S$1="""","""",REGEXMATCH(LOWER($E298),XLOOKUP(S$1,Metadata!$A$2:$A1000,Metadata!$B$2:$B1000))),S$1,"""")"),"")</f>
        <v/>
      </c>
      <c r="T298" s="34" t="str">
        <f>IFERROR(__xludf.DUMMYFUNCTION("IF(IF(T$1="""","""",REGEXMATCH(LOWER($E298),XLOOKUP(T$1,Metadata!$A$2:$A1000,Metadata!$B$2:$B1000))),T$1,"""")"),"")</f>
        <v/>
      </c>
      <c r="U298" s="34" t="str">
        <f>IFERROR(__xludf.DUMMYFUNCTION("IF(IF(U$1="""","""",REGEXMATCH(LOWER($E298),XLOOKUP(U$1,Metadata!$A$2:$A1000,Metadata!$B$2:$B1000))),U$1,"""")"),"")</f>
        <v/>
      </c>
      <c r="V298" s="34" t="str">
        <f>IFERROR(__xludf.DUMMYFUNCTION("IF(IF(V$1="""","""",REGEXMATCH(LOWER($E298),XLOOKUP(V$1,Metadata!$A$2:$A1000,Metadata!$B$2:$B1000))),V$1,"""")"),"")</f>
        <v/>
      </c>
      <c r="W298" s="34" t="str">
        <f>IFERROR(__xludf.DUMMYFUNCTION("IF(IF(W$1="""","""",REGEXMATCH(LOWER($E298),XLOOKUP(W$1,Metadata!$A$2:$A1000,Metadata!$B$2:$B1000))),W$1,"""")"),"")</f>
        <v/>
      </c>
      <c r="X298" s="34" t="str">
        <f>IFERROR(__xludf.DUMMYFUNCTION("IF(IF(X$1="""","""",REGEXMATCH(LOWER($E298),XLOOKUP(X$1,Metadata!$A$2:$A1000,Metadata!$B$2:$B1000))),X$1,"""")"),"Ambush")</f>
        <v>Ambush</v>
      </c>
      <c r="Y298" s="34" t="str">
        <f>IFERROR(__xludf.DUMMYFUNCTION("IF(IF(Y$1="""","""",REGEXMATCH(LOWER($E298),XLOOKUP(Y$1,Metadata!$A$2:$A1000,Metadata!$B$2:$B1000))),Y$1,"""")"),"")</f>
        <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I299">XLOOKUP($A299,Cards!$A$2:$A1000,Cards!$B$2:$I1000,"")</f>
        <v>Nature</v>
      </c>
      <c r="C299" s="34">
        <v>1.0</v>
      </c>
      <c r="D299" s="34" t="s">
        <v>1695</v>
      </c>
      <c r="E299" s="34" t="s">
        <v>1827</v>
      </c>
      <c r="F299" s="34" t="s">
        <v>1828</v>
      </c>
      <c r="G299" s="34">
        <v>4.0</v>
      </c>
      <c r="H299" s="34" t="s">
        <v>1667</v>
      </c>
      <c r="I299" s="34" t="s">
        <v>26</v>
      </c>
      <c r="J299" s="34">
        <f>IFERROR(__xludf.DUMMYFUNCTION("LEN(REGEXREPLACE(XLOOKUP($A299,Cards!$A$2:$A1000,Cards!$H$2:$H1000,""""),"",\s"",""""))"),5.0)</f>
        <v>5</v>
      </c>
      <c r="K299" s="34" t="str">
        <f t="shared" si="1"/>
        <v>               </v>
      </c>
      <c r="L299" s="34" t="str">
        <f>IFERROR(__xludf.DUMMYFUNCTION("IF(IF(L$1="""","""",REGEXMATCH(LOWER($E299),XLOOKUP(L$1,Metadata!$A$2:$A1000,Metadata!$B$2:$B1000))),L$1,"""")"),"")</f>
        <v/>
      </c>
      <c r="M299" s="34" t="str">
        <f>IFERROR(__xludf.DUMMYFUNCTION("IF(IF(M$1="""","""",REGEXMATCH(LOWER($E299),XLOOKUP(M$1,Metadata!$A$2:$A1000,Metadata!$B$2:$B1000))),M$1,"""")"),"")</f>
        <v/>
      </c>
      <c r="N299" s="34" t="str">
        <f>IFERROR(__xludf.DUMMYFUNCTION("IF(IF(N$1="""","""",REGEXMATCH(LOWER($E299),XLOOKUP(N$1,Metadata!$A$2:$A1000,Metadata!$B$2:$B1000))),N$1,"""")"),"")</f>
        <v/>
      </c>
      <c r="O299" s="34" t="str">
        <f>IFERROR(__xludf.DUMMYFUNCTION("IF(IF(O$1="""","""",REGEXMATCH(LOWER($E299),XLOOKUP(O$1,Metadata!$A$2:$A1000,Metadata!$B$2:$B1000))),O$1,"""")"),"")</f>
        <v/>
      </c>
      <c r="P299" s="34" t="str">
        <f>IFERROR(__xludf.DUMMYFUNCTION("IF(IF(P$1="""","""",REGEXMATCH(LOWER($E299),XLOOKUP(P$1,Metadata!$A$2:$A1000,Metadata!$B$2:$B1000))),P$1,"""")"),"")</f>
        <v/>
      </c>
      <c r="Q299" s="34" t="str">
        <f>IFERROR(__xludf.DUMMYFUNCTION("IF(IF(Q$1="""","""",REGEXMATCH(LOWER($E299),XLOOKUP(Q$1,Metadata!$A$2:$A1000,Metadata!$B$2:$B1000))),Q$1,"""")"),"")</f>
        <v/>
      </c>
      <c r="R299" s="34" t="str">
        <f>IFERROR(__xludf.DUMMYFUNCTION("IF(IF(R$1="""","""",REGEXMATCH(LOWER($E299),XLOOKUP(R$1,Metadata!$A$2:$A1000,Metadata!$B$2:$B1000))),R$1,"""")"),"")</f>
        <v/>
      </c>
      <c r="S299" s="34" t="str">
        <f>IFERROR(__xludf.DUMMYFUNCTION("IF(IF(S$1="""","""",REGEXMATCH(LOWER($E299),XLOOKUP(S$1,Metadata!$A$2:$A1000,Metadata!$B$2:$B1000))),S$1,"""")"),"")</f>
        <v/>
      </c>
      <c r="T299" s="34" t="str">
        <f>IFERROR(__xludf.DUMMYFUNCTION("IF(IF(T$1="""","""",REGEXMATCH(LOWER($E299),XLOOKUP(T$1,Metadata!$A$2:$A1000,Metadata!$B$2:$B1000))),T$1,"""")"),"")</f>
        <v/>
      </c>
      <c r="U299" s="34" t="str">
        <f>IFERROR(__xludf.DUMMYFUNCTION("IF(IF(U$1="""","""",REGEXMATCH(LOWER($E299),XLOOKUP(U$1,Metadata!$A$2:$A1000,Metadata!$B$2:$B1000))),U$1,"""")"),"")</f>
        <v/>
      </c>
      <c r="V299" s="34" t="str">
        <f>IFERROR(__xludf.DUMMYFUNCTION("IF(IF(V$1="""","""",REGEXMATCH(LOWER($E299),XLOOKUP(V$1,Metadata!$A$2:$A1000,Metadata!$B$2:$B1000))),V$1,"""")"),"")</f>
        <v/>
      </c>
      <c r="W299" s="34" t="str">
        <f>IFERROR(__xludf.DUMMYFUNCTION("IF(IF(W$1="""","""",REGEXMATCH(LOWER($E299),XLOOKUP(W$1,Metadata!$A$2:$A1000,Metadata!$B$2:$B1000))),W$1,"""")"),"")</f>
        <v/>
      </c>
      <c r="X299" s="34" t="str">
        <f>IFERROR(__xludf.DUMMYFUNCTION("IF(IF(X$1="""","""",REGEXMATCH(LOWER($E299),XLOOKUP(X$1,Metadata!$A$2:$A1000,Metadata!$B$2:$B1000))),X$1,"""")"),"")</f>
        <v/>
      </c>
      <c r="Y299" s="34" t="str">
        <f>IFERROR(__xludf.DUMMYFUNCTION("IF(IF(Y$1="""","""",REGEXMATCH(LOWER($E299),XLOOKUP(Y$1,Metadata!$A$2:$A1000,Metadata!$B$2:$B1000))),Y$1,"""")"),"")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I300">XLOOKUP($A300,Cards!$A$2:$A1000,Cards!$B$2:$I1000,"")</f>
        <v>Void</v>
      </c>
      <c r="C300" s="34">
        <v>2.0</v>
      </c>
      <c r="D300" s="34" t="s">
        <v>1175</v>
      </c>
      <c r="E300" s="34" t="s">
        <v>1830</v>
      </c>
      <c r="F300" s="34" t="s">
        <v>1831</v>
      </c>
      <c r="G300" s="34">
        <v>3.0</v>
      </c>
      <c r="H300" s="34" t="s">
        <v>1791</v>
      </c>
      <c r="I300" s="34" t="s">
        <v>26</v>
      </c>
      <c r="J300" s="34">
        <f>IFERROR(__xludf.DUMMYFUNCTION("LEN(REGEXREPLACE(XLOOKUP($A300,Cards!$A$2:$A1000,Cards!$H$2:$H1000,""""),"",\s"",""""))"),3.0)</f>
        <v>3</v>
      </c>
      <c r="K300" s="34" t="str">
        <f t="shared" si="1"/>
        <v>            Ambush   </v>
      </c>
      <c r="L300" s="34" t="str">
        <f>IFERROR(__xludf.DUMMYFUNCTION("IF(IF(L$1="""","""",REGEXMATCH(LOWER($E300),XLOOKUP(L$1,Metadata!$A$2:$A1000,Metadata!$B$2:$B1000))),L$1,"""")"),"")</f>
        <v/>
      </c>
      <c r="M300" s="34" t="str">
        <f>IFERROR(__xludf.DUMMYFUNCTION("IF(IF(M$1="""","""",REGEXMATCH(LOWER($E300),XLOOKUP(M$1,Metadata!$A$2:$A1000,Metadata!$B$2:$B1000))),M$1,"""")"),"")</f>
        <v/>
      </c>
      <c r="N300" s="34" t="str">
        <f>IFERROR(__xludf.DUMMYFUNCTION("IF(IF(N$1="""","""",REGEXMATCH(LOWER($E300),XLOOKUP(N$1,Metadata!$A$2:$A1000,Metadata!$B$2:$B1000))),N$1,"""")"),"")</f>
        <v/>
      </c>
      <c r="O300" s="34" t="str">
        <f>IFERROR(__xludf.DUMMYFUNCTION("IF(IF(O$1="""","""",REGEXMATCH(LOWER($E300),XLOOKUP(O$1,Metadata!$A$2:$A1000,Metadata!$B$2:$B1000))),O$1,"""")"),"")</f>
        <v/>
      </c>
      <c r="P300" s="34" t="str">
        <f>IFERROR(__xludf.DUMMYFUNCTION("IF(IF(P$1="""","""",REGEXMATCH(LOWER($E300),XLOOKUP(P$1,Metadata!$A$2:$A1000,Metadata!$B$2:$B1000))),P$1,"""")"),"")</f>
        <v/>
      </c>
      <c r="Q300" s="34" t="str">
        <f>IFERROR(__xludf.DUMMYFUNCTION("IF(IF(Q$1="""","""",REGEXMATCH(LOWER($E300),XLOOKUP(Q$1,Metadata!$A$2:$A1000,Metadata!$B$2:$B1000))),Q$1,"""")"),"")</f>
        <v/>
      </c>
      <c r="R300" s="34" t="str">
        <f>IFERROR(__xludf.DUMMYFUNCTION("IF(IF(R$1="""","""",REGEXMATCH(LOWER($E300),XLOOKUP(R$1,Metadata!$A$2:$A1000,Metadata!$B$2:$B1000))),R$1,"""")"),"")</f>
        <v/>
      </c>
      <c r="S300" s="34" t="str">
        <f>IFERROR(__xludf.DUMMYFUNCTION("IF(IF(S$1="""","""",REGEXMATCH(LOWER($E300),XLOOKUP(S$1,Metadata!$A$2:$A1000,Metadata!$B$2:$B1000))),S$1,"""")"),"")</f>
        <v/>
      </c>
      <c r="T300" s="34" t="str">
        <f>IFERROR(__xludf.DUMMYFUNCTION("IF(IF(T$1="""","""",REGEXMATCH(LOWER($E300),XLOOKUP(T$1,Metadata!$A$2:$A1000,Metadata!$B$2:$B1000))),T$1,"""")"),"")</f>
        <v/>
      </c>
      <c r="U300" s="34" t="str">
        <f>IFERROR(__xludf.DUMMYFUNCTION("IF(IF(U$1="""","""",REGEXMATCH(LOWER($E300),XLOOKUP(U$1,Metadata!$A$2:$A1000,Metadata!$B$2:$B1000))),U$1,"""")"),"")</f>
        <v/>
      </c>
      <c r="V300" s="34" t="str">
        <f>IFERROR(__xludf.DUMMYFUNCTION("IF(IF(V$1="""","""",REGEXMATCH(LOWER($E300),XLOOKUP(V$1,Metadata!$A$2:$A1000,Metadata!$B$2:$B1000))),V$1,"""")"),"")</f>
        <v/>
      </c>
      <c r="W300" s="34" t="str">
        <f>IFERROR(__xludf.DUMMYFUNCTION("IF(IF(W$1="""","""",REGEXMATCH(LOWER($E300),XLOOKUP(W$1,Metadata!$A$2:$A1000,Metadata!$B$2:$B1000))),W$1,"""")"),"")</f>
        <v/>
      </c>
      <c r="X300" s="34" t="str">
        <f>IFERROR(__xludf.DUMMYFUNCTION("IF(IF(X$1="""","""",REGEXMATCH(LOWER($E300),XLOOKUP(X$1,Metadata!$A$2:$A1000,Metadata!$B$2:$B1000))),X$1,"""")"),"Ambush")</f>
        <v>Ambush</v>
      </c>
      <c r="Y300" s="34" t="str">
        <f>IFERROR(__xludf.DUMMYFUNCTION("IF(IF(Y$1="""","""",REGEXMATCH(LOWER($E300),XLOOKUP(Y$1,Metadata!$A$2:$A1000,Metadata!$B$2:$B1000))),Y$1,"""")"),"")</f>
        <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I301">XLOOKUP($A301,Cards!$A$2:$A1000,Cards!$B$2:$I1000,"")</f>
        <v>Void</v>
      </c>
      <c r="C301" s="34">
        <v>2.0</v>
      </c>
      <c r="D301" s="34" t="s">
        <v>37</v>
      </c>
      <c r="E301" s="34" t="s">
        <v>1833</v>
      </c>
      <c r="F301" s="34" t="s">
        <v>1834</v>
      </c>
      <c r="G301" s="34">
        <v>6.0</v>
      </c>
      <c r="H301" s="34" t="s">
        <v>1835</v>
      </c>
      <c r="I301" s="34" t="s">
        <v>70</v>
      </c>
      <c r="J301" s="34">
        <f>IFERROR(__xludf.DUMMYFUNCTION("LEN(REGEXREPLACE(XLOOKUP($A301,Cards!$A$2:$A1000,Cards!$H$2:$H1000,""""),"",\s"",""""))"),6.0)</f>
        <v>6</v>
      </c>
      <c r="K301" s="34" t="str">
        <f t="shared" si="1"/>
        <v>               </v>
      </c>
      <c r="L301" s="34" t="str">
        <f>IFERROR(__xludf.DUMMYFUNCTION("IF(IF(L$1="""","""",REGEXMATCH(LOWER($E301),XLOOKUP(L$1,Metadata!$A$2:$A1000,Metadata!$B$2:$B1000))),L$1,"""")"),"")</f>
        <v/>
      </c>
      <c r="M301" s="34" t="str">
        <f>IFERROR(__xludf.DUMMYFUNCTION("IF(IF(M$1="""","""",REGEXMATCH(LOWER($E301),XLOOKUP(M$1,Metadata!$A$2:$A1000,Metadata!$B$2:$B1000))),M$1,"""")"),"")</f>
        <v/>
      </c>
      <c r="N301" s="34" t="str">
        <f>IFERROR(__xludf.DUMMYFUNCTION("IF(IF(N$1="""","""",REGEXMATCH(LOWER($E301),XLOOKUP(N$1,Metadata!$A$2:$A1000,Metadata!$B$2:$B1000))),N$1,"""")"),"")</f>
        <v/>
      </c>
      <c r="O301" s="34" t="str">
        <f>IFERROR(__xludf.DUMMYFUNCTION("IF(IF(O$1="""","""",REGEXMATCH(LOWER($E301),XLOOKUP(O$1,Metadata!$A$2:$A1000,Metadata!$B$2:$B1000))),O$1,"""")"),"")</f>
        <v/>
      </c>
      <c r="P301" s="34" t="str">
        <f>IFERROR(__xludf.DUMMYFUNCTION("IF(IF(P$1="""","""",REGEXMATCH(LOWER($E301),XLOOKUP(P$1,Metadata!$A$2:$A1000,Metadata!$B$2:$B1000))),P$1,"""")"),"")</f>
        <v/>
      </c>
      <c r="Q301" s="34" t="str">
        <f>IFERROR(__xludf.DUMMYFUNCTION("IF(IF(Q$1="""","""",REGEXMATCH(LOWER($E301),XLOOKUP(Q$1,Metadata!$A$2:$A1000,Metadata!$B$2:$B1000))),Q$1,"""")"),"")</f>
        <v/>
      </c>
      <c r="R301" s="34" t="str">
        <f>IFERROR(__xludf.DUMMYFUNCTION("IF(IF(R$1="""","""",REGEXMATCH(LOWER($E301),XLOOKUP(R$1,Metadata!$A$2:$A1000,Metadata!$B$2:$B1000))),R$1,"""")"),"")</f>
        <v/>
      </c>
      <c r="S301" s="34" t="str">
        <f>IFERROR(__xludf.DUMMYFUNCTION("IF(IF(S$1="""","""",REGEXMATCH(LOWER($E301),XLOOKUP(S$1,Metadata!$A$2:$A1000,Metadata!$B$2:$B1000))),S$1,"""")"),"")</f>
        <v/>
      </c>
      <c r="T301" s="34" t="str">
        <f>IFERROR(__xludf.DUMMYFUNCTION("IF(IF(T$1="""","""",REGEXMATCH(LOWER($E301),XLOOKUP(T$1,Metadata!$A$2:$A1000,Metadata!$B$2:$B1000))),T$1,"""")"),"")</f>
        <v/>
      </c>
      <c r="U301" s="34" t="str">
        <f>IFERROR(__xludf.DUMMYFUNCTION("IF(IF(U$1="""","""",REGEXMATCH(LOWER($E301),XLOOKUP(U$1,Metadata!$A$2:$A1000,Metadata!$B$2:$B1000))),U$1,"""")"),"")</f>
        <v/>
      </c>
      <c r="V301" s="34" t="str">
        <f>IFERROR(__xludf.DUMMYFUNCTION("IF(IF(V$1="""","""",REGEXMATCH(LOWER($E301),XLOOKUP(V$1,Metadata!$A$2:$A1000,Metadata!$B$2:$B1000))),V$1,"""")"),"")</f>
        <v/>
      </c>
      <c r="W301" s="34" t="str">
        <f>IFERROR(__xludf.DUMMYFUNCTION("IF(IF(W$1="""","""",REGEXMATCH(LOWER($E301),XLOOKUP(W$1,Metadata!$A$2:$A1000,Metadata!$B$2:$B1000))),W$1,"""")"),"")</f>
        <v/>
      </c>
      <c r="X301" s="34" t="str">
        <f>IFERROR(__xludf.DUMMYFUNCTION("IF(IF(X$1="""","""",REGEXMATCH(LOWER($E301),XLOOKUP(X$1,Metadata!$A$2:$A1000,Metadata!$B$2:$B1000))),X$1,"""")"),"")</f>
        <v/>
      </c>
      <c r="Y301" s="34" t="str">
        <f>IFERROR(__xludf.DUMMYFUNCTION("IF(IF(Y$1="""","""",REGEXMATCH(LOWER($E301),XLOOKUP(Y$1,Metadata!$A$2:$A1000,Metadata!$B$2:$B1000))),Y$1,"""")"),"")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I302">XLOOKUP($A302,Cards!$A$2:$A1000,Cards!$B$2:$I1000,"")</f>
        <v>Void</v>
      </c>
      <c r="C302" s="34">
        <v>2.0</v>
      </c>
      <c r="D302" s="34" t="s">
        <v>1788</v>
      </c>
      <c r="E302" s="34" t="s">
        <v>1837</v>
      </c>
      <c r="F302" s="34" t="s">
        <v>1838</v>
      </c>
      <c r="G302" s="34">
        <v>2.0</v>
      </c>
      <c r="H302" s="34" t="s">
        <v>1795</v>
      </c>
      <c r="I302" s="34" t="s">
        <v>70</v>
      </c>
      <c r="J302" s="34">
        <f>IFERROR(__xludf.DUMMYFUNCTION("LEN(REGEXREPLACE(XLOOKUP($A302,Cards!$A$2:$A1000,Cards!$H$2:$H1000,""""),"",\s"",""""))"),2.0)</f>
        <v>2</v>
      </c>
      <c r="K302" s="34" t="str">
        <f t="shared" si="1"/>
        <v>               </v>
      </c>
      <c r="L302" s="34" t="str">
        <f>IFERROR(__xludf.DUMMYFUNCTION("IF(IF(L$1="""","""",REGEXMATCH(LOWER($E302),XLOOKUP(L$1,Metadata!$A$2:$A1000,Metadata!$B$2:$B1000))),L$1,"""")"),"")</f>
        <v/>
      </c>
      <c r="M302" s="34" t="str">
        <f>IFERROR(__xludf.DUMMYFUNCTION("IF(IF(M$1="""","""",REGEXMATCH(LOWER($E302),XLOOKUP(M$1,Metadata!$A$2:$A1000,Metadata!$B$2:$B1000))),M$1,"""")"),"")</f>
        <v/>
      </c>
      <c r="N302" s="34" t="str">
        <f>IFERROR(__xludf.DUMMYFUNCTION("IF(IF(N$1="""","""",REGEXMATCH(LOWER($E302),XLOOKUP(N$1,Metadata!$A$2:$A1000,Metadata!$B$2:$B1000))),N$1,"""")"),"")</f>
        <v/>
      </c>
      <c r="O302" s="34" t="str">
        <f>IFERROR(__xludf.DUMMYFUNCTION("IF(IF(O$1="""","""",REGEXMATCH(LOWER($E302),XLOOKUP(O$1,Metadata!$A$2:$A1000,Metadata!$B$2:$B1000))),O$1,"""")"),"")</f>
        <v/>
      </c>
      <c r="P302" s="34" t="str">
        <f>IFERROR(__xludf.DUMMYFUNCTION("IF(IF(P$1="""","""",REGEXMATCH(LOWER($E302),XLOOKUP(P$1,Metadata!$A$2:$A1000,Metadata!$B$2:$B1000))),P$1,"""")"),"")</f>
        <v/>
      </c>
      <c r="Q302" s="34" t="str">
        <f>IFERROR(__xludf.DUMMYFUNCTION("IF(IF(Q$1="""","""",REGEXMATCH(LOWER($E302),XLOOKUP(Q$1,Metadata!$A$2:$A1000,Metadata!$B$2:$B1000))),Q$1,"""")"),"")</f>
        <v/>
      </c>
      <c r="R302" s="34" t="str">
        <f>IFERROR(__xludf.DUMMYFUNCTION("IF(IF(R$1="""","""",REGEXMATCH(LOWER($E302),XLOOKUP(R$1,Metadata!$A$2:$A1000,Metadata!$B$2:$B1000))),R$1,"""")"),"")</f>
        <v/>
      </c>
      <c r="S302" s="34" t="str">
        <f>IFERROR(__xludf.DUMMYFUNCTION("IF(IF(S$1="""","""",REGEXMATCH(LOWER($E302),XLOOKUP(S$1,Metadata!$A$2:$A1000,Metadata!$B$2:$B1000))),S$1,"""")"),"")</f>
        <v/>
      </c>
      <c r="T302" s="34" t="str">
        <f>IFERROR(__xludf.DUMMYFUNCTION("IF(IF(T$1="""","""",REGEXMATCH(LOWER($E302),XLOOKUP(T$1,Metadata!$A$2:$A1000,Metadata!$B$2:$B1000))),T$1,"""")"),"")</f>
        <v/>
      </c>
      <c r="U302" s="34" t="str">
        <f>IFERROR(__xludf.DUMMYFUNCTION("IF(IF(U$1="""","""",REGEXMATCH(LOWER($E302),XLOOKUP(U$1,Metadata!$A$2:$A1000,Metadata!$B$2:$B1000))),U$1,"""")"),"")</f>
        <v/>
      </c>
      <c r="V302" s="34" t="str">
        <f>IFERROR(__xludf.DUMMYFUNCTION("IF(IF(V$1="""","""",REGEXMATCH(LOWER($E302),XLOOKUP(V$1,Metadata!$A$2:$A1000,Metadata!$B$2:$B1000))),V$1,"""")"),"")</f>
        <v/>
      </c>
      <c r="W302" s="34" t="str">
        <f>IFERROR(__xludf.DUMMYFUNCTION("IF(IF(W$1="""","""",REGEXMATCH(LOWER($E302),XLOOKUP(W$1,Metadata!$A$2:$A1000,Metadata!$B$2:$B1000))),W$1,"""")"),"")</f>
        <v/>
      </c>
      <c r="X302" s="34" t="str">
        <f>IFERROR(__xludf.DUMMYFUNCTION("IF(IF(X$1="""","""",REGEXMATCH(LOWER($E302),XLOOKUP(X$1,Metadata!$A$2:$A1000,Metadata!$B$2:$B1000))),X$1,"""")"),"")</f>
        <v/>
      </c>
      <c r="Y302" s="34" t="str">
        <f>IFERROR(__xludf.DUMMYFUNCTION("IF(IF(Y$1="""","""",REGEXMATCH(LOWER($E302),XLOOKUP(Y$1,Metadata!$A$2:$A1000,Metadata!$B$2:$B1000))),Y$1,"""")"),"")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I303">XLOOKUP($A303,Cards!$A$2:$A1000,Cards!$B$2:$I1000,"")</f>
        <v>Void</v>
      </c>
      <c r="C303" s="34">
        <v>2.0</v>
      </c>
      <c r="D303" s="34" t="s">
        <v>1029</v>
      </c>
      <c r="E303" s="34" t="s">
        <v>1840</v>
      </c>
      <c r="F303" s="34" t="s">
        <v>838</v>
      </c>
      <c r="G303" s="34">
        <v>5.0</v>
      </c>
      <c r="H303" s="34" t="s">
        <v>1841</v>
      </c>
      <c r="I303" s="34" t="s">
        <v>26</v>
      </c>
      <c r="J303" s="34">
        <f>IFERROR(__xludf.DUMMYFUNCTION("LEN(REGEXREPLACE(XLOOKUP($A303,Cards!$A$2:$A1000,Cards!$H$2:$H1000,""""),"",\s"",""""))"),4.0)</f>
        <v>4</v>
      </c>
      <c r="K303" s="34" t="str">
        <f t="shared" si="1"/>
        <v>      Ramp Control     Ambush   </v>
      </c>
      <c r="L303" s="34" t="str">
        <f>IFERROR(__xludf.DUMMYFUNCTION("IF(IF(L$1="""","""",REGEXMATCH(LOWER($E303),XLOOKUP(L$1,Metadata!$A$2:$A1000,Metadata!$B$2:$B1000))),L$1,"""")"),"")</f>
        <v/>
      </c>
      <c r="M303" s="34" t="str">
        <f>IFERROR(__xludf.DUMMYFUNCTION("IF(IF(M$1="""","""",REGEXMATCH(LOWER($E303),XLOOKUP(M$1,Metadata!$A$2:$A1000,Metadata!$B$2:$B1000))),M$1,"""")"),"")</f>
        <v/>
      </c>
      <c r="N303" s="34" t="str">
        <f>IFERROR(__xludf.DUMMYFUNCTION("IF(IF(N$1="""","""",REGEXMATCH(LOWER($E303),XLOOKUP(N$1,Metadata!$A$2:$A1000,Metadata!$B$2:$B1000))),N$1,"""")"),"")</f>
        <v/>
      </c>
      <c r="O303" s="34" t="str">
        <f>IFERROR(__xludf.DUMMYFUNCTION("IF(IF(O$1="""","""",REGEXMATCH(LOWER($E303),XLOOKUP(O$1,Metadata!$A$2:$A1000,Metadata!$B$2:$B1000))),O$1,"""")"),"")</f>
        <v/>
      </c>
      <c r="P303" s="34" t="str">
        <f>IFERROR(__xludf.DUMMYFUNCTION("IF(IF(P$1="""","""",REGEXMATCH(LOWER($E303),XLOOKUP(P$1,Metadata!$A$2:$A1000,Metadata!$B$2:$B1000))),P$1,"""")"),"")</f>
        <v/>
      </c>
      <c r="Q303" s="34" t="str">
        <f>IFERROR(__xludf.DUMMYFUNCTION("IF(IF(Q$1="""","""",REGEXMATCH(LOWER($E303),XLOOKUP(Q$1,Metadata!$A$2:$A1000,Metadata!$B$2:$B1000))),Q$1,"""")"),"")</f>
        <v/>
      </c>
      <c r="R303" s="34" t="str">
        <f>IFERROR(__xludf.DUMMYFUNCTION("IF(IF(R$1="""","""",REGEXMATCH(LOWER($E303),XLOOKUP(R$1,Metadata!$A$2:$A1000,Metadata!$B$2:$B1000))),R$1,"""")"),"Ramp")</f>
        <v>Ramp</v>
      </c>
      <c r="S303" s="34" t="str">
        <f>IFERROR(__xludf.DUMMYFUNCTION("IF(IF(S$1="""","""",REGEXMATCH(LOWER($E303),XLOOKUP(S$1,Metadata!$A$2:$A1000,Metadata!$B$2:$B1000))),S$1,"""")"),"Control")</f>
        <v>Control</v>
      </c>
      <c r="T303" s="34" t="str">
        <f>IFERROR(__xludf.DUMMYFUNCTION("IF(IF(T$1="""","""",REGEXMATCH(LOWER($E303),XLOOKUP(T$1,Metadata!$A$2:$A1000,Metadata!$B$2:$B1000))),T$1,"""")"),"")</f>
        <v/>
      </c>
      <c r="U303" s="34" t="str">
        <f>IFERROR(__xludf.DUMMYFUNCTION("IF(IF(U$1="""","""",REGEXMATCH(LOWER($E303),XLOOKUP(U$1,Metadata!$A$2:$A1000,Metadata!$B$2:$B1000))),U$1,"""")"),"")</f>
        <v/>
      </c>
      <c r="V303" s="34" t="str">
        <f>IFERROR(__xludf.DUMMYFUNCTION("IF(IF(V$1="""","""",REGEXMATCH(LOWER($E303),XLOOKUP(V$1,Metadata!$A$2:$A1000,Metadata!$B$2:$B1000))),V$1,"""")"),"")</f>
        <v/>
      </c>
      <c r="W303" s="34" t="str">
        <f>IFERROR(__xludf.DUMMYFUNCTION("IF(IF(W$1="""","""",REGEXMATCH(LOWER($E303),XLOOKUP(W$1,Metadata!$A$2:$A1000,Metadata!$B$2:$B1000))),W$1,"""")"),"")</f>
        <v/>
      </c>
      <c r="X303" s="34" t="str">
        <f>IFERROR(__xludf.DUMMYFUNCTION("IF(IF(X$1="""","""",REGEXMATCH(LOWER($E303),XLOOKUP(X$1,Metadata!$A$2:$A1000,Metadata!$B$2:$B1000))),X$1,"""")"),"Ambush")</f>
        <v>Ambush</v>
      </c>
      <c r="Y303" s="34" t="str">
        <f>IFERROR(__xludf.DUMMYFUNCTION("IF(IF(Y$1="""","""",REGEXMATCH(LOWER($E303),XLOOKUP(Y$1,Metadata!$A$2:$A1000,Metadata!$B$2:$B1000))),Y$1,"""")"),"")</f>
        <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I304">XLOOKUP($A304,Cards!$A$2:$A1000,Cards!$B$2:$I1000,"")</f>
        <v>Nature</v>
      </c>
      <c r="C304" s="34">
        <v>1.0</v>
      </c>
      <c r="D304" s="34" t="s">
        <v>297</v>
      </c>
      <c r="E304" s="34" t="s">
        <v>1843</v>
      </c>
      <c r="F304" s="34" t="s">
        <v>1844</v>
      </c>
      <c r="G304" s="34">
        <v>5.0</v>
      </c>
      <c r="H304" s="34" t="s">
        <v>1667</v>
      </c>
      <c r="I304" s="34" t="s">
        <v>26</v>
      </c>
      <c r="J304" s="34">
        <f>IFERROR(__xludf.DUMMYFUNCTION("LEN(REGEXREPLACE(XLOOKUP($A304,Cards!$A$2:$A1000,Cards!$H$2:$H1000,""""),"",\s"",""""))"),5.0)</f>
        <v>5</v>
      </c>
      <c r="K304" s="34" t="str">
        <f t="shared" si="1"/>
        <v>     Unearth      Move Ambush   </v>
      </c>
      <c r="L304" s="34" t="str">
        <f>IFERROR(__xludf.DUMMYFUNCTION("IF(IF(L$1="""","""",REGEXMATCH(LOWER($E304),XLOOKUP(L$1,Metadata!$A$2:$A1000,Metadata!$B$2:$B1000))),L$1,"""")"),"")</f>
        <v/>
      </c>
      <c r="M304" s="34" t="str">
        <f>IFERROR(__xludf.DUMMYFUNCTION("IF(IF(M$1="""","""",REGEXMATCH(LOWER($E304),XLOOKUP(M$1,Metadata!$A$2:$A1000,Metadata!$B$2:$B1000))),M$1,"""")"),"")</f>
        <v/>
      </c>
      <c r="N304" s="34" t="str">
        <f>IFERROR(__xludf.DUMMYFUNCTION("IF(IF(N$1="""","""",REGEXMATCH(LOWER($E304),XLOOKUP(N$1,Metadata!$A$2:$A1000,Metadata!$B$2:$B1000))),N$1,"""")"),"")</f>
        <v/>
      </c>
      <c r="O304" s="34" t="str">
        <f>IFERROR(__xludf.DUMMYFUNCTION("IF(IF(O$1="""","""",REGEXMATCH(LOWER($E304),XLOOKUP(O$1,Metadata!$A$2:$A1000,Metadata!$B$2:$B1000))),O$1,"""")"),"")</f>
        <v/>
      </c>
      <c r="P304" s="34" t="str">
        <f>IFERROR(__xludf.DUMMYFUNCTION("IF(IF(P$1="""","""",REGEXMATCH(LOWER($E304),XLOOKUP(P$1,Metadata!$A$2:$A1000,Metadata!$B$2:$B1000))),P$1,"""")"),"")</f>
        <v/>
      </c>
      <c r="Q304" s="34" t="str">
        <f>IFERROR(__xludf.DUMMYFUNCTION("IF(IF(Q$1="""","""",REGEXMATCH(LOWER($E304),XLOOKUP(Q$1,Metadata!$A$2:$A1000,Metadata!$B$2:$B1000))),Q$1,"""")"),"Unearth")</f>
        <v>Unearth</v>
      </c>
      <c r="R304" s="34" t="str">
        <f>IFERROR(__xludf.DUMMYFUNCTION("IF(IF(R$1="""","""",REGEXMATCH(LOWER($E304),XLOOKUP(R$1,Metadata!$A$2:$A1000,Metadata!$B$2:$B1000))),R$1,"""")"),"")</f>
        <v/>
      </c>
      <c r="S304" s="34" t="str">
        <f>IFERROR(__xludf.DUMMYFUNCTION("IF(IF(S$1="""","""",REGEXMATCH(LOWER($E304),XLOOKUP(S$1,Metadata!$A$2:$A1000,Metadata!$B$2:$B1000))),S$1,"""")"),"")</f>
        <v/>
      </c>
      <c r="T304" s="34" t="str">
        <f>IFERROR(__xludf.DUMMYFUNCTION("IF(IF(T$1="""","""",REGEXMATCH(LOWER($E304),XLOOKUP(T$1,Metadata!$A$2:$A1000,Metadata!$B$2:$B1000))),T$1,"""")"),"")</f>
        <v/>
      </c>
      <c r="U304" s="34" t="str">
        <f>IFERROR(__xludf.DUMMYFUNCTION("IF(IF(U$1="""","""",REGEXMATCH(LOWER($E304),XLOOKUP(U$1,Metadata!$A$2:$A1000,Metadata!$B$2:$B1000))),U$1,"""")"),"")</f>
        <v/>
      </c>
      <c r="V304" s="34" t="str">
        <f>IFERROR(__xludf.DUMMYFUNCTION("IF(IF(V$1="""","""",REGEXMATCH(LOWER($E304),XLOOKUP(V$1,Metadata!$A$2:$A1000,Metadata!$B$2:$B1000))),V$1,"""")"),"")</f>
        <v/>
      </c>
      <c r="W304" s="34" t="str">
        <f>IFERROR(__xludf.DUMMYFUNCTION("IF(IF(W$1="""","""",REGEXMATCH(LOWER($E304),XLOOKUP(W$1,Metadata!$A$2:$A1000,Metadata!$B$2:$B1000))),W$1,"""")"),"Move")</f>
        <v>Move</v>
      </c>
      <c r="X304" s="34" t="str">
        <f>IFERROR(__xludf.DUMMYFUNCTION("IF(IF(X$1="""","""",REGEXMATCH(LOWER($E304),XLOOKUP(X$1,Metadata!$A$2:$A1000,Metadata!$B$2:$B1000))),X$1,"""")"),"Ambush")</f>
        <v>Ambush</v>
      </c>
      <c r="Y304" s="34" t="str">
        <f>IFERROR(__xludf.DUMMYFUNCTION("IF(IF(Y$1="""","""",REGEXMATCH(LOWER($E304),XLOOKUP(Y$1,Metadata!$A$2:$A1000,Metadata!$B$2:$B1000))),Y$1,"""")"),"")</f>
        <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I305">XLOOKUP($A305,Cards!$A$2:$A1000,Cards!$B$2:$I1000,"")</f>
        <v>Nature</v>
      </c>
      <c r="C305" s="34">
        <v>1.0</v>
      </c>
      <c r="D305" s="34" t="s">
        <v>387</v>
      </c>
      <c r="E305" s="34" t="s">
        <v>1846</v>
      </c>
      <c r="F305" s="34"/>
      <c r="G305" s="34">
        <v>4.0</v>
      </c>
      <c r="H305" s="34" t="s">
        <v>1667</v>
      </c>
      <c r="I305" s="34" t="s">
        <v>70</v>
      </c>
      <c r="J305" s="34">
        <f>IFERROR(__xludf.DUMMYFUNCTION("LEN(REGEXREPLACE(XLOOKUP($A305,Cards!$A$2:$A1000,Cards!$H$2:$H1000,""""),"",\s"",""""))"),5.0)</f>
        <v>5</v>
      </c>
      <c r="K305" s="34" t="str">
        <f t="shared" si="1"/>
        <v>     Unearth       Ambush   </v>
      </c>
      <c r="L305" s="34" t="str">
        <f>IFERROR(__xludf.DUMMYFUNCTION("IF(IF(L$1="""","""",REGEXMATCH(LOWER($E305),XLOOKUP(L$1,Metadata!$A$2:$A1000,Metadata!$B$2:$B1000))),L$1,"""")"),"")</f>
        <v/>
      </c>
      <c r="M305" s="34" t="str">
        <f>IFERROR(__xludf.DUMMYFUNCTION("IF(IF(M$1="""","""",REGEXMATCH(LOWER($E305),XLOOKUP(M$1,Metadata!$A$2:$A1000,Metadata!$B$2:$B1000))),M$1,"""")"),"")</f>
        <v/>
      </c>
      <c r="N305" s="34" t="str">
        <f>IFERROR(__xludf.DUMMYFUNCTION("IF(IF(N$1="""","""",REGEXMATCH(LOWER($E305),XLOOKUP(N$1,Metadata!$A$2:$A1000,Metadata!$B$2:$B1000))),N$1,"""")"),"")</f>
        <v/>
      </c>
      <c r="O305" s="34" t="str">
        <f>IFERROR(__xludf.DUMMYFUNCTION("IF(IF(O$1="""","""",REGEXMATCH(LOWER($E305),XLOOKUP(O$1,Metadata!$A$2:$A1000,Metadata!$B$2:$B1000))),O$1,"""")"),"")</f>
        <v/>
      </c>
      <c r="P305" s="34" t="str">
        <f>IFERROR(__xludf.DUMMYFUNCTION("IF(IF(P$1="""","""",REGEXMATCH(LOWER($E305),XLOOKUP(P$1,Metadata!$A$2:$A1000,Metadata!$B$2:$B1000))),P$1,"""")"),"")</f>
        <v/>
      </c>
      <c r="Q305" s="34" t="str">
        <f>IFERROR(__xludf.DUMMYFUNCTION("IF(IF(Q$1="""","""",REGEXMATCH(LOWER($E305),XLOOKUP(Q$1,Metadata!$A$2:$A1000,Metadata!$B$2:$B1000))),Q$1,"""")"),"Unearth")</f>
        <v>Unearth</v>
      </c>
      <c r="R305" s="34" t="str">
        <f>IFERROR(__xludf.DUMMYFUNCTION("IF(IF(R$1="""","""",REGEXMATCH(LOWER($E305),XLOOKUP(R$1,Metadata!$A$2:$A1000,Metadata!$B$2:$B1000))),R$1,"""")"),"")</f>
        <v/>
      </c>
      <c r="S305" s="34" t="str">
        <f>IFERROR(__xludf.DUMMYFUNCTION("IF(IF(S$1="""","""",REGEXMATCH(LOWER($E305),XLOOKUP(S$1,Metadata!$A$2:$A1000,Metadata!$B$2:$B1000))),S$1,"""")"),"")</f>
        <v/>
      </c>
      <c r="T305" s="34" t="str">
        <f>IFERROR(__xludf.DUMMYFUNCTION("IF(IF(T$1="""","""",REGEXMATCH(LOWER($E305),XLOOKUP(T$1,Metadata!$A$2:$A1000,Metadata!$B$2:$B1000))),T$1,"""")"),"")</f>
        <v/>
      </c>
      <c r="U305" s="34" t="str">
        <f>IFERROR(__xludf.DUMMYFUNCTION("IF(IF(U$1="""","""",REGEXMATCH(LOWER($E305),XLOOKUP(U$1,Metadata!$A$2:$A1000,Metadata!$B$2:$B1000))),U$1,"""")"),"")</f>
        <v/>
      </c>
      <c r="V305" s="34" t="str">
        <f>IFERROR(__xludf.DUMMYFUNCTION("IF(IF(V$1="""","""",REGEXMATCH(LOWER($E305),XLOOKUP(V$1,Metadata!$A$2:$A1000,Metadata!$B$2:$B1000))),V$1,"""")"),"")</f>
        <v/>
      </c>
      <c r="W305" s="34" t="str">
        <f>IFERROR(__xludf.DUMMYFUNCTION("IF(IF(W$1="""","""",REGEXMATCH(LOWER($E305),XLOOKUP(W$1,Metadata!$A$2:$A1000,Metadata!$B$2:$B1000))),W$1,"""")"),"")</f>
        <v/>
      </c>
      <c r="X305" s="34" t="str">
        <f>IFERROR(__xludf.DUMMYFUNCTION("IF(IF(X$1="""","""",REGEXMATCH(LOWER($E305),XLOOKUP(X$1,Metadata!$A$2:$A1000,Metadata!$B$2:$B1000))),X$1,"""")"),"Ambush")</f>
        <v>Ambush</v>
      </c>
      <c r="Y305" s="34" t="str">
        <f>IFERROR(__xludf.DUMMYFUNCTION("IF(IF(Y$1="""","""",REGEXMATCH(LOWER($E305),XLOOKUP(Y$1,Metadata!$A$2:$A1000,Metadata!$B$2:$B1000))),Y$1,"""")"),"")</f>
        <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I306">XLOOKUP($A306,Cards!$A$2:$A1000,Cards!$B$2:$I1000,"")</f>
        <v>Void</v>
      </c>
      <c r="C306" s="34">
        <v>2.0</v>
      </c>
      <c r="D306" s="34" t="s">
        <v>1848</v>
      </c>
      <c r="E306" s="34" t="s">
        <v>1849</v>
      </c>
      <c r="F306" s="34" t="s">
        <v>1850</v>
      </c>
      <c r="G306" s="34">
        <v>3.0</v>
      </c>
      <c r="H306" s="34" t="s">
        <v>1795</v>
      </c>
      <c r="I306" s="34" t="s">
        <v>70</v>
      </c>
      <c r="J306" s="34">
        <f>IFERROR(__xludf.DUMMYFUNCTION("LEN(REGEXREPLACE(XLOOKUP($A306,Cards!$A$2:$A1000,Cards!$H$2:$H1000,""""),"",\s"",""""))"),2.0)</f>
        <v>2</v>
      </c>
      <c r="K306" s="34" t="str">
        <f t="shared" si="1"/>
        <v>               </v>
      </c>
      <c r="L306" s="34" t="str">
        <f>IFERROR(__xludf.DUMMYFUNCTION("IF(IF(L$1="""","""",REGEXMATCH(LOWER($E306),XLOOKUP(L$1,Metadata!$A$2:$A1000,Metadata!$B$2:$B1000))),L$1,"""")"),"")</f>
        <v/>
      </c>
      <c r="M306" s="34" t="str">
        <f>IFERROR(__xludf.DUMMYFUNCTION("IF(IF(M$1="""","""",REGEXMATCH(LOWER($E306),XLOOKUP(M$1,Metadata!$A$2:$A1000,Metadata!$B$2:$B1000))),M$1,"""")"),"")</f>
        <v/>
      </c>
      <c r="N306" s="34" t="str">
        <f>IFERROR(__xludf.DUMMYFUNCTION("IF(IF(N$1="""","""",REGEXMATCH(LOWER($E306),XLOOKUP(N$1,Metadata!$A$2:$A1000,Metadata!$B$2:$B1000))),N$1,"""")"),"")</f>
        <v/>
      </c>
      <c r="O306" s="34" t="str">
        <f>IFERROR(__xludf.DUMMYFUNCTION("IF(IF(O$1="""","""",REGEXMATCH(LOWER($E306),XLOOKUP(O$1,Metadata!$A$2:$A1000,Metadata!$B$2:$B1000))),O$1,"""")"),"")</f>
        <v/>
      </c>
      <c r="P306" s="34" t="str">
        <f>IFERROR(__xludf.DUMMYFUNCTION("IF(IF(P$1="""","""",REGEXMATCH(LOWER($E306),XLOOKUP(P$1,Metadata!$A$2:$A1000,Metadata!$B$2:$B1000))),P$1,"""")"),"")</f>
        <v/>
      </c>
      <c r="Q306" s="34" t="str">
        <f>IFERROR(__xludf.DUMMYFUNCTION("IF(IF(Q$1="""","""",REGEXMATCH(LOWER($E306),XLOOKUP(Q$1,Metadata!$A$2:$A1000,Metadata!$B$2:$B1000))),Q$1,"""")"),"")</f>
        <v/>
      </c>
      <c r="R306" s="34" t="str">
        <f>IFERROR(__xludf.DUMMYFUNCTION("IF(IF(R$1="""","""",REGEXMATCH(LOWER($E306),XLOOKUP(R$1,Metadata!$A$2:$A1000,Metadata!$B$2:$B1000))),R$1,"""")"),"")</f>
        <v/>
      </c>
      <c r="S306" s="34" t="str">
        <f>IFERROR(__xludf.DUMMYFUNCTION("IF(IF(S$1="""","""",REGEXMATCH(LOWER($E306),XLOOKUP(S$1,Metadata!$A$2:$A1000,Metadata!$B$2:$B1000))),S$1,"""")"),"")</f>
        <v/>
      </c>
      <c r="T306" s="34" t="str">
        <f>IFERROR(__xludf.DUMMYFUNCTION("IF(IF(T$1="""","""",REGEXMATCH(LOWER($E306),XLOOKUP(T$1,Metadata!$A$2:$A1000,Metadata!$B$2:$B1000))),T$1,"""")"),"")</f>
        <v/>
      </c>
      <c r="U306" s="34" t="str">
        <f>IFERROR(__xludf.DUMMYFUNCTION("IF(IF(U$1="""","""",REGEXMATCH(LOWER($E306),XLOOKUP(U$1,Metadata!$A$2:$A1000,Metadata!$B$2:$B1000))),U$1,"""")"),"")</f>
        <v/>
      </c>
      <c r="V306" s="34" t="str">
        <f>IFERROR(__xludf.DUMMYFUNCTION("IF(IF(V$1="""","""",REGEXMATCH(LOWER($E306),XLOOKUP(V$1,Metadata!$A$2:$A1000,Metadata!$B$2:$B1000))),V$1,"""")"),"")</f>
        <v/>
      </c>
      <c r="W306" s="34" t="str">
        <f>IFERROR(__xludf.DUMMYFUNCTION("IF(IF(W$1="""","""",REGEXMATCH(LOWER($E306),XLOOKUP(W$1,Metadata!$A$2:$A1000,Metadata!$B$2:$B1000))),W$1,"""")"),"")</f>
        <v/>
      </c>
      <c r="X306" s="34" t="str">
        <f>IFERROR(__xludf.DUMMYFUNCTION("IF(IF(X$1="""","""",REGEXMATCH(LOWER($E306),XLOOKUP(X$1,Metadata!$A$2:$A1000,Metadata!$B$2:$B1000))),X$1,"""")"),"")</f>
        <v/>
      </c>
      <c r="Y306" s="34" t="str">
        <f>IFERROR(__xludf.DUMMYFUNCTION("IF(IF(Y$1="""","""",REGEXMATCH(LOWER($E306),XLOOKUP(Y$1,Metadata!$A$2:$A1000,Metadata!$B$2:$B1000))),Y$1,"""")"),"")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I307">XLOOKUP($A307,Cards!$A$2:$A1000,Cards!$B$2:$I1000,"")</f>
        <v>Nature</v>
      </c>
      <c r="C307" s="34">
        <v>1.0</v>
      </c>
      <c r="D307" s="34" t="s">
        <v>1852</v>
      </c>
      <c r="E307" s="34" t="s">
        <v>1853</v>
      </c>
      <c r="F307" s="34" t="s">
        <v>1854</v>
      </c>
      <c r="G307" s="34">
        <v>1.0</v>
      </c>
      <c r="H307" s="34" t="s">
        <v>1503</v>
      </c>
      <c r="I307" s="34" t="s">
        <v>26</v>
      </c>
      <c r="J307" s="34">
        <f>IFERROR(__xludf.DUMMYFUNCTION("LEN(REGEXREPLACE(XLOOKUP($A307,Cards!$A$2:$A1000,Cards!$H$2:$H1000,""""),"",\s"",""""))"),2.0)</f>
        <v>2</v>
      </c>
      <c r="K307" s="34" t="str">
        <f t="shared" si="1"/>
        <v>   Nature            </v>
      </c>
      <c r="L307" s="34" t="str">
        <f>IFERROR(__xludf.DUMMYFUNCTION("IF(IF(L$1="""","""",REGEXMATCH(LOWER($E307),XLOOKUP(L$1,Metadata!$A$2:$A1000,Metadata!$B$2:$B1000))),L$1,"""")"),"")</f>
        <v/>
      </c>
      <c r="M307" s="34" t="str">
        <f>IFERROR(__xludf.DUMMYFUNCTION("IF(IF(M$1="""","""",REGEXMATCH(LOWER($E307),XLOOKUP(M$1,Metadata!$A$2:$A1000,Metadata!$B$2:$B1000))),M$1,"""")"),"")</f>
        <v/>
      </c>
      <c r="N307" s="34" t="str">
        <f>IFERROR(__xludf.DUMMYFUNCTION("IF(IF(N$1="""","""",REGEXMATCH(LOWER($E307),XLOOKUP(N$1,Metadata!$A$2:$A1000,Metadata!$B$2:$B1000))),N$1,"""")"),"")</f>
        <v/>
      </c>
      <c r="O307" s="34" t="str">
        <f>IFERROR(__xludf.DUMMYFUNCTION("IF(IF(O$1="""","""",REGEXMATCH(LOWER($E307),XLOOKUP(O$1,Metadata!$A$2:$A1000,Metadata!$B$2:$B1000))),O$1,"""")"),"Nature")</f>
        <v>Nature</v>
      </c>
      <c r="P307" s="34" t="str">
        <f>IFERROR(__xludf.DUMMYFUNCTION("IF(IF(P$1="""","""",REGEXMATCH(LOWER($E307),XLOOKUP(P$1,Metadata!$A$2:$A1000,Metadata!$B$2:$B1000))),P$1,"""")"),"")</f>
        <v/>
      </c>
      <c r="Q307" s="34" t="str">
        <f>IFERROR(__xludf.DUMMYFUNCTION("IF(IF(Q$1="""","""",REGEXMATCH(LOWER($E307),XLOOKUP(Q$1,Metadata!$A$2:$A1000,Metadata!$B$2:$B1000))),Q$1,"""")"),"")</f>
        <v/>
      </c>
      <c r="R307" s="34" t="str">
        <f>IFERROR(__xludf.DUMMYFUNCTION("IF(IF(R$1="""","""",REGEXMATCH(LOWER($E307),XLOOKUP(R$1,Metadata!$A$2:$A1000,Metadata!$B$2:$B1000))),R$1,"""")"),"")</f>
        <v/>
      </c>
      <c r="S307" s="34" t="str">
        <f>IFERROR(__xludf.DUMMYFUNCTION("IF(IF(S$1="""","""",REGEXMATCH(LOWER($E307),XLOOKUP(S$1,Metadata!$A$2:$A1000,Metadata!$B$2:$B1000))),S$1,"""")"),"")</f>
        <v/>
      </c>
      <c r="T307" s="34" t="str">
        <f>IFERROR(__xludf.DUMMYFUNCTION("IF(IF(T$1="""","""",REGEXMATCH(LOWER($E307),XLOOKUP(T$1,Metadata!$A$2:$A1000,Metadata!$B$2:$B1000))),T$1,"""")"),"")</f>
        <v/>
      </c>
      <c r="U307" s="34" t="str">
        <f>IFERROR(__xludf.DUMMYFUNCTION("IF(IF(U$1="""","""",REGEXMATCH(LOWER($E307),XLOOKUP(U$1,Metadata!$A$2:$A1000,Metadata!$B$2:$B1000))),U$1,"""")"),"")</f>
        <v/>
      </c>
      <c r="V307" s="34" t="str">
        <f>IFERROR(__xludf.DUMMYFUNCTION("IF(IF(V$1="""","""",REGEXMATCH(LOWER($E307),XLOOKUP(V$1,Metadata!$A$2:$A1000,Metadata!$B$2:$B1000))),V$1,"""")"),"")</f>
        <v/>
      </c>
      <c r="W307" s="34" t="str">
        <f>IFERROR(__xludf.DUMMYFUNCTION("IF(IF(W$1="""","""",REGEXMATCH(LOWER($E307),XLOOKUP(W$1,Metadata!$A$2:$A1000,Metadata!$B$2:$B1000))),W$1,"""")"),"")</f>
        <v/>
      </c>
      <c r="X307" s="34" t="str">
        <f>IFERROR(__xludf.DUMMYFUNCTION("IF(IF(X$1="""","""",REGEXMATCH(LOWER($E307),XLOOKUP(X$1,Metadata!$A$2:$A1000,Metadata!$B$2:$B1000))),X$1,"""")"),"")</f>
        <v/>
      </c>
      <c r="Y307" s="34" t="str">
        <f>IFERROR(__xludf.DUMMYFUNCTION("IF(IF(Y$1="""","""",REGEXMATCH(LOWER($E307),XLOOKUP(Y$1,Metadata!$A$2:$A1000,Metadata!$B$2:$B1000))),Y$1,"""")"),"")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I308">XLOOKUP($A308,Cards!$A$2:$A1000,Cards!$B$2:$I1000,"")</f>
        <v>Nature</v>
      </c>
      <c r="C308" s="34">
        <v>1.0</v>
      </c>
      <c r="D308" s="34" t="s">
        <v>297</v>
      </c>
      <c r="E308" s="34" t="s">
        <v>1856</v>
      </c>
      <c r="F308" s="34" t="s">
        <v>1857</v>
      </c>
      <c r="G308" s="34">
        <v>1.0</v>
      </c>
      <c r="H308" s="34" t="s">
        <v>1530</v>
      </c>
      <c r="I308" s="34" t="s">
        <v>26</v>
      </c>
      <c r="J308" s="34">
        <f>IFERROR(__xludf.DUMMYFUNCTION("LEN(REGEXREPLACE(XLOOKUP($A308,Cards!$A$2:$A1000,Cards!$H$2:$H1000,""""),"",\s"",""""))"),3.0)</f>
        <v>3</v>
      </c>
      <c r="K308" s="34" t="str">
        <f t="shared" si="1"/>
        <v>   Nature            </v>
      </c>
      <c r="L308" s="34" t="str">
        <f>IFERROR(__xludf.DUMMYFUNCTION("IF(IF(L$1="""","""",REGEXMATCH(LOWER($E308),XLOOKUP(L$1,Metadata!$A$2:$A1000,Metadata!$B$2:$B1000))),L$1,"""")"),"")</f>
        <v/>
      </c>
      <c r="M308" s="34" t="str">
        <f>IFERROR(__xludf.DUMMYFUNCTION("IF(IF(M$1="""","""",REGEXMATCH(LOWER($E308),XLOOKUP(M$1,Metadata!$A$2:$A1000,Metadata!$B$2:$B1000))),M$1,"""")"),"")</f>
        <v/>
      </c>
      <c r="N308" s="34" t="str">
        <f>IFERROR(__xludf.DUMMYFUNCTION("IF(IF(N$1="""","""",REGEXMATCH(LOWER($E308),XLOOKUP(N$1,Metadata!$A$2:$A1000,Metadata!$B$2:$B1000))),N$1,"""")"),"")</f>
        <v/>
      </c>
      <c r="O308" s="34" t="str">
        <f>IFERROR(__xludf.DUMMYFUNCTION("IF(IF(O$1="""","""",REGEXMATCH(LOWER($E308),XLOOKUP(O$1,Metadata!$A$2:$A1000,Metadata!$B$2:$B1000))),O$1,"""")"),"Nature")</f>
        <v>Nature</v>
      </c>
      <c r="P308" s="34" t="str">
        <f>IFERROR(__xludf.DUMMYFUNCTION("IF(IF(P$1="""","""",REGEXMATCH(LOWER($E308),XLOOKUP(P$1,Metadata!$A$2:$A1000,Metadata!$B$2:$B1000))),P$1,"""")"),"")</f>
        <v/>
      </c>
      <c r="Q308" s="34" t="str">
        <f>IFERROR(__xludf.DUMMYFUNCTION("IF(IF(Q$1="""","""",REGEXMATCH(LOWER($E308),XLOOKUP(Q$1,Metadata!$A$2:$A1000,Metadata!$B$2:$B1000))),Q$1,"""")"),"")</f>
        <v/>
      </c>
      <c r="R308" s="34" t="str">
        <f>IFERROR(__xludf.DUMMYFUNCTION("IF(IF(R$1="""","""",REGEXMATCH(LOWER($E308),XLOOKUP(R$1,Metadata!$A$2:$A1000,Metadata!$B$2:$B1000))),R$1,"""")"),"")</f>
        <v/>
      </c>
      <c r="S308" s="34" t="str">
        <f>IFERROR(__xludf.DUMMYFUNCTION("IF(IF(S$1="""","""",REGEXMATCH(LOWER($E308),XLOOKUP(S$1,Metadata!$A$2:$A1000,Metadata!$B$2:$B1000))),S$1,"""")"),"")</f>
        <v/>
      </c>
      <c r="T308" s="34" t="str">
        <f>IFERROR(__xludf.DUMMYFUNCTION("IF(IF(T$1="""","""",REGEXMATCH(LOWER($E308),XLOOKUP(T$1,Metadata!$A$2:$A1000,Metadata!$B$2:$B1000))),T$1,"""")"),"")</f>
        <v/>
      </c>
      <c r="U308" s="34" t="str">
        <f>IFERROR(__xludf.DUMMYFUNCTION("IF(IF(U$1="""","""",REGEXMATCH(LOWER($E308),XLOOKUP(U$1,Metadata!$A$2:$A1000,Metadata!$B$2:$B1000))),U$1,"""")"),"")</f>
        <v/>
      </c>
      <c r="V308" s="34" t="str">
        <f>IFERROR(__xludf.DUMMYFUNCTION("IF(IF(V$1="""","""",REGEXMATCH(LOWER($E308),XLOOKUP(V$1,Metadata!$A$2:$A1000,Metadata!$B$2:$B1000))),V$1,"""")"),"")</f>
        <v/>
      </c>
      <c r="W308" s="34" t="str">
        <f>IFERROR(__xludf.DUMMYFUNCTION("IF(IF(W$1="""","""",REGEXMATCH(LOWER($E308),XLOOKUP(W$1,Metadata!$A$2:$A1000,Metadata!$B$2:$B1000))),W$1,"""")"),"")</f>
        <v/>
      </c>
      <c r="X308" s="34" t="str">
        <f>IFERROR(__xludf.DUMMYFUNCTION("IF(IF(X$1="""","""",REGEXMATCH(LOWER($E308),XLOOKUP(X$1,Metadata!$A$2:$A1000,Metadata!$B$2:$B1000))),X$1,"""")"),"")</f>
        <v/>
      </c>
      <c r="Y308" s="34" t="str">
        <f>IFERROR(__xludf.DUMMYFUNCTION("IF(IF(Y$1="""","""",REGEXMATCH(LOWER($E308),XLOOKUP(Y$1,Metadata!$A$2:$A1000,Metadata!$B$2:$B1000))),Y$1,"""")"),"")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I309">XLOOKUP($A309,Cards!$A$2:$A1000,Cards!$B$2:$I1000,"")</f>
        <v>Void</v>
      </c>
      <c r="C309" s="34">
        <v>2.0</v>
      </c>
      <c r="D309" s="34" t="s">
        <v>201</v>
      </c>
      <c r="E309" s="34" t="s">
        <v>1859</v>
      </c>
      <c r="F309" s="34" t="s">
        <v>1798</v>
      </c>
      <c r="G309" s="34">
        <v>1.0</v>
      </c>
      <c r="H309" s="34" t="s">
        <v>1791</v>
      </c>
      <c r="I309" s="34" t="s">
        <v>26</v>
      </c>
      <c r="J309" s="34">
        <f>IFERROR(__xludf.DUMMYFUNCTION("LEN(REGEXREPLACE(XLOOKUP($A309,Cards!$A$2:$A1000,Cards!$H$2:$H1000,""""),"",\s"",""""))"),3.0)</f>
        <v>3</v>
      </c>
      <c r="K309" s="34" t="str">
        <f t="shared" si="1"/>
        <v>               </v>
      </c>
      <c r="L309" s="34" t="str">
        <f>IFERROR(__xludf.DUMMYFUNCTION("IF(IF(L$1="""","""",REGEXMATCH(LOWER($E309),XLOOKUP(L$1,Metadata!$A$2:$A1000,Metadata!$B$2:$B1000))),L$1,"""")"),"")</f>
        <v/>
      </c>
      <c r="M309" s="34" t="str">
        <f>IFERROR(__xludf.DUMMYFUNCTION("IF(IF(M$1="""","""",REGEXMATCH(LOWER($E309),XLOOKUP(M$1,Metadata!$A$2:$A1000,Metadata!$B$2:$B1000))),M$1,"""")"),"")</f>
        <v/>
      </c>
      <c r="N309" s="34" t="str">
        <f>IFERROR(__xludf.DUMMYFUNCTION("IF(IF(N$1="""","""",REGEXMATCH(LOWER($E309),XLOOKUP(N$1,Metadata!$A$2:$A1000,Metadata!$B$2:$B1000))),N$1,"""")"),"")</f>
        <v/>
      </c>
      <c r="O309" s="34" t="str">
        <f>IFERROR(__xludf.DUMMYFUNCTION("IF(IF(O$1="""","""",REGEXMATCH(LOWER($E309),XLOOKUP(O$1,Metadata!$A$2:$A1000,Metadata!$B$2:$B1000))),O$1,"""")"),"")</f>
        <v/>
      </c>
      <c r="P309" s="34" t="str">
        <f>IFERROR(__xludf.DUMMYFUNCTION("IF(IF(P$1="""","""",REGEXMATCH(LOWER($E309),XLOOKUP(P$1,Metadata!$A$2:$A1000,Metadata!$B$2:$B1000))),P$1,"""")"),"")</f>
        <v/>
      </c>
      <c r="Q309" s="34" t="str">
        <f>IFERROR(__xludf.DUMMYFUNCTION("IF(IF(Q$1="""","""",REGEXMATCH(LOWER($E309),XLOOKUP(Q$1,Metadata!$A$2:$A1000,Metadata!$B$2:$B1000))),Q$1,"""")"),"")</f>
        <v/>
      </c>
      <c r="R309" s="34" t="str">
        <f>IFERROR(__xludf.DUMMYFUNCTION("IF(IF(R$1="""","""",REGEXMATCH(LOWER($E309),XLOOKUP(R$1,Metadata!$A$2:$A1000,Metadata!$B$2:$B1000))),R$1,"""")"),"")</f>
        <v/>
      </c>
      <c r="S309" s="34" t="str">
        <f>IFERROR(__xludf.DUMMYFUNCTION("IF(IF(S$1="""","""",REGEXMATCH(LOWER($E309),XLOOKUP(S$1,Metadata!$A$2:$A1000,Metadata!$B$2:$B1000))),S$1,"""")"),"")</f>
        <v/>
      </c>
      <c r="T309" s="34" t="str">
        <f>IFERROR(__xludf.DUMMYFUNCTION("IF(IF(T$1="""","""",REGEXMATCH(LOWER($E309),XLOOKUP(T$1,Metadata!$A$2:$A1000,Metadata!$B$2:$B1000))),T$1,"""")"),"")</f>
        <v/>
      </c>
      <c r="U309" s="34" t="str">
        <f>IFERROR(__xludf.DUMMYFUNCTION("IF(IF(U$1="""","""",REGEXMATCH(LOWER($E309),XLOOKUP(U$1,Metadata!$A$2:$A1000,Metadata!$B$2:$B1000))),U$1,"""")"),"")</f>
        <v/>
      </c>
      <c r="V309" s="34" t="str">
        <f>IFERROR(__xludf.DUMMYFUNCTION("IF(IF(V$1="""","""",REGEXMATCH(LOWER($E309),XLOOKUP(V$1,Metadata!$A$2:$A1000,Metadata!$B$2:$B1000))),V$1,"""")"),"")</f>
        <v/>
      </c>
      <c r="W309" s="34" t="str">
        <f>IFERROR(__xludf.DUMMYFUNCTION("IF(IF(W$1="""","""",REGEXMATCH(LOWER($E309),XLOOKUP(W$1,Metadata!$A$2:$A1000,Metadata!$B$2:$B1000))),W$1,"""")"),"")</f>
        <v/>
      </c>
      <c r="X309" s="34" t="str">
        <f>IFERROR(__xludf.DUMMYFUNCTION("IF(IF(X$1="""","""",REGEXMATCH(LOWER($E309),XLOOKUP(X$1,Metadata!$A$2:$A1000,Metadata!$B$2:$B1000))),X$1,"""")"),"")</f>
        <v/>
      </c>
      <c r="Y309" s="34" t="str">
        <f>IFERROR(__xludf.DUMMYFUNCTION("IF(IF(Y$1="""","""",REGEXMATCH(LOWER($E309),XLOOKUP(Y$1,Metadata!$A$2:$A1000,Metadata!$B$2:$B1000))),Y$1,"""")"),"")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I310">XLOOKUP($A310,Cards!$A$2:$A1000,Cards!$B$2:$I1000,"")</f>
        <v>Void</v>
      </c>
      <c r="C310" s="34">
        <v>2.0</v>
      </c>
      <c r="D310" s="34" t="s">
        <v>1748</v>
      </c>
      <c r="E310" s="34" t="s">
        <v>1861</v>
      </c>
      <c r="F310" s="34" t="s">
        <v>1862</v>
      </c>
      <c r="G310" s="34">
        <v>1.0</v>
      </c>
      <c r="H310" s="34" t="s">
        <v>1841</v>
      </c>
      <c r="I310" s="34" t="s">
        <v>70</v>
      </c>
      <c r="J310" s="34">
        <f>IFERROR(__xludf.DUMMYFUNCTION("LEN(REGEXREPLACE(XLOOKUP($A310,Cards!$A$2:$A1000,Cards!$H$2:$H1000,""""),"",\s"",""""))"),4.0)</f>
        <v>4</v>
      </c>
      <c r="K310" s="34" t="str">
        <f t="shared" si="1"/>
        <v>            Ambush   </v>
      </c>
      <c r="L310" s="34" t="str">
        <f>IFERROR(__xludf.DUMMYFUNCTION("IF(IF(L$1="""","""",REGEXMATCH(LOWER($E310),XLOOKUP(L$1,Metadata!$A$2:$A1000,Metadata!$B$2:$B1000))),L$1,"""")"),"")</f>
        <v/>
      </c>
      <c r="M310" s="34" t="str">
        <f>IFERROR(__xludf.DUMMYFUNCTION("IF(IF(M$1="""","""",REGEXMATCH(LOWER($E310),XLOOKUP(M$1,Metadata!$A$2:$A1000,Metadata!$B$2:$B1000))),M$1,"""")"),"")</f>
        <v/>
      </c>
      <c r="N310" s="34" t="str">
        <f>IFERROR(__xludf.DUMMYFUNCTION("IF(IF(N$1="""","""",REGEXMATCH(LOWER($E310),XLOOKUP(N$1,Metadata!$A$2:$A1000,Metadata!$B$2:$B1000))),N$1,"""")"),"")</f>
        <v/>
      </c>
      <c r="O310" s="34" t="str">
        <f>IFERROR(__xludf.DUMMYFUNCTION("IF(IF(O$1="""","""",REGEXMATCH(LOWER($E310),XLOOKUP(O$1,Metadata!$A$2:$A1000,Metadata!$B$2:$B1000))),O$1,"""")"),"")</f>
        <v/>
      </c>
      <c r="P310" s="34" t="str">
        <f>IFERROR(__xludf.DUMMYFUNCTION("IF(IF(P$1="""","""",REGEXMATCH(LOWER($E310),XLOOKUP(P$1,Metadata!$A$2:$A1000,Metadata!$B$2:$B1000))),P$1,"""")"),"")</f>
        <v/>
      </c>
      <c r="Q310" s="34" t="str">
        <f>IFERROR(__xludf.DUMMYFUNCTION("IF(IF(Q$1="""","""",REGEXMATCH(LOWER($E310),XLOOKUP(Q$1,Metadata!$A$2:$A1000,Metadata!$B$2:$B1000))),Q$1,"""")"),"")</f>
        <v/>
      </c>
      <c r="R310" s="34" t="str">
        <f>IFERROR(__xludf.DUMMYFUNCTION("IF(IF(R$1="""","""",REGEXMATCH(LOWER($E310),XLOOKUP(R$1,Metadata!$A$2:$A1000,Metadata!$B$2:$B1000))),R$1,"""")"),"")</f>
        <v/>
      </c>
      <c r="S310" s="34" t="str">
        <f>IFERROR(__xludf.DUMMYFUNCTION("IF(IF(S$1="""","""",REGEXMATCH(LOWER($E310),XLOOKUP(S$1,Metadata!$A$2:$A1000,Metadata!$B$2:$B1000))),S$1,"""")"),"")</f>
        <v/>
      </c>
      <c r="T310" s="34" t="str">
        <f>IFERROR(__xludf.DUMMYFUNCTION("IF(IF(T$1="""","""",REGEXMATCH(LOWER($E310),XLOOKUP(T$1,Metadata!$A$2:$A1000,Metadata!$B$2:$B1000))),T$1,"""")"),"")</f>
        <v/>
      </c>
      <c r="U310" s="34" t="str">
        <f>IFERROR(__xludf.DUMMYFUNCTION("IF(IF(U$1="""","""",REGEXMATCH(LOWER($E310),XLOOKUP(U$1,Metadata!$A$2:$A1000,Metadata!$B$2:$B1000))),U$1,"""")"),"")</f>
        <v/>
      </c>
      <c r="V310" s="34" t="str">
        <f>IFERROR(__xludf.DUMMYFUNCTION("IF(IF(V$1="""","""",REGEXMATCH(LOWER($E310),XLOOKUP(V$1,Metadata!$A$2:$A1000,Metadata!$B$2:$B1000))),V$1,"""")"),"")</f>
        <v/>
      </c>
      <c r="W310" s="34" t="str">
        <f>IFERROR(__xludf.DUMMYFUNCTION("IF(IF(W$1="""","""",REGEXMATCH(LOWER($E310),XLOOKUP(W$1,Metadata!$A$2:$A1000,Metadata!$B$2:$B1000))),W$1,"""")"),"")</f>
        <v/>
      </c>
      <c r="X310" s="34" t="str">
        <f>IFERROR(__xludf.DUMMYFUNCTION("IF(IF(X$1="""","""",REGEXMATCH(LOWER($E310),XLOOKUP(X$1,Metadata!$A$2:$A1000,Metadata!$B$2:$B1000))),X$1,"""")"),"Ambush")</f>
        <v>Ambush</v>
      </c>
      <c r="Y310" s="34" t="str">
        <f>IFERROR(__xludf.DUMMYFUNCTION("IF(IF(Y$1="""","""",REGEXMATCH(LOWER($E310),XLOOKUP(Y$1,Metadata!$A$2:$A1000,Metadata!$B$2:$B1000))),Y$1,"""")"),"")</f>
        <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I311">XLOOKUP($A311,Cards!$A$2:$A1000,Cards!$B$2:$I1000,"")</f>
        <v>Nature</v>
      </c>
      <c r="C311" s="34">
        <v>1.0</v>
      </c>
      <c r="D311" s="34" t="s">
        <v>1717</v>
      </c>
      <c r="E311" s="34" t="s">
        <v>1864</v>
      </c>
      <c r="F311" s="34" t="s">
        <v>1865</v>
      </c>
      <c r="G311" s="34">
        <v>2.0</v>
      </c>
      <c r="H311" s="34" t="s">
        <v>1526</v>
      </c>
      <c r="I311" s="34" t="s">
        <v>70</v>
      </c>
      <c r="J311" s="34">
        <f>IFERROR(__xludf.DUMMYFUNCTION("LEN(REGEXREPLACE(XLOOKUP($A311,Cards!$A$2:$A1000,Cards!$H$2:$H1000,""""),"",\s"",""""))"),4.0)</f>
        <v>4</v>
      </c>
      <c r="K311" s="34" t="str">
        <f t="shared" si="1"/>
        <v>     Unearth  Control     Ambush   </v>
      </c>
      <c r="L311" s="34" t="str">
        <f>IFERROR(__xludf.DUMMYFUNCTION("IF(IF(L$1="""","""",REGEXMATCH(LOWER($E311),XLOOKUP(L$1,Metadata!$A$2:$A1000,Metadata!$B$2:$B1000))),L$1,"""")"),"")</f>
        <v/>
      </c>
      <c r="M311" s="34" t="str">
        <f>IFERROR(__xludf.DUMMYFUNCTION("IF(IF(M$1="""","""",REGEXMATCH(LOWER($E311),XLOOKUP(M$1,Metadata!$A$2:$A1000,Metadata!$B$2:$B1000))),M$1,"""")"),"")</f>
        <v/>
      </c>
      <c r="N311" s="34" t="str">
        <f>IFERROR(__xludf.DUMMYFUNCTION("IF(IF(N$1="""","""",REGEXMATCH(LOWER($E311),XLOOKUP(N$1,Metadata!$A$2:$A1000,Metadata!$B$2:$B1000))),N$1,"""")"),"")</f>
        <v/>
      </c>
      <c r="O311" s="34" t="str">
        <f>IFERROR(__xludf.DUMMYFUNCTION("IF(IF(O$1="""","""",REGEXMATCH(LOWER($E311),XLOOKUP(O$1,Metadata!$A$2:$A1000,Metadata!$B$2:$B1000))),O$1,"""")"),"")</f>
        <v/>
      </c>
      <c r="P311" s="34" t="str">
        <f>IFERROR(__xludf.DUMMYFUNCTION("IF(IF(P$1="""","""",REGEXMATCH(LOWER($E311),XLOOKUP(P$1,Metadata!$A$2:$A1000,Metadata!$B$2:$B1000))),P$1,"""")"),"")</f>
        <v/>
      </c>
      <c r="Q311" s="34" t="str">
        <f>IFERROR(__xludf.DUMMYFUNCTION("IF(IF(Q$1="""","""",REGEXMATCH(LOWER($E311),XLOOKUP(Q$1,Metadata!$A$2:$A1000,Metadata!$B$2:$B1000))),Q$1,"""")"),"Unearth")</f>
        <v>Unearth</v>
      </c>
      <c r="R311" s="34" t="str">
        <f>IFERROR(__xludf.DUMMYFUNCTION("IF(IF(R$1="""","""",REGEXMATCH(LOWER($E311),XLOOKUP(R$1,Metadata!$A$2:$A1000,Metadata!$B$2:$B1000))),R$1,"""")"),"")</f>
        <v/>
      </c>
      <c r="S311" s="34" t="str">
        <f>IFERROR(__xludf.DUMMYFUNCTION("IF(IF(S$1="""","""",REGEXMATCH(LOWER($E311),XLOOKUP(S$1,Metadata!$A$2:$A1000,Metadata!$B$2:$B1000))),S$1,"""")"),"Control")</f>
        <v>Control</v>
      </c>
      <c r="T311" s="34" t="str">
        <f>IFERROR(__xludf.DUMMYFUNCTION("IF(IF(T$1="""","""",REGEXMATCH(LOWER($E311),XLOOKUP(T$1,Metadata!$A$2:$A1000,Metadata!$B$2:$B1000))),T$1,"""")"),"")</f>
        <v/>
      </c>
      <c r="U311" s="34" t="str">
        <f>IFERROR(__xludf.DUMMYFUNCTION("IF(IF(U$1="""","""",REGEXMATCH(LOWER($E311),XLOOKUP(U$1,Metadata!$A$2:$A1000,Metadata!$B$2:$B1000))),U$1,"""")"),"")</f>
        <v/>
      </c>
      <c r="V311" s="34" t="str">
        <f>IFERROR(__xludf.DUMMYFUNCTION("IF(IF(V$1="""","""",REGEXMATCH(LOWER($E311),XLOOKUP(V$1,Metadata!$A$2:$A1000,Metadata!$B$2:$B1000))),V$1,"""")"),"")</f>
        <v/>
      </c>
      <c r="W311" s="34" t="str">
        <f>IFERROR(__xludf.DUMMYFUNCTION("IF(IF(W$1="""","""",REGEXMATCH(LOWER($E311),XLOOKUP(W$1,Metadata!$A$2:$A1000,Metadata!$B$2:$B1000))),W$1,"""")"),"")</f>
        <v/>
      </c>
      <c r="X311" s="34" t="str">
        <f>IFERROR(__xludf.DUMMYFUNCTION("IF(IF(X$1="""","""",REGEXMATCH(LOWER($E311),XLOOKUP(X$1,Metadata!$A$2:$A1000,Metadata!$B$2:$B1000))),X$1,"""")"),"Ambush")</f>
        <v>Ambush</v>
      </c>
      <c r="Y311" s="34" t="str">
        <f>IFERROR(__xludf.DUMMYFUNCTION("IF(IF(Y$1="""","""",REGEXMATCH(LOWER($E311),XLOOKUP(Y$1,Metadata!$A$2:$A1000,Metadata!$B$2:$B1000))),Y$1,"""")"),"")</f>
        <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I312">XLOOKUP($A312,Cards!$A$2:$A1000,Cards!$B$2:$I1000,"")</f>
        <v>Nature</v>
      </c>
      <c r="C312" s="34">
        <v>1.0</v>
      </c>
      <c r="D312" s="34" t="s">
        <v>1867</v>
      </c>
      <c r="E312" s="34" t="s">
        <v>1868</v>
      </c>
      <c r="F312" s="34" t="s">
        <v>1869</v>
      </c>
      <c r="G312" s="34">
        <v>4.0</v>
      </c>
      <c r="H312" s="34" t="s">
        <v>1870</v>
      </c>
      <c r="I312" s="34" t="s">
        <v>32</v>
      </c>
      <c r="J312" s="34">
        <f>IFERROR(__xludf.DUMMYFUNCTION("LEN(REGEXREPLACE(XLOOKUP($A312,Cards!$A$2:$A1000,Cards!$H$2:$H1000,""""),"",\s"",""""))"),2.0)</f>
        <v>2</v>
      </c>
      <c r="K312" s="34" t="str">
        <f t="shared" si="1"/>
        <v>      Ramp   Aggro      </v>
      </c>
      <c r="L312" s="34" t="str">
        <f>IFERROR(__xludf.DUMMYFUNCTION("IF(IF(L$1="""","""",REGEXMATCH(LOWER($E312),XLOOKUP(L$1,Metadata!$A$2:$A1000,Metadata!$B$2:$B1000))),L$1,"""")"),"")</f>
        <v/>
      </c>
      <c r="M312" s="34" t="str">
        <f>IFERROR(__xludf.DUMMYFUNCTION("IF(IF(M$1="""","""",REGEXMATCH(LOWER($E312),XLOOKUP(M$1,Metadata!$A$2:$A1000,Metadata!$B$2:$B1000))),M$1,"""")"),"")</f>
        <v/>
      </c>
      <c r="N312" s="34" t="str">
        <f>IFERROR(__xludf.DUMMYFUNCTION("IF(IF(N$1="""","""",REGEXMATCH(LOWER($E312),XLOOKUP(N$1,Metadata!$A$2:$A1000,Metadata!$B$2:$B1000))),N$1,"""")"),"")</f>
        <v/>
      </c>
      <c r="O312" s="34" t="str">
        <f>IFERROR(__xludf.DUMMYFUNCTION("IF(IF(O$1="""","""",REGEXMATCH(LOWER($E312),XLOOKUP(O$1,Metadata!$A$2:$A1000,Metadata!$B$2:$B1000))),O$1,"""")"),"")</f>
        <v/>
      </c>
      <c r="P312" s="34" t="str">
        <f>IFERROR(__xludf.DUMMYFUNCTION("IF(IF(P$1="""","""",REGEXMATCH(LOWER($E312),XLOOKUP(P$1,Metadata!$A$2:$A1000,Metadata!$B$2:$B1000))),P$1,"""")"),"")</f>
        <v/>
      </c>
      <c r="Q312" s="34" t="str">
        <f>IFERROR(__xludf.DUMMYFUNCTION("IF(IF(Q$1="""","""",REGEXMATCH(LOWER($E312),XLOOKUP(Q$1,Metadata!$A$2:$A1000,Metadata!$B$2:$B1000))),Q$1,"""")"),"")</f>
        <v/>
      </c>
      <c r="R312" s="34" t="str">
        <f>IFERROR(__xludf.DUMMYFUNCTION("IF(IF(R$1="""","""",REGEXMATCH(LOWER($E312),XLOOKUP(R$1,Metadata!$A$2:$A1000,Metadata!$B$2:$B1000))),R$1,"""")"),"Ramp")</f>
        <v>Ramp</v>
      </c>
      <c r="S312" s="34" t="str">
        <f>IFERROR(__xludf.DUMMYFUNCTION("IF(IF(S$1="""","""",REGEXMATCH(LOWER($E312),XLOOKUP(S$1,Metadata!$A$2:$A1000,Metadata!$B$2:$B1000))),S$1,"""")"),"")</f>
        <v/>
      </c>
      <c r="T312" s="34" t="str">
        <f>IFERROR(__xludf.DUMMYFUNCTION("IF(IF(T$1="""","""",REGEXMATCH(LOWER($E312),XLOOKUP(T$1,Metadata!$A$2:$A1000,Metadata!$B$2:$B1000))),T$1,"""")"),"")</f>
        <v/>
      </c>
      <c r="U312" s="34" t="str">
        <f>IFERROR(__xludf.DUMMYFUNCTION("IF(IF(U$1="""","""",REGEXMATCH(LOWER($E312),XLOOKUP(U$1,Metadata!$A$2:$A1000,Metadata!$B$2:$B1000))),U$1,"""")"),"Aggro")</f>
        <v>Aggro</v>
      </c>
      <c r="V312" s="34" t="str">
        <f>IFERROR(__xludf.DUMMYFUNCTION("IF(IF(V$1="""","""",REGEXMATCH(LOWER($E312),XLOOKUP(V$1,Metadata!$A$2:$A1000,Metadata!$B$2:$B1000))),V$1,"""")"),"")</f>
        <v/>
      </c>
      <c r="W312" s="34" t="str">
        <f>IFERROR(__xludf.DUMMYFUNCTION("IF(IF(W$1="""","""",REGEXMATCH(LOWER($E312),XLOOKUP(W$1,Metadata!$A$2:$A1000,Metadata!$B$2:$B1000))),W$1,"""")"),"")</f>
        <v/>
      </c>
      <c r="X312" s="34" t="str">
        <f>IFERROR(__xludf.DUMMYFUNCTION("IF(IF(X$1="""","""",REGEXMATCH(LOWER($E312),XLOOKUP(X$1,Metadata!$A$2:$A1000,Metadata!$B$2:$B1000))),X$1,"""")"),"")</f>
        <v/>
      </c>
      <c r="Y312" s="34" t="str">
        <f>IFERROR(__xludf.DUMMYFUNCTION("IF(IF(Y$1="""","""",REGEXMATCH(LOWER($E312),XLOOKUP(Y$1,Metadata!$A$2:$A1000,Metadata!$B$2:$B1000))),Y$1,"""")"),"")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I313">XLOOKUP($A313,Cards!$A$2:$A1000,Cards!$B$2:$I1000,"")</f>
        <v>Nature</v>
      </c>
      <c r="C313" s="34">
        <v>1.0</v>
      </c>
      <c r="D313" s="34" t="s">
        <v>1029</v>
      </c>
      <c r="E313" s="34" t="s">
        <v>1872</v>
      </c>
      <c r="F313" s="34" t="s">
        <v>1873</v>
      </c>
      <c r="G313" s="34">
        <v>6.0</v>
      </c>
      <c r="H313" s="34" t="s">
        <v>1526</v>
      </c>
      <c r="I313" s="34" t="s">
        <v>32</v>
      </c>
      <c r="J313" s="34">
        <f>IFERROR(__xludf.DUMMYFUNCTION("LEN(REGEXREPLACE(XLOOKUP($A313,Cards!$A$2:$A1000,Cards!$H$2:$H1000,""""),"",\s"",""""))"),4.0)</f>
        <v>4</v>
      </c>
      <c r="K313" s="34" t="str">
        <f t="shared" si="1"/>
        <v>      Ramp         </v>
      </c>
      <c r="L313" s="34" t="str">
        <f>IFERROR(__xludf.DUMMYFUNCTION("IF(IF(L$1="""","""",REGEXMATCH(LOWER($E313),XLOOKUP(L$1,Metadata!$A$2:$A1000,Metadata!$B$2:$B1000))),L$1,"""")"),"")</f>
        <v/>
      </c>
      <c r="M313" s="34" t="str">
        <f>IFERROR(__xludf.DUMMYFUNCTION("IF(IF(M$1="""","""",REGEXMATCH(LOWER($E313),XLOOKUP(M$1,Metadata!$A$2:$A1000,Metadata!$B$2:$B1000))),M$1,"""")"),"")</f>
        <v/>
      </c>
      <c r="N313" s="34" t="str">
        <f>IFERROR(__xludf.DUMMYFUNCTION("IF(IF(N$1="""","""",REGEXMATCH(LOWER($E313),XLOOKUP(N$1,Metadata!$A$2:$A1000,Metadata!$B$2:$B1000))),N$1,"""")"),"")</f>
        <v/>
      </c>
      <c r="O313" s="34" t="str">
        <f>IFERROR(__xludf.DUMMYFUNCTION("IF(IF(O$1="""","""",REGEXMATCH(LOWER($E313),XLOOKUP(O$1,Metadata!$A$2:$A1000,Metadata!$B$2:$B1000))),O$1,"""")"),"")</f>
        <v/>
      </c>
      <c r="P313" s="34" t="str">
        <f>IFERROR(__xludf.DUMMYFUNCTION("IF(IF(P$1="""","""",REGEXMATCH(LOWER($E313),XLOOKUP(P$1,Metadata!$A$2:$A1000,Metadata!$B$2:$B1000))),P$1,"""")"),"")</f>
        <v/>
      </c>
      <c r="Q313" s="34" t="str">
        <f>IFERROR(__xludf.DUMMYFUNCTION("IF(IF(Q$1="""","""",REGEXMATCH(LOWER($E313),XLOOKUP(Q$1,Metadata!$A$2:$A1000,Metadata!$B$2:$B1000))),Q$1,"""")"),"")</f>
        <v/>
      </c>
      <c r="R313" s="34" t="str">
        <f>IFERROR(__xludf.DUMMYFUNCTION("IF(IF(R$1="""","""",REGEXMATCH(LOWER($E313),XLOOKUP(R$1,Metadata!$A$2:$A1000,Metadata!$B$2:$B1000))),R$1,"""")"),"Ramp")</f>
        <v>Ramp</v>
      </c>
      <c r="S313" s="34" t="str">
        <f>IFERROR(__xludf.DUMMYFUNCTION("IF(IF(S$1="""","""",REGEXMATCH(LOWER($E313),XLOOKUP(S$1,Metadata!$A$2:$A1000,Metadata!$B$2:$B1000))),S$1,"""")"),"")</f>
        <v/>
      </c>
      <c r="T313" s="34" t="str">
        <f>IFERROR(__xludf.DUMMYFUNCTION("IF(IF(T$1="""","""",REGEXMATCH(LOWER($E313),XLOOKUP(T$1,Metadata!$A$2:$A1000,Metadata!$B$2:$B1000))),T$1,"""")"),"")</f>
        <v/>
      </c>
      <c r="U313" s="34" t="str">
        <f>IFERROR(__xludf.DUMMYFUNCTION("IF(IF(U$1="""","""",REGEXMATCH(LOWER($E313),XLOOKUP(U$1,Metadata!$A$2:$A1000,Metadata!$B$2:$B1000))),U$1,"""")"),"")</f>
        <v/>
      </c>
      <c r="V313" s="34" t="str">
        <f>IFERROR(__xludf.DUMMYFUNCTION("IF(IF(V$1="""","""",REGEXMATCH(LOWER($E313),XLOOKUP(V$1,Metadata!$A$2:$A1000,Metadata!$B$2:$B1000))),V$1,"""")"),"")</f>
        <v/>
      </c>
      <c r="W313" s="34" t="str">
        <f>IFERROR(__xludf.DUMMYFUNCTION("IF(IF(W$1="""","""",REGEXMATCH(LOWER($E313),XLOOKUP(W$1,Metadata!$A$2:$A1000,Metadata!$B$2:$B1000))),W$1,"""")"),"")</f>
        <v/>
      </c>
      <c r="X313" s="34" t="str">
        <f>IFERROR(__xludf.DUMMYFUNCTION("IF(IF(X$1="""","""",REGEXMATCH(LOWER($E313),XLOOKUP(X$1,Metadata!$A$2:$A1000,Metadata!$B$2:$B1000))),X$1,"""")"),"")</f>
        <v/>
      </c>
      <c r="Y313" s="34" t="str">
        <f>IFERROR(__xludf.DUMMYFUNCTION("IF(IF(Y$1="""","""",REGEXMATCH(LOWER($E313),XLOOKUP(Y$1,Metadata!$A$2:$A1000,Metadata!$B$2:$B1000))),Y$1,"""")"),"")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I314">XLOOKUP($A314,Cards!$A$2:$A1000,Cards!$B$2:$I1000,"")</f>
        <v>Nature</v>
      </c>
      <c r="C314" s="34">
        <v>1.0</v>
      </c>
      <c r="D314" s="34" t="s">
        <v>195</v>
      </c>
      <c r="E314" s="34" t="s">
        <v>1875</v>
      </c>
      <c r="F314" s="34" t="s">
        <v>1876</v>
      </c>
      <c r="G314" s="34">
        <v>4.0</v>
      </c>
      <c r="H314" s="34" t="s">
        <v>1819</v>
      </c>
      <c r="I314" s="34" t="s">
        <v>32</v>
      </c>
      <c r="J314" s="34">
        <f>IFERROR(__xludf.DUMMYFUNCTION("LEN(REGEXREPLACE(XLOOKUP($A314,Cards!$A$2:$A1000,Cards!$H$2:$H1000,""""),"",\s"",""""))"),5.0)</f>
        <v>5</v>
      </c>
      <c r="K314" s="34" t="str">
        <f t="shared" si="1"/>
        <v>         Aggro      </v>
      </c>
      <c r="L314" s="34" t="str">
        <f>IFERROR(__xludf.DUMMYFUNCTION("IF(IF(L$1="""","""",REGEXMATCH(LOWER($E314),XLOOKUP(L$1,Metadata!$A$2:$A1000,Metadata!$B$2:$B1000))),L$1,"""")"),"")</f>
        <v/>
      </c>
      <c r="M314" s="34" t="str">
        <f>IFERROR(__xludf.DUMMYFUNCTION("IF(IF(M$1="""","""",REGEXMATCH(LOWER($E314),XLOOKUP(M$1,Metadata!$A$2:$A1000,Metadata!$B$2:$B1000))),M$1,"""")"),"")</f>
        <v/>
      </c>
      <c r="N314" s="34" t="str">
        <f>IFERROR(__xludf.DUMMYFUNCTION("IF(IF(N$1="""","""",REGEXMATCH(LOWER($E314),XLOOKUP(N$1,Metadata!$A$2:$A1000,Metadata!$B$2:$B1000))),N$1,"""")"),"")</f>
        <v/>
      </c>
      <c r="O314" s="34" t="str">
        <f>IFERROR(__xludf.DUMMYFUNCTION("IF(IF(O$1="""","""",REGEXMATCH(LOWER($E314),XLOOKUP(O$1,Metadata!$A$2:$A1000,Metadata!$B$2:$B1000))),O$1,"""")"),"")</f>
        <v/>
      </c>
      <c r="P314" s="34" t="str">
        <f>IFERROR(__xludf.DUMMYFUNCTION("IF(IF(P$1="""","""",REGEXMATCH(LOWER($E314),XLOOKUP(P$1,Metadata!$A$2:$A1000,Metadata!$B$2:$B1000))),P$1,"""")"),"")</f>
        <v/>
      </c>
      <c r="Q314" s="34" t="str">
        <f>IFERROR(__xludf.DUMMYFUNCTION("IF(IF(Q$1="""","""",REGEXMATCH(LOWER($E314),XLOOKUP(Q$1,Metadata!$A$2:$A1000,Metadata!$B$2:$B1000))),Q$1,"""")"),"")</f>
        <v/>
      </c>
      <c r="R314" s="34" t="str">
        <f>IFERROR(__xludf.DUMMYFUNCTION("IF(IF(R$1="""","""",REGEXMATCH(LOWER($E314),XLOOKUP(R$1,Metadata!$A$2:$A1000,Metadata!$B$2:$B1000))),R$1,"""")"),"")</f>
        <v/>
      </c>
      <c r="S314" s="34" t="str">
        <f>IFERROR(__xludf.DUMMYFUNCTION("IF(IF(S$1="""","""",REGEXMATCH(LOWER($E314),XLOOKUP(S$1,Metadata!$A$2:$A1000,Metadata!$B$2:$B1000))),S$1,"""")"),"")</f>
        <v/>
      </c>
      <c r="T314" s="34" t="str">
        <f>IFERROR(__xludf.DUMMYFUNCTION("IF(IF(T$1="""","""",REGEXMATCH(LOWER($E314),XLOOKUP(T$1,Metadata!$A$2:$A1000,Metadata!$B$2:$B1000))),T$1,"""")"),"")</f>
        <v/>
      </c>
      <c r="U314" s="34" t="str">
        <f>IFERROR(__xludf.DUMMYFUNCTION("IF(IF(U$1="""","""",REGEXMATCH(LOWER($E314),XLOOKUP(U$1,Metadata!$A$2:$A1000,Metadata!$B$2:$B1000))),U$1,"""")"),"Aggro")</f>
        <v>Aggro</v>
      </c>
      <c r="V314" s="34" t="str">
        <f>IFERROR(__xludf.DUMMYFUNCTION("IF(IF(V$1="""","""",REGEXMATCH(LOWER($E314),XLOOKUP(V$1,Metadata!$A$2:$A1000,Metadata!$B$2:$B1000))),V$1,"""")"),"")</f>
        <v/>
      </c>
      <c r="W314" s="34" t="str">
        <f>IFERROR(__xludf.DUMMYFUNCTION("IF(IF(W$1="""","""",REGEXMATCH(LOWER($E314),XLOOKUP(W$1,Metadata!$A$2:$A1000,Metadata!$B$2:$B1000))),W$1,"""")"),"")</f>
        <v/>
      </c>
      <c r="X314" s="34" t="str">
        <f>IFERROR(__xludf.DUMMYFUNCTION("IF(IF(X$1="""","""",REGEXMATCH(LOWER($E314),XLOOKUP(X$1,Metadata!$A$2:$A1000,Metadata!$B$2:$B1000))),X$1,"""")"),"")</f>
        <v/>
      </c>
      <c r="Y314" s="34" t="str">
        <f>IFERROR(__xludf.DUMMYFUNCTION("IF(IF(Y$1="""","""",REGEXMATCH(LOWER($E314),XLOOKUP(Y$1,Metadata!$A$2:$A1000,Metadata!$B$2:$B1000))),Y$1,"""")"),"")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I315">XLOOKUP($A315,Cards!$A$2:$A1000,Cards!$B$2:$I1000,"")</f>
        <v>Void</v>
      </c>
      <c r="C315" s="34">
        <v>2.0</v>
      </c>
      <c r="D315" s="34" t="s">
        <v>1788</v>
      </c>
      <c r="E315" s="34" t="s">
        <v>1878</v>
      </c>
      <c r="F315" s="34" t="s">
        <v>1879</v>
      </c>
      <c r="G315" s="34">
        <v>3.0</v>
      </c>
      <c r="H315" s="34" t="s">
        <v>1791</v>
      </c>
      <c r="I315" s="34" t="s">
        <v>70</v>
      </c>
      <c r="J315" s="34">
        <f>IFERROR(__xludf.DUMMYFUNCTION("LEN(REGEXREPLACE(XLOOKUP($A315,Cards!$A$2:$A1000,Cards!$H$2:$H1000,""""),"",\s"",""""))"),3.0)</f>
        <v>3</v>
      </c>
      <c r="K315" s="34" t="str">
        <f t="shared" si="1"/>
        <v>      Ramp         </v>
      </c>
      <c r="L315" s="34" t="str">
        <f>IFERROR(__xludf.DUMMYFUNCTION("IF(IF(L$1="""","""",REGEXMATCH(LOWER($E315),XLOOKUP(L$1,Metadata!$A$2:$A1000,Metadata!$B$2:$B1000))),L$1,"""")"),"")</f>
        <v/>
      </c>
      <c r="M315" s="34" t="str">
        <f>IFERROR(__xludf.DUMMYFUNCTION("IF(IF(M$1="""","""",REGEXMATCH(LOWER($E315),XLOOKUP(M$1,Metadata!$A$2:$A1000,Metadata!$B$2:$B1000))),M$1,"""")"),"")</f>
        <v/>
      </c>
      <c r="N315" s="34" t="str">
        <f>IFERROR(__xludf.DUMMYFUNCTION("IF(IF(N$1="""","""",REGEXMATCH(LOWER($E315),XLOOKUP(N$1,Metadata!$A$2:$A1000,Metadata!$B$2:$B1000))),N$1,"""")"),"")</f>
        <v/>
      </c>
      <c r="O315" s="34" t="str">
        <f>IFERROR(__xludf.DUMMYFUNCTION("IF(IF(O$1="""","""",REGEXMATCH(LOWER($E315),XLOOKUP(O$1,Metadata!$A$2:$A1000,Metadata!$B$2:$B1000))),O$1,"""")"),"")</f>
        <v/>
      </c>
      <c r="P315" s="34" t="str">
        <f>IFERROR(__xludf.DUMMYFUNCTION("IF(IF(P$1="""","""",REGEXMATCH(LOWER($E315),XLOOKUP(P$1,Metadata!$A$2:$A1000,Metadata!$B$2:$B1000))),P$1,"""")"),"")</f>
        <v/>
      </c>
      <c r="Q315" s="34" t="str">
        <f>IFERROR(__xludf.DUMMYFUNCTION("IF(IF(Q$1="""","""",REGEXMATCH(LOWER($E315),XLOOKUP(Q$1,Metadata!$A$2:$A1000,Metadata!$B$2:$B1000))),Q$1,"""")"),"")</f>
        <v/>
      </c>
      <c r="R315" s="34" t="str">
        <f>IFERROR(__xludf.DUMMYFUNCTION("IF(IF(R$1="""","""",REGEXMATCH(LOWER($E315),XLOOKUP(R$1,Metadata!$A$2:$A1000,Metadata!$B$2:$B1000))),R$1,"""")"),"Ramp")</f>
        <v>Ramp</v>
      </c>
      <c r="S315" s="34" t="str">
        <f>IFERROR(__xludf.DUMMYFUNCTION("IF(IF(S$1="""","""",REGEXMATCH(LOWER($E315),XLOOKUP(S$1,Metadata!$A$2:$A1000,Metadata!$B$2:$B1000))),S$1,"""")"),"")</f>
        <v/>
      </c>
      <c r="T315" s="34" t="str">
        <f>IFERROR(__xludf.DUMMYFUNCTION("IF(IF(T$1="""","""",REGEXMATCH(LOWER($E315),XLOOKUP(T$1,Metadata!$A$2:$A1000,Metadata!$B$2:$B1000))),T$1,"""")"),"")</f>
        <v/>
      </c>
      <c r="U315" s="34" t="str">
        <f>IFERROR(__xludf.DUMMYFUNCTION("IF(IF(U$1="""","""",REGEXMATCH(LOWER($E315),XLOOKUP(U$1,Metadata!$A$2:$A1000,Metadata!$B$2:$B1000))),U$1,"""")"),"")</f>
        <v/>
      </c>
      <c r="V315" s="34" t="str">
        <f>IFERROR(__xludf.DUMMYFUNCTION("IF(IF(V$1="""","""",REGEXMATCH(LOWER($E315),XLOOKUP(V$1,Metadata!$A$2:$A1000,Metadata!$B$2:$B1000))),V$1,"""")"),"")</f>
        <v/>
      </c>
      <c r="W315" s="34" t="str">
        <f>IFERROR(__xludf.DUMMYFUNCTION("IF(IF(W$1="""","""",REGEXMATCH(LOWER($E315),XLOOKUP(W$1,Metadata!$A$2:$A1000,Metadata!$B$2:$B1000))),W$1,"""")"),"")</f>
        <v/>
      </c>
      <c r="X315" s="34" t="str">
        <f>IFERROR(__xludf.DUMMYFUNCTION("IF(IF(X$1="""","""",REGEXMATCH(LOWER($E315),XLOOKUP(X$1,Metadata!$A$2:$A1000,Metadata!$B$2:$B1000))),X$1,"""")"),"")</f>
        <v/>
      </c>
      <c r="Y315" s="34" t="str">
        <f>IFERROR(__xludf.DUMMYFUNCTION("IF(IF(Y$1="""","""",REGEXMATCH(LOWER($E315),XLOOKUP(Y$1,Metadata!$A$2:$A1000,Metadata!$B$2:$B1000))),Y$1,"""")"),"")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I316">XLOOKUP($A316,Cards!$A$2:$A1000,Cards!$B$2:$I1000,"")</f>
        <v>Nature</v>
      </c>
      <c r="C316" s="34">
        <v>1.0</v>
      </c>
      <c r="D316" s="34" t="s">
        <v>1778</v>
      </c>
      <c r="E316" s="34" t="s">
        <v>1881</v>
      </c>
      <c r="F316" s="34" t="s">
        <v>1882</v>
      </c>
      <c r="G316" s="34">
        <v>5.0</v>
      </c>
      <c r="H316" s="34" t="s">
        <v>1667</v>
      </c>
      <c r="I316" s="34" t="s">
        <v>32</v>
      </c>
      <c r="J316" s="34">
        <f>IFERROR(__xludf.DUMMYFUNCTION("LEN(REGEXREPLACE(XLOOKUP($A316,Cards!$A$2:$A1000,Cards!$H$2:$H1000,""""),"",\s"",""""))"),5.0)</f>
        <v>5</v>
      </c>
      <c r="K316" s="34" t="str">
        <f t="shared" si="1"/>
        <v>     Unearth       Ambush   </v>
      </c>
      <c r="L316" s="34" t="str">
        <f>IFERROR(__xludf.DUMMYFUNCTION("IF(IF(L$1="""","""",REGEXMATCH(LOWER($E316),XLOOKUP(L$1,Metadata!$A$2:$A1000,Metadata!$B$2:$B1000))),L$1,"""")"),"")</f>
        <v/>
      </c>
      <c r="M316" s="34" t="str">
        <f>IFERROR(__xludf.DUMMYFUNCTION("IF(IF(M$1="""","""",REGEXMATCH(LOWER($E316),XLOOKUP(M$1,Metadata!$A$2:$A1000,Metadata!$B$2:$B1000))),M$1,"""")"),"")</f>
        <v/>
      </c>
      <c r="N316" s="34" t="str">
        <f>IFERROR(__xludf.DUMMYFUNCTION("IF(IF(N$1="""","""",REGEXMATCH(LOWER($E316),XLOOKUP(N$1,Metadata!$A$2:$A1000,Metadata!$B$2:$B1000))),N$1,"""")"),"")</f>
        <v/>
      </c>
      <c r="O316" s="34" t="str">
        <f>IFERROR(__xludf.DUMMYFUNCTION("IF(IF(O$1="""","""",REGEXMATCH(LOWER($E316),XLOOKUP(O$1,Metadata!$A$2:$A1000,Metadata!$B$2:$B1000))),O$1,"""")"),"")</f>
        <v/>
      </c>
      <c r="P316" s="34" t="str">
        <f>IFERROR(__xludf.DUMMYFUNCTION("IF(IF(P$1="""","""",REGEXMATCH(LOWER($E316),XLOOKUP(P$1,Metadata!$A$2:$A1000,Metadata!$B$2:$B1000))),P$1,"""")"),"")</f>
        <v/>
      </c>
      <c r="Q316" s="34" t="str">
        <f>IFERROR(__xludf.DUMMYFUNCTION("IF(IF(Q$1="""","""",REGEXMATCH(LOWER($E316),XLOOKUP(Q$1,Metadata!$A$2:$A1000,Metadata!$B$2:$B1000))),Q$1,"""")"),"Unearth")</f>
        <v>Unearth</v>
      </c>
      <c r="R316" s="34" t="str">
        <f>IFERROR(__xludf.DUMMYFUNCTION("IF(IF(R$1="""","""",REGEXMATCH(LOWER($E316),XLOOKUP(R$1,Metadata!$A$2:$A1000,Metadata!$B$2:$B1000))),R$1,"""")"),"")</f>
        <v/>
      </c>
      <c r="S316" s="34" t="str">
        <f>IFERROR(__xludf.DUMMYFUNCTION("IF(IF(S$1="""","""",REGEXMATCH(LOWER($E316),XLOOKUP(S$1,Metadata!$A$2:$A1000,Metadata!$B$2:$B1000))),S$1,"""")"),"")</f>
        <v/>
      </c>
      <c r="T316" s="34" t="str">
        <f>IFERROR(__xludf.DUMMYFUNCTION("IF(IF(T$1="""","""",REGEXMATCH(LOWER($E316),XLOOKUP(T$1,Metadata!$A$2:$A1000,Metadata!$B$2:$B1000))),T$1,"""")"),"")</f>
        <v/>
      </c>
      <c r="U316" s="34" t="str">
        <f>IFERROR(__xludf.DUMMYFUNCTION("IF(IF(U$1="""","""",REGEXMATCH(LOWER($E316),XLOOKUP(U$1,Metadata!$A$2:$A1000,Metadata!$B$2:$B1000))),U$1,"""")"),"")</f>
        <v/>
      </c>
      <c r="V316" s="34" t="str">
        <f>IFERROR(__xludf.DUMMYFUNCTION("IF(IF(V$1="""","""",REGEXMATCH(LOWER($E316),XLOOKUP(V$1,Metadata!$A$2:$A1000,Metadata!$B$2:$B1000))),V$1,"""")"),"")</f>
        <v/>
      </c>
      <c r="W316" s="34" t="str">
        <f>IFERROR(__xludf.DUMMYFUNCTION("IF(IF(W$1="""","""",REGEXMATCH(LOWER($E316),XLOOKUP(W$1,Metadata!$A$2:$A1000,Metadata!$B$2:$B1000))),W$1,"""")"),"")</f>
        <v/>
      </c>
      <c r="X316" s="34" t="str">
        <f>IFERROR(__xludf.DUMMYFUNCTION("IF(IF(X$1="""","""",REGEXMATCH(LOWER($E316),XLOOKUP(X$1,Metadata!$A$2:$A1000,Metadata!$B$2:$B1000))),X$1,"""")"),"Ambush")</f>
        <v>Ambush</v>
      </c>
      <c r="Y316" s="34" t="str">
        <f>IFERROR(__xludf.DUMMYFUNCTION("IF(IF(Y$1="""","""",REGEXMATCH(LOWER($E316),XLOOKUP(Y$1,Metadata!$A$2:$A1000,Metadata!$B$2:$B1000))),Y$1,"""")"),"")</f>
        <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I317">XLOOKUP($A317,Cards!$A$2:$A1000,Cards!$B$2:$I1000,"")</f>
        <v>Void</v>
      </c>
      <c r="C317" s="34">
        <v>2.0</v>
      </c>
      <c r="D317" s="34" t="s">
        <v>1610</v>
      </c>
      <c r="E317" s="34" t="s">
        <v>275</v>
      </c>
      <c r="F317" s="34" t="s">
        <v>1884</v>
      </c>
      <c r="G317" s="34">
        <v>2.0</v>
      </c>
      <c r="H317" s="34" t="s">
        <v>1795</v>
      </c>
      <c r="I317" s="34" t="s">
        <v>26</v>
      </c>
      <c r="J317" s="34">
        <f>IFERROR(__xludf.DUMMYFUNCTION("LEN(REGEXREPLACE(XLOOKUP($A317,Cards!$A$2:$A1000,Cards!$H$2:$H1000,""""),"",\s"",""""))"),2.0)</f>
        <v>2</v>
      </c>
      <c r="K317" s="34" t="str">
        <f t="shared" si="1"/>
        <v>               </v>
      </c>
      <c r="L317" s="34" t="str">
        <f>IFERROR(__xludf.DUMMYFUNCTION("IF(IF(L$1="""","""",REGEXMATCH(LOWER($E317),XLOOKUP(L$1,Metadata!$A$2:$A1000,Metadata!$B$2:$B1000))),L$1,"""")"),"")</f>
        <v/>
      </c>
      <c r="M317" s="34" t="str">
        <f>IFERROR(__xludf.DUMMYFUNCTION("IF(IF(M$1="""","""",REGEXMATCH(LOWER($E317),XLOOKUP(M$1,Metadata!$A$2:$A1000,Metadata!$B$2:$B1000))),M$1,"""")"),"")</f>
        <v/>
      </c>
      <c r="N317" s="34" t="str">
        <f>IFERROR(__xludf.DUMMYFUNCTION("IF(IF(N$1="""","""",REGEXMATCH(LOWER($E317),XLOOKUP(N$1,Metadata!$A$2:$A1000,Metadata!$B$2:$B1000))),N$1,"""")"),"")</f>
        <v/>
      </c>
      <c r="O317" s="34" t="str">
        <f>IFERROR(__xludf.DUMMYFUNCTION("IF(IF(O$1="""","""",REGEXMATCH(LOWER($E317),XLOOKUP(O$1,Metadata!$A$2:$A1000,Metadata!$B$2:$B1000))),O$1,"""")"),"")</f>
        <v/>
      </c>
      <c r="P317" s="34" t="str">
        <f>IFERROR(__xludf.DUMMYFUNCTION("IF(IF(P$1="""","""",REGEXMATCH(LOWER($E317),XLOOKUP(P$1,Metadata!$A$2:$A1000,Metadata!$B$2:$B1000))),P$1,"""")"),"")</f>
        <v/>
      </c>
      <c r="Q317" s="34" t="str">
        <f>IFERROR(__xludf.DUMMYFUNCTION("IF(IF(Q$1="""","""",REGEXMATCH(LOWER($E317),XLOOKUP(Q$1,Metadata!$A$2:$A1000,Metadata!$B$2:$B1000))),Q$1,"""")"),"")</f>
        <v/>
      </c>
      <c r="R317" s="34" t="str">
        <f>IFERROR(__xludf.DUMMYFUNCTION("IF(IF(R$1="""","""",REGEXMATCH(LOWER($E317),XLOOKUP(R$1,Metadata!$A$2:$A1000,Metadata!$B$2:$B1000))),R$1,"""")"),"")</f>
        <v/>
      </c>
      <c r="S317" s="34" t="str">
        <f>IFERROR(__xludf.DUMMYFUNCTION("IF(IF(S$1="""","""",REGEXMATCH(LOWER($E317),XLOOKUP(S$1,Metadata!$A$2:$A1000,Metadata!$B$2:$B1000))),S$1,"""")"),"")</f>
        <v/>
      </c>
      <c r="T317" s="34" t="str">
        <f>IFERROR(__xludf.DUMMYFUNCTION("IF(IF(T$1="""","""",REGEXMATCH(LOWER($E317),XLOOKUP(T$1,Metadata!$A$2:$A1000,Metadata!$B$2:$B1000))),T$1,"""")"),"")</f>
        <v/>
      </c>
      <c r="U317" s="34" t="str">
        <f>IFERROR(__xludf.DUMMYFUNCTION("IF(IF(U$1="""","""",REGEXMATCH(LOWER($E317),XLOOKUP(U$1,Metadata!$A$2:$A1000,Metadata!$B$2:$B1000))),U$1,"""")"),"")</f>
        <v/>
      </c>
      <c r="V317" s="34" t="str">
        <f>IFERROR(__xludf.DUMMYFUNCTION("IF(IF(V$1="""","""",REGEXMATCH(LOWER($E317),XLOOKUP(V$1,Metadata!$A$2:$A1000,Metadata!$B$2:$B1000))),V$1,"""")"),"")</f>
        <v/>
      </c>
      <c r="W317" s="34" t="str">
        <f>IFERROR(__xludf.DUMMYFUNCTION("IF(IF(W$1="""","""",REGEXMATCH(LOWER($E317),XLOOKUP(W$1,Metadata!$A$2:$A1000,Metadata!$B$2:$B1000))),W$1,"""")"),"")</f>
        <v/>
      </c>
      <c r="X317" s="34" t="str">
        <f>IFERROR(__xludf.DUMMYFUNCTION("IF(IF(X$1="""","""",REGEXMATCH(LOWER($E317),XLOOKUP(X$1,Metadata!$A$2:$A1000,Metadata!$B$2:$B1000))),X$1,"""")"),"")</f>
        <v/>
      </c>
      <c r="Y317" s="34" t="str">
        <f>IFERROR(__xludf.DUMMYFUNCTION("IF(IF(Y$1="""","""",REGEXMATCH(LOWER($E317),XLOOKUP(Y$1,Metadata!$A$2:$A1000,Metadata!$B$2:$B1000))),Y$1,"""")"),"")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I318">XLOOKUP($A318,Cards!$A$2:$A1000,Cards!$B$2:$I1000,"")</f>
        <v>Void</v>
      </c>
      <c r="C318" s="34">
        <v>2.0</v>
      </c>
      <c r="D318" s="34" t="s">
        <v>124</v>
      </c>
      <c r="E318" s="34" t="s">
        <v>1886</v>
      </c>
      <c r="F318" s="34" t="s">
        <v>1887</v>
      </c>
      <c r="G318" s="34">
        <v>2.0</v>
      </c>
      <c r="H318" s="34" t="s">
        <v>1795</v>
      </c>
      <c r="I318" s="34" t="s">
        <v>26</v>
      </c>
      <c r="J318" s="34">
        <f>IFERROR(__xludf.DUMMYFUNCTION("LEN(REGEXREPLACE(XLOOKUP($A318,Cards!$A$2:$A1000,Cards!$H$2:$H1000,""""),"",\s"",""""))"),2.0)</f>
        <v>2</v>
      </c>
      <c r="K318" s="34" t="str">
        <f t="shared" si="1"/>
        <v>     Unearth  Control     Ambush   </v>
      </c>
      <c r="L318" s="34" t="str">
        <f>IFERROR(__xludf.DUMMYFUNCTION("IF(IF(L$1="""","""",REGEXMATCH(LOWER($E318),XLOOKUP(L$1,Metadata!$A$2:$A1000,Metadata!$B$2:$B1000))),L$1,"""")"),"")</f>
        <v/>
      </c>
      <c r="M318" s="34" t="str">
        <f>IFERROR(__xludf.DUMMYFUNCTION("IF(IF(M$1="""","""",REGEXMATCH(LOWER($E318),XLOOKUP(M$1,Metadata!$A$2:$A1000,Metadata!$B$2:$B1000))),M$1,"""")"),"")</f>
        <v/>
      </c>
      <c r="N318" s="34" t="str">
        <f>IFERROR(__xludf.DUMMYFUNCTION("IF(IF(N$1="""","""",REGEXMATCH(LOWER($E318),XLOOKUP(N$1,Metadata!$A$2:$A1000,Metadata!$B$2:$B1000))),N$1,"""")"),"")</f>
        <v/>
      </c>
      <c r="O318" s="34" t="str">
        <f>IFERROR(__xludf.DUMMYFUNCTION("IF(IF(O$1="""","""",REGEXMATCH(LOWER($E318),XLOOKUP(O$1,Metadata!$A$2:$A1000,Metadata!$B$2:$B1000))),O$1,"""")"),"")</f>
        <v/>
      </c>
      <c r="P318" s="34" t="str">
        <f>IFERROR(__xludf.DUMMYFUNCTION("IF(IF(P$1="""","""",REGEXMATCH(LOWER($E318),XLOOKUP(P$1,Metadata!$A$2:$A1000,Metadata!$B$2:$B1000))),P$1,"""")"),"")</f>
        <v/>
      </c>
      <c r="Q318" s="34" t="str">
        <f>IFERROR(__xludf.DUMMYFUNCTION("IF(IF(Q$1="""","""",REGEXMATCH(LOWER($E318),XLOOKUP(Q$1,Metadata!$A$2:$A1000,Metadata!$B$2:$B1000))),Q$1,"""")"),"Unearth")</f>
        <v>Unearth</v>
      </c>
      <c r="R318" s="34" t="str">
        <f>IFERROR(__xludf.DUMMYFUNCTION("IF(IF(R$1="""","""",REGEXMATCH(LOWER($E318),XLOOKUP(R$1,Metadata!$A$2:$A1000,Metadata!$B$2:$B1000))),R$1,"""")"),"")</f>
        <v/>
      </c>
      <c r="S318" s="34" t="str">
        <f>IFERROR(__xludf.DUMMYFUNCTION("IF(IF(S$1="""","""",REGEXMATCH(LOWER($E318),XLOOKUP(S$1,Metadata!$A$2:$A1000,Metadata!$B$2:$B1000))),S$1,"""")"),"Control")</f>
        <v>Control</v>
      </c>
      <c r="T318" s="34" t="str">
        <f>IFERROR(__xludf.DUMMYFUNCTION("IF(IF(T$1="""","""",REGEXMATCH(LOWER($E318),XLOOKUP(T$1,Metadata!$A$2:$A1000,Metadata!$B$2:$B1000))),T$1,"""")"),"")</f>
        <v/>
      </c>
      <c r="U318" s="34" t="str">
        <f>IFERROR(__xludf.DUMMYFUNCTION("IF(IF(U$1="""","""",REGEXMATCH(LOWER($E318),XLOOKUP(U$1,Metadata!$A$2:$A1000,Metadata!$B$2:$B1000))),U$1,"""")"),"")</f>
        <v/>
      </c>
      <c r="V318" s="34" t="str">
        <f>IFERROR(__xludf.DUMMYFUNCTION("IF(IF(V$1="""","""",REGEXMATCH(LOWER($E318),XLOOKUP(V$1,Metadata!$A$2:$A1000,Metadata!$B$2:$B1000))),V$1,"""")"),"")</f>
        <v/>
      </c>
      <c r="W318" s="34" t="str">
        <f>IFERROR(__xludf.DUMMYFUNCTION("IF(IF(W$1="""","""",REGEXMATCH(LOWER($E318),XLOOKUP(W$1,Metadata!$A$2:$A1000,Metadata!$B$2:$B1000))),W$1,"""")"),"")</f>
        <v/>
      </c>
      <c r="X318" s="34" t="str">
        <f>IFERROR(__xludf.DUMMYFUNCTION("IF(IF(X$1="""","""",REGEXMATCH(LOWER($E318),XLOOKUP(X$1,Metadata!$A$2:$A1000,Metadata!$B$2:$B1000))),X$1,"""")"),"Ambush")</f>
        <v>Ambush</v>
      </c>
      <c r="Y318" s="34" t="str">
        <f>IFERROR(__xludf.DUMMYFUNCTION("IF(IF(Y$1="""","""",REGEXMATCH(LOWER($E318),XLOOKUP(Y$1,Metadata!$A$2:$A1000,Metadata!$B$2:$B1000))),Y$1,"""")"),"")</f>
        <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I319">XLOOKUP($A319,Cards!$A$2:$A1000,Cards!$B$2:$I1000,"")</f>
        <v>Void</v>
      </c>
      <c r="C319" s="34">
        <v>2.0</v>
      </c>
      <c r="D319" s="34" t="s">
        <v>1889</v>
      </c>
      <c r="E319" s="34" t="s">
        <v>1890</v>
      </c>
      <c r="F319" s="34" t="s">
        <v>1891</v>
      </c>
      <c r="G319" s="34">
        <v>3.0</v>
      </c>
      <c r="H319" s="34" t="s">
        <v>1892</v>
      </c>
      <c r="I319" s="34" t="s">
        <v>26</v>
      </c>
      <c r="J319" s="34">
        <f>IFERROR(__xludf.DUMMYFUNCTION("LEN(REGEXREPLACE(XLOOKUP($A319,Cards!$A$2:$A1000,Cards!$H$2:$H1000,""""),"",\s"",""""))"),4.0)</f>
        <v>4</v>
      </c>
      <c r="K319" s="34" t="str">
        <f t="shared" si="1"/>
        <v>     Unearth  Control   Empty-Crystal  Ambush   </v>
      </c>
      <c r="L319" s="34" t="str">
        <f>IFERROR(__xludf.DUMMYFUNCTION("IF(IF(L$1="""","""",REGEXMATCH(LOWER($E319),XLOOKUP(L$1,Metadata!$A$2:$A1000,Metadata!$B$2:$B1000))),L$1,"""")"),"")</f>
        <v/>
      </c>
      <c r="M319" s="34" t="str">
        <f>IFERROR(__xludf.DUMMYFUNCTION("IF(IF(M$1="""","""",REGEXMATCH(LOWER($E319),XLOOKUP(M$1,Metadata!$A$2:$A1000,Metadata!$B$2:$B1000))),M$1,"""")"),"")</f>
        <v/>
      </c>
      <c r="N319" s="34" t="str">
        <f>IFERROR(__xludf.DUMMYFUNCTION("IF(IF(N$1="""","""",REGEXMATCH(LOWER($E319),XLOOKUP(N$1,Metadata!$A$2:$A1000,Metadata!$B$2:$B1000))),N$1,"""")"),"")</f>
        <v/>
      </c>
      <c r="O319" s="34" t="str">
        <f>IFERROR(__xludf.DUMMYFUNCTION("IF(IF(O$1="""","""",REGEXMATCH(LOWER($E319),XLOOKUP(O$1,Metadata!$A$2:$A1000,Metadata!$B$2:$B1000))),O$1,"""")"),"")</f>
        <v/>
      </c>
      <c r="P319" s="34" t="str">
        <f>IFERROR(__xludf.DUMMYFUNCTION("IF(IF(P$1="""","""",REGEXMATCH(LOWER($E319),XLOOKUP(P$1,Metadata!$A$2:$A1000,Metadata!$B$2:$B1000))),P$1,"""")"),"")</f>
        <v/>
      </c>
      <c r="Q319" s="34" t="str">
        <f>IFERROR(__xludf.DUMMYFUNCTION("IF(IF(Q$1="""","""",REGEXMATCH(LOWER($E319),XLOOKUP(Q$1,Metadata!$A$2:$A1000,Metadata!$B$2:$B1000))),Q$1,"""")"),"Unearth")</f>
        <v>Unearth</v>
      </c>
      <c r="R319" s="34" t="str">
        <f>IFERROR(__xludf.DUMMYFUNCTION("IF(IF(R$1="""","""",REGEXMATCH(LOWER($E319),XLOOKUP(R$1,Metadata!$A$2:$A1000,Metadata!$B$2:$B1000))),R$1,"""")"),"")</f>
        <v/>
      </c>
      <c r="S319" s="34" t="str">
        <f>IFERROR(__xludf.DUMMYFUNCTION("IF(IF(S$1="""","""",REGEXMATCH(LOWER($E319),XLOOKUP(S$1,Metadata!$A$2:$A1000,Metadata!$B$2:$B1000))),S$1,"""")"),"Control")</f>
        <v>Control</v>
      </c>
      <c r="T319" s="34" t="str">
        <f>IFERROR(__xludf.DUMMYFUNCTION("IF(IF(T$1="""","""",REGEXMATCH(LOWER($E319),XLOOKUP(T$1,Metadata!$A$2:$A1000,Metadata!$B$2:$B1000))),T$1,"""")"),"")</f>
        <v/>
      </c>
      <c r="U319" s="34" t="str">
        <f>IFERROR(__xludf.DUMMYFUNCTION("IF(IF(U$1="""","""",REGEXMATCH(LOWER($E319),XLOOKUP(U$1,Metadata!$A$2:$A1000,Metadata!$B$2:$B1000))),U$1,"""")"),"")</f>
        <v/>
      </c>
      <c r="V319" s="34" t="str">
        <f>IFERROR(__xludf.DUMMYFUNCTION("IF(IF(V$1="""","""",REGEXMATCH(LOWER($E319),XLOOKUP(V$1,Metadata!$A$2:$A1000,Metadata!$B$2:$B1000))),V$1,"""")"),"Empty-Crystal")</f>
        <v>Empty-Crystal</v>
      </c>
      <c r="W319" s="34" t="str">
        <f>IFERROR(__xludf.DUMMYFUNCTION("IF(IF(W$1="""","""",REGEXMATCH(LOWER($E319),XLOOKUP(W$1,Metadata!$A$2:$A1000,Metadata!$B$2:$B1000))),W$1,"""")"),"")</f>
        <v/>
      </c>
      <c r="X319" s="34" t="str">
        <f>IFERROR(__xludf.DUMMYFUNCTION("IF(IF(X$1="""","""",REGEXMATCH(LOWER($E319),XLOOKUP(X$1,Metadata!$A$2:$A1000,Metadata!$B$2:$B1000))),X$1,"""")"),"Ambush")</f>
        <v>Ambush</v>
      </c>
      <c r="Y319" s="34" t="str">
        <f>IFERROR(__xludf.DUMMYFUNCTION("IF(IF(Y$1="""","""",REGEXMATCH(LOWER($E319),XLOOKUP(Y$1,Metadata!$A$2:$A1000,Metadata!$B$2:$B1000))),Y$1,"""")"),"")</f>
        <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I320">XLOOKUP($A320,Cards!$A$2:$A1000,Cards!$B$2:$I1000,"")</f>
        <v>Void</v>
      </c>
      <c r="C320" s="34">
        <v>2.0</v>
      </c>
      <c r="D320" s="34" t="s">
        <v>1778</v>
      </c>
      <c r="E320" s="34" t="s">
        <v>1894</v>
      </c>
      <c r="F320" s="34" t="s">
        <v>1895</v>
      </c>
      <c r="G320" s="34">
        <v>2.0</v>
      </c>
      <c r="H320" s="34" t="s">
        <v>1841</v>
      </c>
      <c r="I320" s="34" t="s">
        <v>70</v>
      </c>
      <c r="J320" s="34">
        <f>IFERROR(__xludf.DUMMYFUNCTION("LEN(REGEXREPLACE(XLOOKUP($A320,Cards!$A$2:$A1000,Cards!$H$2:$H1000,""""),"",\s"",""""))"),4.0)</f>
        <v>4</v>
      </c>
      <c r="K320" s="34" t="str">
        <f t="shared" si="1"/>
        <v>     Unearth   Copy Aggro   Ambush   </v>
      </c>
      <c r="L320" s="34" t="str">
        <f>IFERROR(__xludf.DUMMYFUNCTION("IF(IF(L$1="""","""",REGEXMATCH(LOWER($E320),XLOOKUP(L$1,Metadata!$A$2:$A1000,Metadata!$B$2:$B1000))),L$1,"""")"),"")</f>
        <v/>
      </c>
      <c r="M320" s="34" t="str">
        <f>IFERROR(__xludf.DUMMYFUNCTION("IF(IF(M$1="""","""",REGEXMATCH(LOWER($E320),XLOOKUP(M$1,Metadata!$A$2:$A1000,Metadata!$B$2:$B1000))),M$1,"""")"),"")</f>
        <v/>
      </c>
      <c r="N320" s="34" t="str">
        <f>IFERROR(__xludf.DUMMYFUNCTION("IF(IF(N$1="""","""",REGEXMATCH(LOWER($E320),XLOOKUP(N$1,Metadata!$A$2:$A1000,Metadata!$B$2:$B1000))),N$1,"""")"),"")</f>
        <v/>
      </c>
      <c r="O320" s="34" t="str">
        <f>IFERROR(__xludf.DUMMYFUNCTION("IF(IF(O$1="""","""",REGEXMATCH(LOWER($E320),XLOOKUP(O$1,Metadata!$A$2:$A1000,Metadata!$B$2:$B1000))),O$1,"""")"),"")</f>
        <v/>
      </c>
      <c r="P320" s="34" t="str">
        <f>IFERROR(__xludf.DUMMYFUNCTION("IF(IF(P$1="""","""",REGEXMATCH(LOWER($E320),XLOOKUP(P$1,Metadata!$A$2:$A1000,Metadata!$B$2:$B1000))),P$1,"""")"),"")</f>
        <v/>
      </c>
      <c r="Q320" s="34" t="str">
        <f>IFERROR(__xludf.DUMMYFUNCTION("IF(IF(Q$1="""","""",REGEXMATCH(LOWER($E320),XLOOKUP(Q$1,Metadata!$A$2:$A1000,Metadata!$B$2:$B1000))),Q$1,"""")"),"Unearth")</f>
        <v>Unearth</v>
      </c>
      <c r="R320" s="34" t="str">
        <f>IFERROR(__xludf.DUMMYFUNCTION("IF(IF(R$1="""","""",REGEXMATCH(LOWER($E320),XLOOKUP(R$1,Metadata!$A$2:$A1000,Metadata!$B$2:$B1000))),R$1,"""")"),"")</f>
        <v/>
      </c>
      <c r="S320" s="34" t="str">
        <f>IFERROR(__xludf.DUMMYFUNCTION("IF(IF(S$1="""","""",REGEXMATCH(LOWER($E320),XLOOKUP(S$1,Metadata!$A$2:$A1000,Metadata!$B$2:$B1000))),S$1,"""")"),"")</f>
        <v/>
      </c>
      <c r="T320" s="34" t="str">
        <f>IFERROR(__xludf.DUMMYFUNCTION("IF(IF(T$1="""","""",REGEXMATCH(LOWER($E320),XLOOKUP(T$1,Metadata!$A$2:$A1000,Metadata!$B$2:$B1000))),T$1,"""")"),"Copy")</f>
        <v>Copy</v>
      </c>
      <c r="U320" s="34" t="str">
        <f>IFERROR(__xludf.DUMMYFUNCTION("IF(IF(U$1="""","""",REGEXMATCH(LOWER($E320),XLOOKUP(U$1,Metadata!$A$2:$A1000,Metadata!$B$2:$B1000))),U$1,"""")"),"Aggro")</f>
        <v>Aggro</v>
      </c>
      <c r="V320" s="34" t="str">
        <f>IFERROR(__xludf.DUMMYFUNCTION("IF(IF(V$1="""","""",REGEXMATCH(LOWER($E320),XLOOKUP(V$1,Metadata!$A$2:$A1000,Metadata!$B$2:$B1000))),V$1,"""")"),"")</f>
        <v/>
      </c>
      <c r="W320" s="34" t="str">
        <f>IFERROR(__xludf.DUMMYFUNCTION("IF(IF(W$1="""","""",REGEXMATCH(LOWER($E320),XLOOKUP(W$1,Metadata!$A$2:$A1000,Metadata!$B$2:$B1000))),W$1,"""")"),"")</f>
        <v/>
      </c>
      <c r="X320" s="34" t="str">
        <f>IFERROR(__xludf.DUMMYFUNCTION("IF(IF(X$1="""","""",REGEXMATCH(LOWER($E320),XLOOKUP(X$1,Metadata!$A$2:$A1000,Metadata!$B$2:$B1000))),X$1,"""")"),"Ambush")</f>
        <v>Ambush</v>
      </c>
      <c r="Y320" s="34" t="str">
        <f>IFERROR(__xludf.DUMMYFUNCTION("IF(IF(Y$1="""","""",REGEXMATCH(LOWER($E320),XLOOKUP(Y$1,Metadata!$A$2:$A1000,Metadata!$B$2:$B1000))),Y$1,"""")"),"")</f>
        <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I321">XLOOKUP($A321,Cards!$A$2:$A1000,Cards!$B$2:$I1000,"")</f>
        <v>Void</v>
      </c>
      <c r="C321" s="34">
        <v>2.0</v>
      </c>
      <c r="D321" s="34" t="s">
        <v>88</v>
      </c>
      <c r="E321" s="34" t="s">
        <v>1897</v>
      </c>
      <c r="F321" s="34" t="s">
        <v>1898</v>
      </c>
      <c r="G321" s="34">
        <v>0.0</v>
      </c>
      <c r="H321" s="34" t="s">
        <v>1841</v>
      </c>
      <c r="I321" s="34" t="s">
        <v>70</v>
      </c>
      <c r="J321" s="34">
        <f>IFERROR(__xludf.DUMMYFUNCTION("LEN(REGEXREPLACE(XLOOKUP($A321,Cards!$A$2:$A1000,Cards!$H$2:$H1000,""""),"",\s"",""""))"),4.0)</f>
        <v>4</v>
      </c>
      <c r="K321" s="34" t="str">
        <f t="shared" si="1"/>
        <v>               </v>
      </c>
      <c r="L321" s="34" t="str">
        <f>IFERROR(__xludf.DUMMYFUNCTION("IF(IF(L$1="""","""",REGEXMATCH(LOWER($E321),XLOOKUP(L$1,Metadata!$A$2:$A1000,Metadata!$B$2:$B1000))),L$1,"""")"),"")</f>
        <v/>
      </c>
      <c r="M321" s="34" t="str">
        <f>IFERROR(__xludf.DUMMYFUNCTION("IF(IF(M$1="""","""",REGEXMATCH(LOWER($E321),XLOOKUP(M$1,Metadata!$A$2:$A1000,Metadata!$B$2:$B1000))),M$1,"""")"),"")</f>
        <v/>
      </c>
      <c r="N321" s="34" t="str">
        <f>IFERROR(__xludf.DUMMYFUNCTION("IF(IF(N$1="""","""",REGEXMATCH(LOWER($E321),XLOOKUP(N$1,Metadata!$A$2:$A1000,Metadata!$B$2:$B1000))),N$1,"""")"),"")</f>
        <v/>
      </c>
      <c r="O321" s="34" t="str">
        <f>IFERROR(__xludf.DUMMYFUNCTION("IF(IF(O$1="""","""",REGEXMATCH(LOWER($E321),XLOOKUP(O$1,Metadata!$A$2:$A1000,Metadata!$B$2:$B1000))),O$1,"""")"),"")</f>
        <v/>
      </c>
      <c r="P321" s="34" t="str">
        <f>IFERROR(__xludf.DUMMYFUNCTION("IF(IF(P$1="""","""",REGEXMATCH(LOWER($E321),XLOOKUP(P$1,Metadata!$A$2:$A1000,Metadata!$B$2:$B1000))),P$1,"""")"),"")</f>
        <v/>
      </c>
      <c r="Q321" s="34" t="str">
        <f>IFERROR(__xludf.DUMMYFUNCTION("IF(IF(Q$1="""","""",REGEXMATCH(LOWER($E321),XLOOKUP(Q$1,Metadata!$A$2:$A1000,Metadata!$B$2:$B1000))),Q$1,"""")"),"")</f>
        <v/>
      </c>
      <c r="R321" s="34" t="str">
        <f>IFERROR(__xludf.DUMMYFUNCTION("IF(IF(R$1="""","""",REGEXMATCH(LOWER($E321),XLOOKUP(R$1,Metadata!$A$2:$A1000,Metadata!$B$2:$B1000))),R$1,"""")"),"")</f>
        <v/>
      </c>
      <c r="S321" s="34" t="str">
        <f>IFERROR(__xludf.DUMMYFUNCTION("IF(IF(S$1="""","""",REGEXMATCH(LOWER($E321),XLOOKUP(S$1,Metadata!$A$2:$A1000,Metadata!$B$2:$B1000))),S$1,"""")"),"")</f>
        <v/>
      </c>
      <c r="T321" s="34" t="str">
        <f>IFERROR(__xludf.DUMMYFUNCTION("IF(IF(T$1="""","""",REGEXMATCH(LOWER($E321),XLOOKUP(T$1,Metadata!$A$2:$A1000,Metadata!$B$2:$B1000))),T$1,"""")"),"")</f>
        <v/>
      </c>
      <c r="U321" s="34" t="str">
        <f>IFERROR(__xludf.DUMMYFUNCTION("IF(IF(U$1="""","""",REGEXMATCH(LOWER($E321),XLOOKUP(U$1,Metadata!$A$2:$A1000,Metadata!$B$2:$B1000))),U$1,"""")"),"")</f>
        <v/>
      </c>
      <c r="V321" s="34" t="str">
        <f>IFERROR(__xludf.DUMMYFUNCTION("IF(IF(V$1="""","""",REGEXMATCH(LOWER($E321),XLOOKUP(V$1,Metadata!$A$2:$A1000,Metadata!$B$2:$B1000))),V$1,"""")"),"")</f>
        <v/>
      </c>
      <c r="W321" s="34" t="str">
        <f>IFERROR(__xludf.DUMMYFUNCTION("IF(IF(W$1="""","""",REGEXMATCH(LOWER($E321),XLOOKUP(W$1,Metadata!$A$2:$A1000,Metadata!$B$2:$B1000))),W$1,"""")"),"")</f>
        <v/>
      </c>
      <c r="X321" s="34" t="str">
        <f>IFERROR(__xludf.DUMMYFUNCTION("IF(IF(X$1="""","""",REGEXMATCH(LOWER($E321),XLOOKUP(X$1,Metadata!$A$2:$A1000,Metadata!$B$2:$B1000))),X$1,"""")"),"")</f>
        <v/>
      </c>
      <c r="Y321" s="34" t="str">
        <f>IFERROR(__xludf.DUMMYFUNCTION("IF(IF(Y$1="""","""",REGEXMATCH(LOWER($E321),XLOOKUP(Y$1,Metadata!$A$2:$A1000,Metadata!$B$2:$B1000))),Y$1,"""")"),"")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I322">XLOOKUP($A322,Cards!$A$2:$A1000,Cards!$B$2:$I1000,"")</f>
        <v>Nature</v>
      </c>
      <c r="C322" s="34">
        <v>1.0</v>
      </c>
      <c r="D322" s="34" t="s">
        <v>387</v>
      </c>
      <c r="E322" s="34" t="s">
        <v>1900</v>
      </c>
      <c r="F322" s="34"/>
      <c r="G322" s="34">
        <v>6.0</v>
      </c>
      <c r="H322" s="34" t="s">
        <v>1901</v>
      </c>
      <c r="I322" s="34" t="s">
        <v>32</v>
      </c>
      <c r="J322" s="34">
        <f>IFERROR(__xludf.DUMMYFUNCTION("LEN(REGEXREPLACE(XLOOKUP($A322,Cards!$A$2:$A1000,Cards!$H$2:$H1000,""""),"",\s"",""""))"),4.0)</f>
        <v>4</v>
      </c>
      <c r="K322" s="34" t="str">
        <f t="shared" si="1"/>
        <v>      Ramp   Aggro      </v>
      </c>
      <c r="L322" s="34" t="str">
        <f>IFERROR(__xludf.DUMMYFUNCTION("IF(IF(L$1="""","""",REGEXMATCH(LOWER($E322),XLOOKUP(L$1,Metadata!$A$2:$A1000,Metadata!$B$2:$B1000))),L$1,"""")"),"")</f>
        <v/>
      </c>
      <c r="M322" s="34" t="str">
        <f>IFERROR(__xludf.DUMMYFUNCTION("IF(IF(M$1="""","""",REGEXMATCH(LOWER($E322),XLOOKUP(M$1,Metadata!$A$2:$A1000,Metadata!$B$2:$B1000))),M$1,"""")"),"")</f>
        <v/>
      </c>
      <c r="N322" s="34" t="str">
        <f>IFERROR(__xludf.DUMMYFUNCTION("IF(IF(N$1="""","""",REGEXMATCH(LOWER($E322),XLOOKUP(N$1,Metadata!$A$2:$A1000,Metadata!$B$2:$B1000))),N$1,"""")"),"")</f>
        <v/>
      </c>
      <c r="O322" s="34" t="str">
        <f>IFERROR(__xludf.DUMMYFUNCTION("IF(IF(O$1="""","""",REGEXMATCH(LOWER($E322),XLOOKUP(O$1,Metadata!$A$2:$A1000,Metadata!$B$2:$B1000))),O$1,"""")"),"")</f>
        <v/>
      </c>
      <c r="P322" s="34" t="str">
        <f>IFERROR(__xludf.DUMMYFUNCTION("IF(IF(P$1="""","""",REGEXMATCH(LOWER($E322),XLOOKUP(P$1,Metadata!$A$2:$A1000,Metadata!$B$2:$B1000))),P$1,"""")"),"")</f>
        <v/>
      </c>
      <c r="Q322" s="34" t="str">
        <f>IFERROR(__xludf.DUMMYFUNCTION("IF(IF(Q$1="""","""",REGEXMATCH(LOWER($E322),XLOOKUP(Q$1,Metadata!$A$2:$A1000,Metadata!$B$2:$B1000))),Q$1,"""")"),"")</f>
        <v/>
      </c>
      <c r="R322" s="34" t="str">
        <f>IFERROR(__xludf.DUMMYFUNCTION("IF(IF(R$1="""","""",REGEXMATCH(LOWER($E322),XLOOKUP(R$1,Metadata!$A$2:$A1000,Metadata!$B$2:$B1000))),R$1,"""")"),"Ramp")</f>
        <v>Ramp</v>
      </c>
      <c r="S322" s="34" t="str">
        <f>IFERROR(__xludf.DUMMYFUNCTION("IF(IF(S$1="""","""",REGEXMATCH(LOWER($E322),XLOOKUP(S$1,Metadata!$A$2:$A1000,Metadata!$B$2:$B1000))),S$1,"""")"),"")</f>
        <v/>
      </c>
      <c r="T322" s="34" t="str">
        <f>IFERROR(__xludf.DUMMYFUNCTION("IF(IF(T$1="""","""",REGEXMATCH(LOWER($E322),XLOOKUP(T$1,Metadata!$A$2:$A1000,Metadata!$B$2:$B1000))),T$1,"""")"),"")</f>
        <v/>
      </c>
      <c r="U322" s="34" t="str">
        <f>IFERROR(__xludf.DUMMYFUNCTION("IF(IF(U$1="""","""",REGEXMATCH(LOWER($E322),XLOOKUP(U$1,Metadata!$A$2:$A1000,Metadata!$B$2:$B1000))),U$1,"""")"),"Aggro")</f>
        <v>Aggro</v>
      </c>
      <c r="V322" s="34" t="str">
        <f>IFERROR(__xludf.DUMMYFUNCTION("IF(IF(V$1="""","""",REGEXMATCH(LOWER($E322),XLOOKUP(V$1,Metadata!$A$2:$A1000,Metadata!$B$2:$B1000))),V$1,"""")"),"")</f>
        <v/>
      </c>
      <c r="W322" s="34" t="str">
        <f>IFERROR(__xludf.DUMMYFUNCTION("IF(IF(W$1="""","""",REGEXMATCH(LOWER($E322),XLOOKUP(W$1,Metadata!$A$2:$A1000,Metadata!$B$2:$B1000))),W$1,"""")"),"")</f>
        <v/>
      </c>
      <c r="X322" s="34" t="str">
        <f>IFERROR(__xludf.DUMMYFUNCTION("IF(IF(X$1="""","""",REGEXMATCH(LOWER($E322),XLOOKUP(X$1,Metadata!$A$2:$A1000,Metadata!$B$2:$B1000))),X$1,"""")"),"")</f>
        <v/>
      </c>
      <c r="Y322" s="34" t="str">
        <f>IFERROR(__xludf.DUMMYFUNCTION("IF(IF(Y$1="""","""",REGEXMATCH(LOWER($E322),XLOOKUP(Y$1,Metadata!$A$2:$A1000,Metadata!$B$2:$B1000))),Y$1,"""")"),"")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I323">XLOOKUP($A323,Cards!$A$2:$A1000,Cards!$B$2:$I1000,"")</f>
        <v>Nature</v>
      </c>
      <c r="C323" s="34">
        <v>1.0</v>
      </c>
      <c r="D323" s="34" t="s">
        <v>297</v>
      </c>
      <c r="E323" s="34"/>
      <c r="F323" s="34"/>
      <c r="G323" s="34">
        <v>2.0</v>
      </c>
      <c r="H323" s="34" t="s">
        <v>1715</v>
      </c>
      <c r="I323" s="34" t="s">
        <v>26</v>
      </c>
      <c r="J323" s="34">
        <f>IFERROR(__xludf.DUMMYFUNCTION("LEN(REGEXREPLACE(XLOOKUP($A323,Cards!$A$2:$A1000,Cards!$H$2:$H1000,""""),"",\s"",""""))"),1.0)</f>
        <v>1</v>
      </c>
      <c r="K323" s="34" t="str">
        <f t="shared" si="1"/>
        <v>               </v>
      </c>
      <c r="L323" s="34" t="str">
        <f>IFERROR(__xludf.DUMMYFUNCTION("IF(IF(L$1="""","""",REGEXMATCH(LOWER($E323),XLOOKUP(L$1,Metadata!$A$2:$A1000,Metadata!$B$2:$B1000))),L$1,"""")"),"")</f>
        <v/>
      </c>
      <c r="M323" s="34" t="str">
        <f>IFERROR(__xludf.DUMMYFUNCTION("IF(IF(M$1="""","""",REGEXMATCH(LOWER($E323),XLOOKUP(M$1,Metadata!$A$2:$A1000,Metadata!$B$2:$B1000))),M$1,"""")"),"")</f>
        <v/>
      </c>
      <c r="N323" s="34" t="str">
        <f>IFERROR(__xludf.DUMMYFUNCTION("IF(IF(N$1="""","""",REGEXMATCH(LOWER($E323),XLOOKUP(N$1,Metadata!$A$2:$A1000,Metadata!$B$2:$B1000))),N$1,"""")"),"")</f>
        <v/>
      </c>
      <c r="O323" s="34" t="str">
        <f>IFERROR(__xludf.DUMMYFUNCTION("IF(IF(O$1="""","""",REGEXMATCH(LOWER($E323),XLOOKUP(O$1,Metadata!$A$2:$A1000,Metadata!$B$2:$B1000))),O$1,"""")"),"")</f>
        <v/>
      </c>
      <c r="P323" s="34" t="str">
        <f>IFERROR(__xludf.DUMMYFUNCTION("IF(IF(P$1="""","""",REGEXMATCH(LOWER($E323),XLOOKUP(P$1,Metadata!$A$2:$A1000,Metadata!$B$2:$B1000))),P$1,"""")"),"")</f>
        <v/>
      </c>
      <c r="Q323" s="34" t="str">
        <f>IFERROR(__xludf.DUMMYFUNCTION("IF(IF(Q$1="""","""",REGEXMATCH(LOWER($E323),XLOOKUP(Q$1,Metadata!$A$2:$A1000,Metadata!$B$2:$B1000))),Q$1,"""")"),"")</f>
        <v/>
      </c>
      <c r="R323" s="34" t="str">
        <f>IFERROR(__xludf.DUMMYFUNCTION("IF(IF(R$1="""","""",REGEXMATCH(LOWER($E323),XLOOKUP(R$1,Metadata!$A$2:$A1000,Metadata!$B$2:$B1000))),R$1,"""")"),"")</f>
        <v/>
      </c>
      <c r="S323" s="34" t="str">
        <f>IFERROR(__xludf.DUMMYFUNCTION("IF(IF(S$1="""","""",REGEXMATCH(LOWER($E323),XLOOKUP(S$1,Metadata!$A$2:$A1000,Metadata!$B$2:$B1000))),S$1,"""")"),"")</f>
        <v/>
      </c>
      <c r="T323" s="34" t="str">
        <f>IFERROR(__xludf.DUMMYFUNCTION("IF(IF(T$1="""","""",REGEXMATCH(LOWER($E323),XLOOKUP(T$1,Metadata!$A$2:$A1000,Metadata!$B$2:$B1000))),T$1,"""")"),"")</f>
        <v/>
      </c>
      <c r="U323" s="34" t="str">
        <f>IFERROR(__xludf.DUMMYFUNCTION("IF(IF(U$1="""","""",REGEXMATCH(LOWER($E323),XLOOKUP(U$1,Metadata!$A$2:$A1000,Metadata!$B$2:$B1000))),U$1,"""")"),"")</f>
        <v/>
      </c>
      <c r="V323" s="34" t="str">
        <f>IFERROR(__xludf.DUMMYFUNCTION("IF(IF(V$1="""","""",REGEXMATCH(LOWER($E323),XLOOKUP(V$1,Metadata!$A$2:$A1000,Metadata!$B$2:$B1000))),V$1,"""")"),"")</f>
        <v/>
      </c>
      <c r="W323" s="34" t="str">
        <f>IFERROR(__xludf.DUMMYFUNCTION("IF(IF(W$1="""","""",REGEXMATCH(LOWER($E323),XLOOKUP(W$1,Metadata!$A$2:$A1000,Metadata!$B$2:$B1000))),W$1,"""")"),"")</f>
        <v/>
      </c>
      <c r="X323" s="34" t="str">
        <f>IFERROR(__xludf.DUMMYFUNCTION("IF(IF(X$1="""","""",REGEXMATCH(LOWER($E323),XLOOKUP(X$1,Metadata!$A$2:$A1000,Metadata!$B$2:$B1000))),X$1,"""")"),"")</f>
        <v/>
      </c>
      <c r="Y323" s="34" t="str">
        <f>IFERROR(__xludf.DUMMYFUNCTION("IF(IF(Y$1="""","""",REGEXMATCH(LOWER($E323),XLOOKUP(Y$1,Metadata!$A$2:$A1000,Metadata!$B$2:$B1000))),Y$1,"""")"),"")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I324">XLOOKUP($A324,Cards!$A$2:$A1000,Cards!$B$2:$I1000,"")</f>
        <v>Nature</v>
      </c>
      <c r="C324" s="34">
        <v>1.0</v>
      </c>
      <c r="D324" s="34" t="s">
        <v>1852</v>
      </c>
      <c r="E324" s="34"/>
      <c r="F324" s="34" t="s">
        <v>1907</v>
      </c>
      <c r="G324" s="34">
        <v>4.0</v>
      </c>
      <c r="H324" s="34" t="s">
        <v>1691</v>
      </c>
      <c r="I324" s="34" t="s">
        <v>26</v>
      </c>
      <c r="J324" s="34">
        <f>IFERROR(__xludf.DUMMYFUNCTION("LEN(REGEXREPLACE(XLOOKUP($A324,Cards!$A$2:$A1000,Cards!$H$2:$H1000,""""),"",\s"",""""))"),3.0)</f>
        <v>3</v>
      </c>
      <c r="K324" s="34" t="str">
        <f t="shared" si="1"/>
        <v>               </v>
      </c>
      <c r="L324" s="34" t="str">
        <f>IFERROR(__xludf.DUMMYFUNCTION("IF(IF(L$1="""","""",REGEXMATCH(LOWER($E324),XLOOKUP(L$1,Metadata!$A$2:$A1000,Metadata!$B$2:$B1000))),L$1,"""")"),"")</f>
        <v/>
      </c>
      <c r="M324" s="34" t="str">
        <f>IFERROR(__xludf.DUMMYFUNCTION("IF(IF(M$1="""","""",REGEXMATCH(LOWER($E324),XLOOKUP(M$1,Metadata!$A$2:$A1000,Metadata!$B$2:$B1000))),M$1,"""")"),"")</f>
        <v/>
      </c>
      <c r="N324" s="34" t="str">
        <f>IFERROR(__xludf.DUMMYFUNCTION("IF(IF(N$1="""","""",REGEXMATCH(LOWER($E324),XLOOKUP(N$1,Metadata!$A$2:$A1000,Metadata!$B$2:$B1000))),N$1,"""")"),"")</f>
        <v/>
      </c>
      <c r="O324" s="34" t="str">
        <f>IFERROR(__xludf.DUMMYFUNCTION("IF(IF(O$1="""","""",REGEXMATCH(LOWER($E324),XLOOKUP(O$1,Metadata!$A$2:$A1000,Metadata!$B$2:$B1000))),O$1,"""")"),"")</f>
        <v/>
      </c>
      <c r="P324" s="34" t="str">
        <f>IFERROR(__xludf.DUMMYFUNCTION("IF(IF(P$1="""","""",REGEXMATCH(LOWER($E324),XLOOKUP(P$1,Metadata!$A$2:$A1000,Metadata!$B$2:$B1000))),P$1,"""")"),"")</f>
        <v/>
      </c>
      <c r="Q324" s="34" t="str">
        <f>IFERROR(__xludf.DUMMYFUNCTION("IF(IF(Q$1="""","""",REGEXMATCH(LOWER($E324),XLOOKUP(Q$1,Metadata!$A$2:$A1000,Metadata!$B$2:$B1000))),Q$1,"""")"),"")</f>
        <v/>
      </c>
      <c r="R324" s="34" t="str">
        <f>IFERROR(__xludf.DUMMYFUNCTION("IF(IF(R$1="""","""",REGEXMATCH(LOWER($E324),XLOOKUP(R$1,Metadata!$A$2:$A1000,Metadata!$B$2:$B1000))),R$1,"""")"),"")</f>
        <v/>
      </c>
      <c r="S324" s="34" t="str">
        <f>IFERROR(__xludf.DUMMYFUNCTION("IF(IF(S$1="""","""",REGEXMATCH(LOWER($E324),XLOOKUP(S$1,Metadata!$A$2:$A1000,Metadata!$B$2:$B1000))),S$1,"""")"),"")</f>
        <v/>
      </c>
      <c r="T324" s="34" t="str">
        <f>IFERROR(__xludf.DUMMYFUNCTION("IF(IF(T$1="""","""",REGEXMATCH(LOWER($E324),XLOOKUP(T$1,Metadata!$A$2:$A1000,Metadata!$B$2:$B1000))),T$1,"""")"),"")</f>
        <v/>
      </c>
      <c r="U324" s="34" t="str">
        <f>IFERROR(__xludf.DUMMYFUNCTION("IF(IF(U$1="""","""",REGEXMATCH(LOWER($E324),XLOOKUP(U$1,Metadata!$A$2:$A1000,Metadata!$B$2:$B1000))),U$1,"""")"),"")</f>
        <v/>
      </c>
      <c r="V324" s="34" t="str">
        <f>IFERROR(__xludf.DUMMYFUNCTION("IF(IF(V$1="""","""",REGEXMATCH(LOWER($E324),XLOOKUP(V$1,Metadata!$A$2:$A1000,Metadata!$B$2:$B1000))),V$1,"""")"),"")</f>
        <v/>
      </c>
      <c r="W324" s="34" t="str">
        <f>IFERROR(__xludf.DUMMYFUNCTION("IF(IF(W$1="""","""",REGEXMATCH(LOWER($E324),XLOOKUP(W$1,Metadata!$A$2:$A1000,Metadata!$B$2:$B1000))),W$1,"""")"),"")</f>
        <v/>
      </c>
      <c r="X324" s="34" t="str">
        <f>IFERROR(__xludf.DUMMYFUNCTION("IF(IF(X$1="""","""",REGEXMATCH(LOWER($E324),XLOOKUP(X$1,Metadata!$A$2:$A1000,Metadata!$B$2:$B1000))),X$1,"""")"),"")</f>
        <v/>
      </c>
      <c r="Y324" s="34" t="str">
        <f>IFERROR(__xludf.DUMMYFUNCTION("IF(IF(Y$1="""","""",REGEXMATCH(LOWER($E324),XLOOKUP(Y$1,Metadata!$A$2:$A1000,Metadata!$B$2:$B1000))),Y$1,"""")"),"")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I325">XLOOKUP($A325,Cards!$A$2:$A1000,Cards!$B$2:$I1000,"")</f>
        <v>Void</v>
      </c>
      <c r="C325" s="34">
        <v>2.0</v>
      </c>
      <c r="D325" s="34" t="s">
        <v>1909</v>
      </c>
      <c r="E325" s="34" t="s">
        <v>1910</v>
      </c>
      <c r="F325" s="34" t="s">
        <v>1911</v>
      </c>
      <c r="G325" s="34">
        <v>4.0</v>
      </c>
      <c r="H325" s="34" t="s">
        <v>1841</v>
      </c>
      <c r="I325" s="34" t="s">
        <v>70</v>
      </c>
      <c r="J325" s="34">
        <f>IFERROR(__xludf.DUMMYFUNCTION("LEN(REGEXREPLACE(XLOOKUP($A325,Cards!$A$2:$A1000,Cards!$H$2:$H1000,""""),"",\s"",""""))"),4.0)</f>
        <v>4</v>
      </c>
      <c r="K325" s="34" t="str">
        <f t="shared" si="1"/>
        <v>      Ramp      Ambush   </v>
      </c>
      <c r="L325" s="34" t="str">
        <f>IFERROR(__xludf.DUMMYFUNCTION("IF(IF(L$1="""","""",REGEXMATCH(LOWER($E325),XLOOKUP(L$1,Metadata!$A$2:$A1000,Metadata!$B$2:$B1000))),L$1,"""")"),"")</f>
        <v/>
      </c>
      <c r="M325" s="34" t="str">
        <f>IFERROR(__xludf.DUMMYFUNCTION("IF(IF(M$1="""","""",REGEXMATCH(LOWER($E325),XLOOKUP(M$1,Metadata!$A$2:$A1000,Metadata!$B$2:$B1000))),M$1,"""")"),"")</f>
        <v/>
      </c>
      <c r="N325" s="34" t="str">
        <f>IFERROR(__xludf.DUMMYFUNCTION("IF(IF(N$1="""","""",REGEXMATCH(LOWER($E325),XLOOKUP(N$1,Metadata!$A$2:$A1000,Metadata!$B$2:$B1000))),N$1,"""")"),"")</f>
        <v/>
      </c>
      <c r="O325" s="34" t="str">
        <f>IFERROR(__xludf.DUMMYFUNCTION("IF(IF(O$1="""","""",REGEXMATCH(LOWER($E325),XLOOKUP(O$1,Metadata!$A$2:$A1000,Metadata!$B$2:$B1000))),O$1,"""")"),"")</f>
        <v/>
      </c>
      <c r="P325" s="34" t="str">
        <f>IFERROR(__xludf.DUMMYFUNCTION("IF(IF(P$1="""","""",REGEXMATCH(LOWER($E325),XLOOKUP(P$1,Metadata!$A$2:$A1000,Metadata!$B$2:$B1000))),P$1,"""")"),"")</f>
        <v/>
      </c>
      <c r="Q325" s="34" t="str">
        <f>IFERROR(__xludf.DUMMYFUNCTION("IF(IF(Q$1="""","""",REGEXMATCH(LOWER($E325),XLOOKUP(Q$1,Metadata!$A$2:$A1000,Metadata!$B$2:$B1000))),Q$1,"""")"),"")</f>
        <v/>
      </c>
      <c r="R325" s="34" t="str">
        <f>IFERROR(__xludf.DUMMYFUNCTION("IF(IF(R$1="""","""",REGEXMATCH(LOWER($E325),XLOOKUP(R$1,Metadata!$A$2:$A1000,Metadata!$B$2:$B1000))),R$1,"""")"),"Ramp")</f>
        <v>Ramp</v>
      </c>
      <c r="S325" s="34" t="str">
        <f>IFERROR(__xludf.DUMMYFUNCTION("IF(IF(S$1="""","""",REGEXMATCH(LOWER($E325),XLOOKUP(S$1,Metadata!$A$2:$A1000,Metadata!$B$2:$B1000))),S$1,"""")"),"")</f>
        <v/>
      </c>
      <c r="T325" s="34" t="str">
        <f>IFERROR(__xludf.DUMMYFUNCTION("IF(IF(T$1="""","""",REGEXMATCH(LOWER($E325),XLOOKUP(T$1,Metadata!$A$2:$A1000,Metadata!$B$2:$B1000))),T$1,"""")"),"")</f>
        <v/>
      </c>
      <c r="U325" s="34" t="str">
        <f>IFERROR(__xludf.DUMMYFUNCTION("IF(IF(U$1="""","""",REGEXMATCH(LOWER($E325),XLOOKUP(U$1,Metadata!$A$2:$A1000,Metadata!$B$2:$B1000))),U$1,"""")"),"")</f>
        <v/>
      </c>
      <c r="V325" s="34" t="str">
        <f>IFERROR(__xludf.DUMMYFUNCTION("IF(IF(V$1="""","""",REGEXMATCH(LOWER($E325),XLOOKUP(V$1,Metadata!$A$2:$A1000,Metadata!$B$2:$B1000))),V$1,"""")"),"")</f>
        <v/>
      </c>
      <c r="W325" s="34" t="str">
        <f>IFERROR(__xludf.DUMMYFUNCTION("IF(IF(W$1="""","""",REGEXMATCH(LOWER($E325),XLOOKUP(W$1,Metadata!$A$2:$A1000,Metadata!$B$2:$B1000))),W$1,"""")"),"")</f>
        <v/>
      </c>
      <c r="X325" s="34" t="str">
        <f>IFERROR(__xludf.DUMMYFUNCTION("IF(IF(X$1="""","""",REGEXMATCH(LOWER($E325),XLOOKUP(X$1,Metadata!$A$2:$A1000,Metadata!$B$2:$B1000))),X$1,"""")"),"Ambush")</f>
        <v>Ambush</v>
      </c>
      <c r="Y325" s="34" t="str">
        <f>IFERROR(__xludf.DUMMYFUNCTION("IF(IF(Y$1="""","""",REGEXMATCH(LOWER($E325),XLOOKUP(Y$1,Metadata!$A$2:$A1000,Metadata!$B$2:$B1000))),Y$1,"""")"),"")</f>
        <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I326">XLOOKUP($A326,Cards!$A$2:$A1000,Cards!$B$2:$I1000,"")</f>
        <v>Nature</v>
      </c>
      <c r="C326" s="34">
        <v>1.0</v>
      </c>
      <c r="D326" s="34" t="s">
        <v>919</v>
      </c>
      <c r="E326" s="34"/>
      <c r="F326" s="34"/>
      <c r="G326" s="34">
        <v>5.0</v>
      </c>
      <c r="H326" s="34" t="s">
        <v>1913</v>
      </c>
      <c r="I326" s="34" t="s">
        <v>26</v>
      </c>
      <c r="J326" s="34">
        <f>IFERROR(__xludf.DUMMYFUNCTION("LEN(REGEXREPLACE(XLOOKUP($A326,Cards!$A$2:$A1000,Cards!$H$2:$H1000,""""),"",\s"",""""))"),5.0)</f>
        <v>5</v>
      </c>
      <c r="K326" s="34" t="str">
        <f t="shared" si="1"/>
        <v>               </v>
      </c>
      <c r="L326" s="34" t="str">
        <f>IFERROR(__xludf.DUMMYFUNCTION("IF(IF(L$1="""","""",REGEXMATCH(LOWER($E326),XLOOKUP(L$1,Metadata!$A$2:$A1000,Metadata!$B$2:$B1000))),L$1,"""")"),"")</f>
        <v/>
      </c>
      <c r="M326" s="34" t="str">
        <f>IFERROR(__xludf.DUMMYFUNCTION("IF(IF(M$1="""","""",REGEXMATCH(LOWER($E326),XLOOKUP(M$1,Metadata!$A$2:$A1000,Metadata!$B$2:$B1000))),M$1,"""")"),"")</f>
        <v/>
      </c>
      <c r="N326" s="34" t="str">
        <f>IFERROR(__xludf.DUMMYFUNCTION("IF(IF(N$1="""","""",REGEXMATCH(LOWER($E326),XLOOKUP(N$1,Metadata!$A$2:$A1000,Metadata!$B$2:$B1000))),N$1,"""")"),"")</f>
        <v/>
      </c>
      <c r="O326" s="34" t="str">
        <f>IFERROR(__xludf.DUMMYFUNCTION("IF(IF(O$1="""","""",REGEXMATCH(LOWER($E326),XLOOKUP(O$1,Metadata!$A$2:$A1000,Metadata!$B$2:$B1000))),O$1,"""")"),"")</f>
        <v/>
      </c>
      <c r="P326" s="34" t="str">
        <f>IFERROR(__xludf.DUMMYFUNCTION("IF(IF(P$1="""","""",REGEXMATCH(LOWER($E326),XLOOKUP(P$1,Metadata!$A$2:$A1000,Metadata!$B$2:$B1000))),P$1,"""")"),"")</f>
        <v/>
      </c>
      <c r="Q326" s="34" t="str">
        <f>IFERROR(__xludf.DUMMYFUNCTION("IF(IF(Q$1="""","""",REGEXMATCH(LOWER($E326),XLOOKUP(Q$1,Metadata!$A$2:$A1000,Metadata!$B$2:$B1000))),Q$1,"""")"),"")</f>
        <v/>
      </c>
      <c r="R326" s="34" t="str">
        <f>IFERROR(__xludf.DUMMYFUNCTION("IF(IF(R$1="""","""",REGEXMATCH(LOWER($E326),XLOOKUP(R$1,Metadata!$A$2:$A1000,Metadata!$B$2:$B1000))),R$1,"""")"),"")</f>
        <v/>
      </c>
      <c r="S326" s="34" t="str">
        <f>IFERROR(__xludf.DUMMYFUNCTION("IF(IF(S$1="""","""",REGEXMATCH(LOWER($E326),XLOOKUP(S$1,Metadata!$A$2:$A1000,Metadata!$B$2:$B1000))),S$1,"""")"),"")</f>
        <v/>
      </c>
      <c r="T326" s="34" t="str">
        <f>IFERROR(__xludf.DUMMYFUNCTION("IF(IF(T$1="""","""",REGEXMATCH(LOWER($E326),XLOOKUP(T$1,Metadata!$A$2:$A1000,Metadata!$B$2:$B1000))),T$1,"""")"),"")</f>
        <v/>
      </c>
      <c r="U326" s="34" t="str">
        <f>IFERROR(__xludf.DUMMYFUNCTION("IF(IF(U$1="""","""",REGEXMATCH(LOWER($E326),XLOOKUP(U$1,Metadata!$A$2:$A1000,Metadata!$B$2:$B1000))),U$1,"""")"),"")</f>
        <v/>
      </c>
      <c r="V326" s="34" t="str">
        <f>IFERROR(__xludf.DUMMYFUNCTION("IF(IF(V$1="""","""",REGEXMATCH(LOWER($E326),XLOOKUP(V$1,Metadata!$A$2:$A1000,Metadata!$B$2:$B1000))),V$1,"""")"),"")</f>
        <v/>
      </c>
      <c r="W326" s="34" t="str">
        <f>IFERROR(__xludf.DUMMYFUNCTION("IF(IF(W$1="""","""",REGEXMATCH(LOWER($E326),XLOOKUP(W$1,Metadata!$A$2:$A1000,Metadata!$B$2:$B1000))),W$1,"""")"),"")</f>
        <v/>
      </c>
      <c r="X326" s="34" t="str">
        <f>IFERROR(__xludf.DUMMYFUNCTION("IF(IF(X$1="""","""",REGEXMATCH(LOWER($E326),XLOOKUP(X$1,Metadata!$A$2:$A1000,Metadata!$B$2:$B1000))),X$1,"""")"),"")</f>
        <v/>
      </c>
      <c r="Y326" s="34" t="str">
        <f>IFERROR(__xludf.DUMMYFUNCTION("IF(IF(Y$1="""","""",REGEXMATCH(LOWER($E326),XLOOKUP(Y$1,Metadata!$A$2:$A1000,Metadata!$B$2:$B1000))),Y$1,"""")"),"")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I327">XLOOKUP($A327,Cards!$A$2:$A1000,Cards!$B$2:$I1000,"")</f>
        <v>Void</v>
      </c>
      <c r="C327" s="34">
        <v>2.0</v>
      </c>
      <c r="D327" s="34" t="s">
        <v>1175</v>
      </c>
      <c r="E327" s="34" t="s">
        <v>1915</v>
      </c>
      <c r="F327" s="34" t="s">
        <v>1916</v>
      </c>
      <c r="G327" s="34">
        <v>2.0</v>
      </c>
      <c r="H327" s="34" t="s">
        <v>1791</v>
      </c>
      <c r="I327" s="34" t="s">
        <v>26</v>
      </c>
      <c r="J327" s="34">
        <f>IFERROR(__xludf.DUMMYFUNCTION("LEN(REGEXREPLACE(XLOOKUP($A327,Cards!$A$2:$A1000,Cards!$H$2:$H1000,""""),"",\s"",""""))"),3.0)</f>
        <v>3</v>
      </c>
      <c r="K327" s="34" t="str">
        <f t="shared" si="1"/>
        <v>     Unearth          </v>
      </c>
      <c r="L327" s="34" t="str">
        <f>IFERROR(__xludf.DUMMYFUNCTION("IF(IF(L$1="""","""",REGEXMATCH(LOWER($E327),XLOOKUP(L$1,Metadata!$A$2:$A1000,Metadata!$B$2:$B1000))),L$1,"""")"),"")</f>
        <v/>
      </c>
      <c r="M327" s="34" t="str">
        <f>IFERROR(__xludf.DUMMYFUNCTION("IF(IF(M$1="""","""",REGEXMATCH(LOWER($E327),XLOOKUP(M$1,Metadata!$A$2:$A1000,Metadata!$B$2:$B1000))),M$1,"""")"),"")</f>
        <v/>
      </c>
      <c r="N327" s="34" t="str">
        <f>IFERROR(__xludf.DUMMYFUNCTION("IF(IF(N$1="""","""",REGEXMATCH(LOWER($E327),XLOOKUP(N$1,Metadata!$A$2:$A1000,Metadata!$B$2:$B1000))),N$1,"""")"),"")</f>
        <v/>
      </c>
      <c r="O327" s="34" t="str">
        <f>IFERROR(__xludf.DUMMYFUNCTION("IF(IF(O$1="""","""",REGEXMATCH(LOWER($E327),XLOOKUP(O$1,Metadata!$A$2:$A1000,Metadata!$B$2:$B1000))),O$1,"""")"),"")</f>
        <v/>
      </c>
      <c r="P327" s="34" t="str">
        <f>IFERROR(__xludf.DUMMYFUNCTION("IF(IF(P$1="""","""",REGEXMATCH(LOWER($E327),XLOOKUP(P$1,Metadata!$A$2:$A1000,Metadata!$B$2:$B1000))),P$1,"""")"),"")</f>
        <v/>
      </c>
      <c r="Q327" s="34" t="str">
        <f>IFERROR(__xludf.DUMMYFUNCTION("IF(IF(Q$1="""","""",REGEXMATCH(LOWER($E327),XLOOKUP(Q$1,Metadata!$A$2:$A1000,Metadata!$B$2:$B1000))),Q$1,"""")"),"Unearth")</f>
        <v>Unearth</v>
      </c>
      <c r="R327" s="34" t="str">
        <f>IFERROR(__xludf.DUMMYFUNCTION("IF(IF(R$1="""","""",REGEXMATCH(LOWER($E327),XLOOKUP(R$1,Metadata!$A$2:$A1000,Metadata!$B$2:$B1000))),R$1,"""")"),"")</f>
        <v/>
      </c>
      <c r="S327" s="34" t="str">
        <f>IFERROR(__xludf.DUMMYFUNCTION("IF(IF(S$1="""","""",REGEXMATCH(LOWER($E327),XLOOKUP(S$1,Metadata!$A$2:$A1000,Metadata!$B$2:$B1000))),S$1,"""")"),"")</f>
        <v/>
      </c>
      <c r="T327" s="34" t="str">
        <f>IFERROR(__xludf.DUMMYFUNCTION("IF(IF(T$1="""","""",REGEXMATCH(LOWER($E327),XLOOKUP(T$1,Metadata!$A$2:$A1000,Metadata!$B$2:$B1000))),T$1,"""")"),"")</f>
        <v/>
      </c>
      <c r="U327" s="34" t="str">
        <f>IFERROR(__xludf.DUMMYFUNCTION("IF(IF(U$1="""","""",REGEXMATCH(LOWER($E327),XLOOKUP(U$1,Metadata!$A$2:$A1000,Metadata!$B$2:$B1000))),U$1,"""")"),"")</f>
        <v/>
      </c>
      <c r="V327" s="34" t="str">
        <f>IFERROR(__xludf.DUMMYFUNCTION("IF(IF(V$1="""","""",REGEXMATCH(LOWER($E327),XLOOKUP(V$1,Metadata!$A$2:$A1000,Metadata!$B$2:$B1000))),V$1,"""")"),"")</f>
        <v/>
      </c>
      <c r="W327" s="34" t="str">
        <f>IFERROR(__xludf.DUMMYFUNCTION("IF(IF(W$1="""","""",REGEXMATCH(LOWER($E327),XLOOKUP(W$1,Metadata!$A$2:$A1000,Metadata!$B$2:$B1000))),W$1,"""")"),"")</f>
        <v/>
      </c>
      <c r="X327" s="34" t="str">
        <f>IFERROR(__xludf.DUMMYFUNCTION("IF(IF(X$1="""","""",REGEXMATCH(LOWER($E327),XLOOKUP(X$1,Metadata!$A$2:$A1000,Metadata!$B$2:$B1000))),X$1,"""")"),"")</f>
        <v/>
      </c>
      <c r="Y327" s="34" t="str">
        <f>IFERROR(__xludf.DUMMYFUNCTION("IF(IF(Y$1="""","""",REGEXMATCH(LOWER($E327),XLOOKUP(Y$1,Metadata!$A$2:$A1000,Metadata!$B$2:$B1000))),Y$1,"""")"),"")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I328">XLOOKUP($A328,Cards!$A$2:$A1000,Cards!$B$2:$I1000,"")</f>
        <v>Nature</v>
      </c>
      <c r="C328" s="34">
        <v>1.0</v>
      </c>
      <c r="D328" s="34" t="s">
        <v>1397</v>
      </c>
      <c r="E328" s="34" t="s">
        <v>1918</v>
      </c>
      <c r="F328" s="34" t="s">
        <v>1919</v>
      </c>
      <c r="G328" s="34">
        <v>1.0</v>
      </c>
      <c r="H328" s="34" t="s">
        <v>1715</v>
      </c>
      <c r="I328" s="34" t="s">
        <v>32</v>
      </c>
      <c r="J328" s="34">
        <f>IFERROR(__xludf.DUMMYFUNCTION("LEN(REGEXREPLACE(XLOOKUP($A328,Cards!$A$2:$A1000,Cards!$H$2:$H1000,""""),"",\s"",""""))"),1.0)</f>
        <v>1</v>
      </c>
      <c r="K328" s="34" t="str">
        <f t="shared" si="1"/>
        <v>       Control     Ambush   </v>
      </c>
      <c r="L328" s="34" t="str">
        <f>IFERROR(__xludf.DUMMYFUNCTION("IF(IF(L$1="""","""",REGEXMATCH(LOWER($E328),XLOOKUP(L$1,Metadata!$A$2:$A1000,Metadata!$B$2:$B1000))),L$1,"""")"),"")</f>
        <v/>
      </c>
      <c r="M328" s="34" t="str">
        <f>IFERROR(__xludf.DUMMYFUNCTION("IF(IF(M$1="""","""",REGEXMATCH(LOWER($E328),XLOOKUP(M$1,Metadata!$A$2:$A1000,Metadata!$B$2:$B1000))),M$1,"""")"),"")</f>
        <v/>
      </c>
      <c r="N328" s="34" t="str">
        <f>IFERROR(__xludf.DUMMYFUNCTION("IF(IF(N$1="""","""",REGEXMATCH(LOWER($E328),XLOOKUP(N$1,Metadata!$A$2:$A1000,Metadata!$B$2:$B1000))),N$1,"""")"),"")</f>
        <v/>
      </c>
      <c r="O328" s="34" t="str">
        <f>IFERROR(__xludf.DUMMYFUNCTION("IF(IF(O$1="""","""",REGEXMATCH(LOWER($E328),XLOOKUP(O$1,Metadata!$A$2:$A1000,Metadata!$B$2:$B1000))),O$1,"""")"),"")</f>
        <v/>
      </c>
      <c r="P328" s="34" t="str">
        <f>IFERROR(__xludf.DUMMYFUNCTION("IF(IF(P$1="""","""",REGEXMATCH(LOWER($E328),XLOOKUP(P$1,Metadata!$A$2:$A1000,Metadata!$B$2:$B1000))),P$1,"""")"),"")</f>
        <v/>
      </c>
      <c r="Q328" s="34" t="str">
        <f>IFERROR(__xludf.DUMMYFUNCTION("IF(IF(Q$1="""","""",REGEXMATCH(LOWER($E328),XLOOKUP(Q$1,Metadata!$A$2:$A1000,Metadata!$B$2:$B1000))),Q$1,"""")"),"")</f>
        <v/>
      </c>
      <c r="R328" s="34" t="str">
        <f>IFERROR(__xludf.DUMMYFUNCTION("IF(IF(R$1="""","""",REGEXMATCH(LOWER($E328),XLOOKUP(R$1,Metadata!$A$2:$A1000,Metadata!$B$2:$B1000))),R$1,"""")"),"")</f>
        <v/>
      </c>
      <c r="S328" s="34" t="str">
        <f>IFERROR(__xludf.DUMMYFUNCTION("IF(IF(S$1="""","""",REGEXMATCH(LOWER($E328),XLOOKUP(S$1,Metadata!$A$2:$A1000,Metadata!$B$2:$B1000))),S$1,"""")"),"Control")</f>
        <v>Control</v>
      </c>
      <c r="T328" s="34" t="str">
        <f>IFERROR(__xludf.DUMMYFUNCTION("IF(IF(T$1="""","""",REGEXMATCH(LOWER($E328),XLOOKUP(T$1,Metadata!$A$2:$A1000,Metadata!$B$2:$B1000))),T$1,"""")"),"")</f>
        <v/>
      </c>
      <c r="U328" s="34" t="str">
        <f>IFERROR(__xludf.DUMMYFUNCTION("IF(IF(U$1="""","""",REGEXMATCH(LOWER($E328),XLOOKUP(U$1,Metadata!$A$2:$A1000,Metadata!$B$2:$B1000))),U$1,"""")"),"")</f>
        <v/>
      </c>
      <c r="V328" s="34" t="str">
        <f>IFERROR(__xludf.DUMMYFUNCTION("IF(IF(V$1="""","""",REGEXMATCH(LOWER($E328),XLOOKUP(V$1,Metadata!$A$2:$A1000,Metadata!$B$2:$B1000))),V$1,"""")"),"")</f>
        <v/>
      </c>
      <c r="W328" s="34" t="str">
        <f>IFERROR(__xludf.DUMMYFUNCTION("IF(IF(W$1="""","""",REGEXMATCH(LOWER($E328),XLOOKUP(W$1,Metadata!$A$2:$A1000,Metadata!$B$2:$B1000))),W$1,"""")"),"")</f>
        <v/>
      </c>
      <c r="X328" s="34" t="str">
        <f>IFERROR(__xludf.DUMMYFUNCTION("IF(IF(X$1="""","""",REGEXMATCH(LOWER($E328),XLOOKUP(X$1,Metadata!$A$2:$A1000,Metadata!$B$2:$B1000))),X$1,"""")"),"Ambush")</f>
        <v>Ambush</v>
      </c>
      <c r="Y328" s="34" t="str">
        <f>IFERROR(__xludf.DUMMYFUNCTION("IF(IF(Y$1="""","""",REGEXMATCH(LOWER($E328),XLOOKUP(Y$1,Metadata!$A$2:$A1000,Metadata!$B$2:$B1000))),Y$1,"""")"),"")</f>
        <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I329">XLOOKUP($A329,Cards!$A$2:$A1000,Cards!$B$2:$I1000,"")</f>
        <v>Nature</v>
      </c>
      <c r="C329" s="34">
        <v>1.0</v>
      </c>
      <c r="D329" s="34" t="s">
        <v>1720</v>
      </c>
      <c r="E329" s="34" t="s">
        <v>1921</v>
      </c>
      <c r="F329" s="34"/>
      <c r="G329" s="34">
        <v>6.0</v>
      </c>
      <c r="H329" s="34" t="s">
        <v>1535</v>
      </c>
      <c r="I329" s="34" t="s">
        <v>70</v>
      </c>
      <c r="J329" s="34">
        <f>IFERROR(__xludf.DUMMYFUNCTION("LEN(REGEXREPLACE(XLOOKUP($A329,Cards!$A$2:$A1000,Cards!$H$2:$H1000,""""),"",\s"",""""))"),6.0)</f>
        <v>6</v>
      </c>
      <c r="K329" s="34" t="str">
        <f t="shared" si="1"/>
        <v>               </v>
      </c>
      <c r="L329" s="34" t="str">
        <f>IFERROR(__xludf.DUMMYFUNCTION("IF(IF(L$1="""","""",REGEXMATCH(LOWER($E329),XLOOKUP(L$1,Metadata!$A$2:$A1000,Metadata!$B$2:$B1000))),L$1,"""")"),"")</f>
        <v/>
      </c>
      <c r="M329" s="34" t="str">
        <f>IFERROR(__xludf.DUMMYFUNCTION("IF(IF(M$1="""","""",REGEXMATCH(LOWER($E329),XLOOKUP(M$1,Metadata!$A$2:$A1000,Metadata!$B$2:$B1000))),M$1,"""")"),"")</f>
        <v/>
      </c>
      <c r="N329" s="34" t="str">
        <f>IFERROR(__xludf.DUMMYFUNCTION("IF(IF(N$1="""","""",REGEXMATCH(LOWER($E329),XLOOKUP(N$1,Metadata!$A$2:$A1000,Metadata!$B$2:$B1000))),N$1,"""")"),"")</f>
        <v/>
      </c>
      <c r="O329" s="34" t="str">
        <f>IFERROR(__xludf.DUMMYFUNCTION("IF(IF(O$1="""","""",REGEXMATCH(LOWER($E329),XLOOKUP(O$1,Metadata!$A$2:$A1000,Metadata!$B$2:$B1000))),O$1,"""")"),"")</f>
        <v/>
      </c>
      <c r="P329" s="34" t="str">
        <f>IFERROR(__xludf.DUMMYFUNCTION("IF(IF(P$1="""","""",REGEXMATCH(LOWER($E329),XLOOKUP(P$1,Metadata!$A$2:$A1000,Metadata!$B$2:$B1000))),P$1,"""")"),"")</f>
        <v/>
      </c>
      <c r="Q329" s="34" t="str">
        <f>IFERROR(__xludf.DUMMYFUNCTION("IF(IF(Q$1="""","""",REGEXMATCH(LOWER($E329),XLOOKUP(Q$1,Metadata!$A$2:$A1000,Metadata!$B$2:$B1000))),Q$1,"""")"),"")</f>
        <v/>
      </c>
      <c r="R329" s="34" t="str">
        <f>IFERROR(__xludf.DUMMYFUNCTION("IF(IF(R$1="""","""",REGEXMATCH(LOWER($E329),XLOOKUP(R$1,Metadata!$A$2:$A1000,Metadata!$B$2:$B1000))),R$1,"""")"),"")</f>
        <v/>
      </c>
      <c r="S329" s="34" t="str">
        <f>IFERROR(__xludf.DUMMYFUNCTION("IF(IF(S$1="""","""",REGEXMATCH(LOWER($E329),XLOOKUP(S$1,Metadata!$A$2:$A1000,Metadata!$B$2:$B1000))),S$1,"""")"),"")</f>
        <v/>
      </c>
      <c r="T329" s="34" t="str">
        <f>IFERROR(__xludf.DUMMYFUNCTION("IF(IF(T$1="""","""",REGEXMATCH(LOWER($E329),XLOOKUP(T$1,Metadata!$A$2:$A1000,Metadata!$B$2:$B1000))),T$1,"""")"),"")</f>
        <v/>
      </c>
      <c r="U329" s="34" t="str">
        <f>IFERROR(__xludf.DUMMYFUNCTION("IF(IF(U$1="""","""",REGEXMATCH(LOWER($E329),XLOOKUP(U$1,Metadata!$A$2:$A1000,Metadata!$B$2:$B1000))),U$1,"""")"),"")</f>
        <v/>
      </c>
      <c r="V329" s="34" t="str">
        <f>IFERROR(__xludf.DUMMYFUNCTION("IF(IF(V$1="""","""",REGEXMATCH(LOWER($E329),XLOOKUP(V$1,Metadata!$A$2:$A1000,Metadata!$B$2:$B1000))),V$1,"""")"),"")</f>
        <v/>
      </c>
      <c r="W329" s="34" t="str">
        <f>IFERROR(__xludf.DUMMYFUNCTION("IF(IF(W$1="""","""",REGEXMATCH(LOWER($E329),XLOOKUP(W$1,Metadata!$A$2:$A1000,Metadata!$B$2:$B1000))),W$1,"""")"),"")</f>
        <v/>
      </c>
      <c r="X329" s="34" t="str">
        <f>IFERROR(__xludf.DUMMYFUNCTION("IF(IF(X$1="""","""",REGEXMATCH(LOWER($E329),XLOOKUP(X$1,Metadata!$A$2:$A1000,Metadata!$B$2:$B1000))),X$1,"""")"),"")</f>
        <v/>
      </c>
      <c r="Y329" s="34" t="str">
        <f>IFERROR(__xludf.DUMMYFUNCTION("IF(IF(Y$1="""","""",REGEXMATCH(LOWER($E329),XLOOKUP(Y$1,Metadata!$A$2:$A1000,Metadata!$B$2:$B1000))),Y$1,"""")"),"")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I330">XLOOKUP($A330,Cards!$A$2:$A1000,Cards!$B$2:$I1000,"")</f>
        <v>Nature</v>
      </c>
      <c r="C330" s="34">
        <v>1.0</v>
      </c>
      <c r="D330" s="34" t="s">
        <v>250</v>
      </c>
      <c r="E330" s="34" t="s">
        <v>1923</v>
      </c>
      <c r="F330" s="34"/>
      <c r="G330" s="34">
        <v>4.0</v>
      </c>
      <c r="H330" s="34" t="s">
        <v>1819</v>
      </c>
      <c r="I330" s="34" t="s">
        <v>32</v>
      </c>
      <c r="J330" s="34">
        <f>IFERROR(__xludf.DUMMYFUNCTION("LEN(REGEXREPLACE(XLOOKUP($A330,Cards!$A$2:$A1000,Cards!$H$2:$H1000,""""),"",\s"",""""))"),5.0)</f>
        <v>5</v>
      </c>
      <c r="K330" s="34" t="str">
        <f t="shared" si="1"/>
        <v>      Ramp         </v>
      </c>
      <c r="L330" s="34" t="str">
        <f>IFERROR(__xludf.DUMMYFUNCTION("IF(IF(L$1="""","""",REGEXMATCH(LOWER($E330),XLOOKUP(L$1,Metadata!$A$2:$A1000,Metadata!$B$2:$B1000))),L$1,"""")"),"")</f>
        <v/>
      </c>
      <c r="M330" s="34" t="str">
        <f>IFERROR(__xludf.DUMMYFUNCTION("IF(IF(M$1="""","""",REGEXMATCH(LOWER($E330),XLOOKUP(M$1,Metadata!$A$2:$A1000,Metadata!$B$2:$B1000))),M$1,"""")"),"")</f>
        <v/>
      </c>
      <c r="N330" s="34" t="str">
        <f>IFERROR(__xludf.DUMMYFUNCTION("IF(IF(N$1="""","""",REGEXMATCH(LOWER($E330),XLOOKUP(N$1,Metadata!$A$2:$A1000,Metadata!$B$2:$B1000))),N$1,"""")"),"")</f>
        <v/>
      </c>
      <c r="O330" s="34" t="str">
        <f>IFERROR(__xludf.DUMMYFUNCTION("IF(IF(O$1="""","""",REGEXMATCH(LOWER($E330),XLOOKUP(O$1,Metadata!$A$2:$A1000,Metadata!$B$2:$B1000))),O$1,"""")"),"")</f>
        <v/>
      </c>
      <c r="P330" s="34" t="str">
        <f>IFERROR(__xludf.DUMMYFUNCTION("IF(IF(P$1="""","""",REGEXMATCH(LOWER($E330),XLOOKUP(P$1,Metadata!$A$2:$A1000,Metadata!$B$2:$B1000))),P$1,"""")"),"")</f>
        <v/>
      </c>
      <c r="Q330" s="34" t="str">
        <f>IFERROR(__xludf.DUMMYFUNCTION("IF(IF(Q$1="""","""",REGEXMATCH(LOWER($E330),XLOOKUP(Q$1,Metadata!$A$2:$A1000,Metadata!$B$2:$B1000))),Q$1,"""")"),"")</f>
        <v/>
      </c>
      <c r="R330" s="34" t="str">
        <f>IFERROR(__xludf.DUMMYFUNCTION("IF(IF(R$1="""","""",REGEXMATCH(LOWER($E330),XLOOKUP(R$1,Metadata!$A$2:$A1000,Metadata!$B$2:$B1000))),R$1,"""")"),"Ramp")</f>
        <v>Ramp</v>
      </c>
      <c r="S330" s="34" t="str">
        <f>IFERROR(__xludf.DUMMYFUNCTION("IF(IF(S$1="""","""",REGEXMATCH(LOWER($E330),XLOOKUP(S$1,Metadata!$A$2:$A1000,Metadata!$B$2:$B1000))),S$1,"""")"),"")</f>
        <v/>
      </c>
      <c r="T330" s="34" t="str">
        <f>IFERROR(__xludf.DUMMYFUNCTION("IF(IF(T$1="""","""",REGEXMATCH(LOWER($E330),XLOOKUP(T$1,Metadata!$A$2:$A1000,Metadata!$B$2:$B1000))),T$1,"""")"),"")</f>
        <v/>
      </c>
      <c r="U330" s="34" t="str">
        <f>IFERROR(__xludf.DUMMYFUNCTION("IF(IF(U$1="""","""",REGEXMATCH(LOWER($E330),XLOOKUP(U$1,Metadata!$A$2:$A1000,Metadata!$B$2:$B1000))),U$1,"""")"),"")</f>
        <v/>
      </c>
      <c r="V330" s="34" t="str">
        <f>IFERROR(__xludf.DUMMYFUNCTION("IF(IF(V$1="""","""",REGEXMATCH(LOWER($E330),XLOOKUP(V$1,Metadata!$A$2:$A1000,Metadata!$B$2:$B1000))),V$1,"""")"),"")</f>
        <v/>
      </c>
      <c r="W330" s="34" t="str">
        <f>IFERROR(__xludf.DUMMYFUNCTION("IF(IF(W$1="""","""",REGEXMATCH(LOWER($E330),XLOOKUP(W$1,Metadata!$A$2:$A1000,Metadata!$B$2:$B1000))),W$1,"""")"),"")</f>
        <v/>
      </c>
      <c r="X330" s="34" t="str">
        <f>IFERROR(__xludf.DUMMYFUNCTION("IF(IF(X$1="""","""",REGEXMATCH(LOWER($E330),XLOOKUP(X$1,Metadata!$A$2:$A1000,Metadata!$B$2:$B1000))),X$1,"""")"),"")</f>
        <v/>
      </c>
      <c r="Y330" s="34" t="str">
        <f>IFERROR(__xludf.DUMMYFUNCTION("IF(IF(Y$1="""","""",REGEXMATCH(LOWER($E330),XLOOKUP(Y$1,Metadata!$A$2:$A1000,Metadata!$B$2:$B1000))),Y$1,"""")"),"")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I331">XLOOKUP($A331,Cards!$A$2:$A1000,Cards!$B$2:$I1000,"")</f>
        <v>Void</v>
      </c>
      <c r="C331" s="34">
        <v>2.0</v>
      </c>
      <c r="D331" s="34" t="s">
        <v>651</v>
      </c>
      <c r="E331" s="34" t="s">
        <v>1925</v>
      </c>
      <c r="F331" s="34" t="s">
        <v>1926</v>
      </c>
      <c r="G331" s="34">
        <v>0.0</v>
      </c>
      <c r="H331" s="34" t="s">
        <v>1781</v>
      </c>
      <c r="I331" s="34" t="s">
        <v>70</v>
      </c>
      <c r="J331" s="34">
        <f>IFERROR(__xludf.DUMMYFUNCTION("LEN(REGEXREPLACE(XLOOKUP($A331,Cards!$A$2:$A1000,Cards!$H$2:$H1000,""""),"",\s"",""""))"),5.0)</f>
        <v>5</v>
      </c>
      <c r="K331" s="34" t="str">
        <f t="shared" si="1"/>
        <v>               </v>
      </c>
      <c r="L331" s="34" t="str">
        <f>IFERROR(__xludf.DUMMYFUNCTION("IF(IF(L$1="""","""",REGEXMATCH(LOWER($E331),XLOOKUP(L$1,Metadata!$A$2:$A1000,Metadata!$B$2:$B1000))),L$1,"""")"),"")</f>
        <v/>
      </c>
      <c r="M331" s="34" t="str">
        <f>IFERROR(__xludf.DUMMYFUNCTION("IF(IF(M$1="""","""",REGEXMATCH(LOWER($E331),XLOOKUP(M$1,Metadata!$A$2:$A1000,Metadata!$B$2:$B1000))),M$1,"""")"),"")</f>
        <v/>
      </c>
      <c r="N331" s="34" t="str">
        <f>IFERROR(__xludf.DUMMYFUNCTION("IF(IF(N$1="""","""",REGEXMATCH(LOWER($E331),XLOOKUP(N$1,Metadata!$A$2:$A1000,Metadata!$B$2:$B1000))),N$1,"""")"),"")</f>
        <v/>
      </c>
      <c r="O331" s="34" t="str">
        <f>IFERROR(__xludf.DUMMYFUNCTION("IF(IF(O$1="""","""",REGEXMATCH(LOWER($E331),XLOOKUP(O$1,Metadata!$A$2:$A1000,Metadata!$B$2:$B1000))),O$1,"""")"),"")</f>
        <v/>
      </c>
      <c r="P331" s="34" t="str">
        <f>IFERROR(__xludf.DUMMYFUNCTION("IF(IF(P$1="""","""",REGEXMATCH(LOWER($E331),XLOOKUP(P$1,Metadata!$A$2:$A1000,Metadata!$B$2:$B1000))),P$1,"""")"),"")</f>
        <v/>
      </c>
      <c r="Q331" s="34" t="str">
        <f>IFERROR(__xludf.DUMMYFUNCTION("IF(IF(Q$1="""","""",REGEXMATCH(LOWER($E331),XLOOKUP(Q$1,Metadata!$A$2:$A1000,Metadata!$B$2:$B1000))),Q$1,"""")"),"")</f>
        <v/>
      </c>
      <c r="R331" s="34" t="str">
        <f>IFERROR(__xludf.DUMMYFUNCTION("IF(IF(R$1="""","""",REGEXMATCH(LOWER($E331),XLOOKUP(R$1,Metadata!$A$2:$A1000,Metadata!$B$2:$B1000))),R$1,"""")"),"")</f>
        <v/>
      </c>
      <c r="S331" s="34" t="str">
        <f>IFERROR(__xludf.DUMMYFUNCTION("IF(IF(S$1="""","""",REGEXMATCH(LOWER($E331),XLOOKUP(S$1,Metadata!$A$2:$A1000,Metadata!$B$2:$B1000))),S$1,"""")"),"")</f>
        <v/>
      </c>
      <c r="T331" s="34" t="str">
        <f>IFERROR(__xludf.DUMMYFUNCTION("IF(IF(T$1="""","""",REGEXMATCH(LOWER($E331),XLOOKUP(T$1,Metadata!$A$2:$A1000,Metadata!$B$2:$B1000))),T$1,"""")"),"")</f>
        <v/>
      </c>
      <c r="U331" s="34" t="str">
        <f>IFERROR(__xludf.DUMMYFUNCTION("IF(IF(U$1="""","""",REGEXMATCH(LOWER($E331),XLOOKUP(U$1,Metadata!$A$2:$A1000,Metadata!$B$2:$B1000))),U$1,"""")"),"")</f>
        <v/>
      </c>
      <c r="V331" s="34" t="str">
        <f>IFERROR(__xludf.DUMMYFUNCTION("IF(IF(V$1="""","""",REGEXMATCH(LOWER($E331),XLOOKUP(V$1,Metadata!$A$2:$A1000,Metadata!$B$2:$B1000))),V$1,"""")"),"")</f>
        <v/>
      </c>
      <c r="W331" s="34" t="str">
        <f>IFERROR(__xludf.DUMMYFUNCTION("IF(IF(W$1="""","""",REGEXMATCH(LOWER($E331),XLOOKUP(W$1,Metadata!$A$2:$A1000,Metadata!$B$2:$B1000))),W$1,"""")"),"")</f>
        <v/>
      </c>
      <c r="X331" s="34" t="str">
        <f>IFERROR(__xludf.DUMMYFUNCTION("IF(IF(X$1="""","""",REGEXMATCH(LOWER($E331),XLOOKUP(X$1,Metadata!$A$2:$A1000,Metadata!$B$2:$B1000))),X$1,"""")"),"")</f>
        <v/>
      </c>
      <c r="Y331" s="34" t="str">
        <f>IFERROR(__xludf.DUMMYFUNCTION("IF(IF(Y$1="""","""",REGEXMATCH(LOWER($E331),XLOOKUP(Y$1,Metadata!$A$2:$A1000,Metadata!$B$2:$B1000))),Y$1,"""")"),"")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I332">XLOOKUP($A332,Cards!$A$2:$A1000,Cards!$B$2:$I1000,"")</f>
        <v>Void</v>
      </c>
      <c r="C332" s="34">
        <v>2.0</v>
      </c>
      <c r="D332" s="34" t="s">
        <v>342</v>
      </c>
      <c r="E332" s="34" t="s">
        <v>1928</v>
      </c>
      <c r="F332" s="34" t="s">
        <v>1929</v>
      </c>
      <c r="G332" s="34">
        <v>2.0</v>
      </c>
      <c r="H332" s="34" t="s">
        <v>1841</v>
      </c>
      <c r="I332" s="34" t="s">
        <v>70</v>
      </c>
      <c r="J332" s="34">
        <f>IFERROR(__xludf.DUMMYFUNCTION("LEN(REGEXREPLACE(XLOOKUP($A332,Cards!$A$2:$A1000,Cards!$H$2:$H1000,""""),"",\s"",""""))"),4.0)</f>
        <v>4</v>
      </c>
      <c r="K332" s="34" t="str">
        <f t="shared" si="1"/>
        <v>         Aggro   Ambush   </v>
      </c>
      <c r="L332" s="34" t="str">
        <f>IFERROR(__xludf.DUMMYFUNCTION("IF(IF(L$1="""","""",REGEXMATCH(LOWER($E332),XLOOKUP(L$1,Metadata!$A$2:$A1000,Metadata!$B$2:$B1000))),L$1,"""")"),"")</f>
        <v/>
      </c>
      <c r="M332" s="34" t="str">
        <f>IFERROR(__xludf.DUMMYFUNCTION("IF(IF(M$1="""","""",REGEXMATCH(LOWER($E332),XLOOKUP(M$1,Metadata!$A$2:$A1000,Metadata!$B$2:$B1000))),M$1,"""")"),"")</f>
        <v/>
      </c>
      <c r="N332" s="34" t="str">
        <f>IFERROR(__xludf.DUMMYFUNCTION("IF(IF(N$1="""","""",REGEXMATCH(LOWER($E332),XLOOKUP(N$1,Metadata!$A$2:$A1000,Metadata!$B$2:$B1000))),N$1,"""")"),"")</f>
        <v/>
      </c>
      <c r="O332" s="34" t="str">
        <f>IFERROR(__xludf.DUMMYFUNCTION("IF(IF(O$1="""","""",REGEXMATCH(LOWER($E332),XLOOKUP(O$1,Metadata!$A$2:$A1000,Metadata!$B$2:$B1000))),O$1,"""")"),"")</f>
        <v/>
      </c>
      <c r="P332" s="34" t="str">
        <f>IFERROR(__xludf.DUMMYFUNCTION("IF(IF(P$1="""","""",REGEXMATCH(LOWER($E332),XLOOKUP(P$1,Metadata!$A$2:$A1000,Metadata!$B$2:$B1000))),P$1,"""")"),"")</f>
        <v/>
      </c>
      <c r="Q332" s="34" t="str">
        <f>IFERROR(__xludf.DUMMYFUNCTION("IF(IF(Q$1="""","""",REGEXMATCH(LOWER($E332),XLOOKUP(Q$1,Metadata!$A$2:$A1000,Metadata!$B$2:$B1000))),Q$1,"""")"),"")</f>
        <v/>
      </c>
      <c r="R332" s="34" t="str">
        <f>IFERROR(__xludf.DUMMYFUNCTION("IF(IF(R$1="""","""",REGEXMATCH(LOWER($E332),XLOOKUP(R$1,Metadata!$A$2:$A1000,Metadata!$B$2:$B1000))),R$1,"""")"),"")</f>
        <v/>
      </c>
      <c r="S332" s="34" t="str">
        <f>IFERROR(__xludf.DUMMYFUNCTION("IF(IF(S$1="""","""",REGEXMATCH(LOWER($E332),XLOOKUP(S$1,Metadata!$A$2:$A1000,Metadata!$B$2:$B1000))),S$1,"""")"),"")</f>
        <v/>
      </c>
      <c r="T332" s="34" t="str">
        <f>IFERROR(__xludf.DUMMYFUNCTION("IF(IF(T$1="""","""",REGEXMATCH(LOWER($E332),XLOOKUP(T$1,Metadata!$A$2:$A1000,Metadata!$B$2:$B1000))),T$1,"""")"),"")</f>
        <v/>
      </c>
      <c r="U332" s="34" t="str">
        <f>IFERROR(__xludf.DUMMYFUNCTION("IF(IF(U$1="""","""",REGEXMATCH(LOWER($E332),XLOOKUP(U$1,Metadata!$A$2:$A1000,Metadata!$B$2:$B1000))),U$1,"""")"),"Aggro")</f>
        <v>Aggro</v>
      </c>
      <c r="V332" s="34" t="str">
        <f>IFERROR(__xludf.DUMMYFUNCTION("IF(IF(V$1="""","""",REGEXMATCH(LOWER($E332),XLOOKUP(V$1,Metadata!$A$2:$A1000,Metadata!$B$2:$B1000))),V$1,"""")"),"")</f>
        <v/>
      </c>
      <c r="W332" s="34" t="str">
        <f>IFERROR(__xludf.DUMMYFUNCTION("IF(IF(W$1="""","""",REGEXMATCH(LOWER($E332),XLOOKUP(W$1,Metadata!$A$2:$A1000,Metadata!$B$2:$B1000))),W$1,"""")"),"")</f>
        <v/>
      </c>
      <c r="X332" s="34" t="str">
        <f>IFERROR(__xludf.DUMMYFUNCTION("IF(IF(X$1="""","""",REGEXMATCH(LOWER($E332),XLOOKUP(X$1,Metadata!$A$2:$A1000,Metadata!$B$2:$B1000))),X$1,"""")"),"Ambush")</f>
        <v>Ambush</v>
      </c>
      <c r="Y332" s="34" t="str">
        <f>IFERROR(__xludf.DUMMYFUNCTION("IF(IF(Y$1="""","""",REGEXMATCH(LOWER($E332),XLOOKUP(Y$1,Metadata!$A$2:$A1000,Metadata!$B$2:$B1000))),Y$1,"""")"),"")</f>
        <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I333">XLOOKUP($A333,Cards!$A$2:$A1000,Cards!$B$2:$I1000,"")</f>
        <v>Void</v>
      </c>
      <c r="C333" s="34">
        <v>2.0</v>
      </c>
      <c r="D333" s="34" t="s">
        <v>1931</v>
      </c>
      <c r="E333" s="34" t="s">
        <v>1932</v>
      </c>
      <c r="F333" s="34" t="s">
        <v>1933</v>
      </c>
      <c r="G333" s="34">
        <v>3.0</v>
      </c>
      <c r="H333" s="34" t="s">
        <v>1791</v>
      </c>
      <c r="I333" s="34" t="s">
        <v>26</v>
      </c>
      <c r="J333" s="34">
        <f>IFERROR(__xludf.DUMMYFUNCTION("LEN(REGEXREPLACE(XLOOKUP($A333,Cards!$A$2:$A1000,Cards!$H$2:$H1000,""""),"",\s"",""""))"),3.0)</f>
        <v>3</v>
      </c>
      <c r="K333" s="34" t="str">
        <f t="shared" si="1"/>
        <v>    Void           </v>
      </c>
      <c r="L333" s="34" t="str">
        <f>IFERROR(__xludf.DUMMYFUNCTION("IF(IF(L$1="""","""",REGEXMATCH(LOWER($E333),XLOOKUP(L$1,Metadata!$A$2:$A1000,Metadata!$B$2:$B1000))),L$1,"""")"),"")</f>
        <v/>
      </c>
      <c r="M333" s="34" t="str">
        <f>IFERROR(__xludf.DUMMYFUNCTION("IF(IF(M$1="""","""",REGEXMATCH(LOWER($E333),XLOOKUP(M$1,Metadata!$A$2:$A1000,Metadata!$B$2:$B1000))),M$1,"""")"),"")</f>
        <v/>
      </c>
      <c r="N333" s="34" t="str">
        <f>IFERROR(__xludf.DUMMYFUNCTION("IF(IF(N$1="""","""",REGEXMATCH(LOWER($E333),XLOOKUP(N$1,Metadata!$A$2:$A1000,Metadata!$B$2:$B1000))),N$1,"""")"),"")</f>
        <v/>
      </c>
      <c r="O333" s="34" t="str">
        <f>IFERROR(__xludf.DUMMYFUNCTION("IF(IF(O$1="""","""",REGEXMATCH(LOWER($E333),XLOOKUP(O$1,Metadata!$A$2:$A1000,Metadata!$B$2:$B1000))),O$1,"""")"),"")</f>
        <v/>
      </c>
      <c r="P333" s="34" t="str">
        <f>IFERROR(__xludf.DUMMYFUNCTION("IF(IF(P$1="""","""",REGEXMATCH(LOWER($E333),XLOOKUP(P$1,Metadata!$A$2:$A1000,Metadata!$B$2:$B1000))),P$1,"""")"),"Void")</f>
        <v>Void</v>
      </c>
      <c r="Q333" s="34" t="str">
        <f>IFERROR(__xludf.DUMMYFUNCTION("IF(IF(Q$1="""","""",REGEXMATCH(LOWER($E333),XLOOKUP(Q$1,Metadata!$A$2:$A1000,Metadata!$B$2:$B1000))),Q$1,"""")"),"")</f>
        <v/>
      </c>
      <c r="R333" s="34" t="str">
        <f>IFERROR(__xludf.DUMMYFUNCTION("IF(IF(R$1="""","""",REGEXMATCH(LOWER($E333),XLOOKUP(R$1,Metadata!$A$2:$A1000,Metadata!$B$2:$B1000))),R$1,"""")"),"")</f>
        <v/>
      </c>
      <c r="S333" s="34" t="str">
        <f>IFERROR(__xludf.DUMMYFUNCTION("IF(IF(S$1="""","""",REGEXMATCH(LOWER($E333),XLOOKUP(S$1,Metadata!$A$2:$A1000,Metadata!$B$2:$B1000))),S$1,"""")"),"")</f>
        <v/>
      </c>
      <c r="T333" s="34" t="str">
        <f>IFERROR(__xludf.DUMMYFUNCTION("IF(IF(T$1="""","""",REGEXMATCH(LOWER($E333),XLOOKUP(T$1,Metadata!$A$2:$A1000,Metadata!$B$2:$B1000))),T$1,"""")"),"")</f>
        <v/>
      </c>
      <c r="U333" s="34" t="str">
        <f>IFERROR(__xludf.DUMMYFUNCTION("IF(IF(U$1="""","""",REGEXMATCH(LOWER($E333),XLOOKUP(U$1,Metadata!$A$2:$A1000,Metadata!$B$2:$B1000))),U$1,"""")"),"")</f>
        <v/>
      </c>
      <c r="V333" s="34" t="str">
        <f>IFERROR(__xludf.DUMMYFUNCTION("IF(IF(V$1="""","""",REGEXMATCH(LOWER($E333),XLOOKUP(V$1,Metadata!$A$2:$A1000,Metadata!$B$2:$B1000))),V$1,"""")"),"")</f>
        <v/>
      </c>
      <c r="W333" s="34" t="str">
        <f>IFERROR(__xludf.DUMMYFUNCTION("IF(IF(W$1="""","""",REGEXMATCH(LOWER($E333),XLOOKUP(W$1,Metadata!$A$2:$A1000,Metadata!$B$2:$B1000))),W$1,"""")"),"")</f>
        <v/>
      </c>
      <c r="X333" s="34" t="str">
        <f>IFERROR(__xludf.DUMMYFUNCTION("IF(IF(X$1="""","""",REGEXMATCH(LOWER($E333),XLOOKUP(X$1,Metadata!$A$2:$A1000,Metadata!$B$2:$B1000))),X$1,"""")"),"")</f>
        <v/>
      </c>
      <c r="Y333" s="34" t="str">
        <f>IFERROR(__xludf.DUMMYFUNCTION("IF(IF(Y$1="""","""",REGEXMATCH(LOWER($E333),XLOOKUP(Y$1,Metadata!$A$2:$A1000,Metadata!$B$2:$B1000))),Y$1,"""")"),"")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I334">XLOOKUP($A334,Cards!$A$2:$A1000,Cards!$B$2:$I1000,"")</f>
        <v>Void</v>
      </c>
      <c r="C334" s="34">
        <v>2.0</v>
      </c>
      <c r="D334" s="34" t="s">
        <v>1935</v>
      </c>
      <c r="E334" s="34" t="s">
        <v>1936</v>
      </c>
      <c r="F334" s="34" t="s">
        <v>1937</v>
      </c>
      <c r="G334" s="34">
        <v>4.0</v>
      </c>
      <c r="H334" s="34" t="s">
        <v>1781</v>
      </c>
      <c r="I334" s="34" t="s">
        <v>70</v>
      </c>
      <c r="J334" s="34">
        <f>IFERROR(__xludf.DUMMYFUNCTION("LEN(REGEXREPLACE(XLOOKUP($A334,Cards!$A$2:$A1000,Cards!$H$2:$H1000,""""),"",\s"",""""))"),5.0)</f>
        <v>5</v>
      </c>
      <c r="K334" s="34" t="str">
        <f t="shared" si="1"/>
        <v>               </v>
      </c>
      <c r="L334" s="34" t="str">
        <f>IFERROR(__xludf.DUMMYFUNCTION("IF(IF(L$1="""","""",REGEXMATCH(LOWER($E334),XLOOKUP(L$1,Metadata!$A$2:$A1000,Metadata!$B$2:$B1000))),L$1,"""")"),"")</f>
        <v/>
      </c>
      <c r="M334" s="34" t="str">
        <f>IFERROR(__xludf.DUMMYFUNCTION("IF(IF(M$1="""","""",REGEXMATCH(LOWER($E334),XLOOKUP(M$1,Metadata!$A$2:$A1000,Metadata!$B$2:$B1000))),M$1,"""")"),"")</f>
        <v/>
      </c>
      <c r="N334" s="34" t="str">
        <f>IFERROR(__xludf.DUMMYFUNCTION("IF(IF(N$1="""","""",REGEXMATCH(LOWER($E334),XLOOKUP(N$1,Metadata!$A$2:$A1000,Metadata!$B$2:$B1000))),N$1,"""")"),"")</f>
        <v/>
      </c>
      <c r="O334" s="34" t="str">
        <f>IFERROR(__xludf.DUMMYFUNCTION("IF(IF(O$1="""","""",REGEXMATCH(LOWER($E334),XLOOKUP(O$1,Metadata!$A$2:$A1000,Metadata!$B$2:$B1000))),O$1,"""")"),"")</f>
        <v/>
      </c>
      <c r="P334" s="34" t="str">
        <f>IFERROR(__xludf.DUMMYFUNCTION("IF(IF(P$1="""","""",REGEXMATCH(LOWER($E334),XLOOKUP(P$1,Metadata!$A$2:$A1000,Metadata!$B$2:$B1000))),P$1,"""")"),"")</f>
        <v/>
      </c>
      <c r="Q334" s="34" t="str">
        <f>IFERROR(__xludf.DUMMYFUNCTION("IF(IF(Q$1="""","""",REGEXMATCH(LOWER($E334),XLOOKUP(Q$1,Metadata!$A$2:$A1000,Metadata!$B$2:$B1000))),Q$1,"""")"),"")</f>
        <v/>
      </c>
      <c r="R334" s="34" t="str">
        <f>IFERROR(__xludf.DUMMYFUNCTION("IF(IF(R$1="""","""",REGEXMATCH(LOWER($E334),XLOOKUP(R$1,Metadata!$A$2:$A1000,Metadata!$B$2:$B1000))),R$1,"""")"),"")</f>
        <v/>
      </c>
      <c r="S334" s="34" t="str">
        <f>IFERROR(__xludf.DUMMYFUNCTION("IF(IF(S$1="""","""",REGEXMATCH(LOWER($E334),XLOOKUP(S$1,Metadata!$A$2:$A1000,Metadata!$B$2:$B1000))),S$1,"""")"),"")</f>
        <v/>
      </c>
      <c r="T334" s="34" t="str">
        <f>IFERROR(__xludf.DUMMYFUNCTION("IF(IF(T$1="""","""",REGEXMATCH(LOWER($E334),XLOOKUP(T$1,Metadata!$A$2:$A1000,Metadata!$B$2:$B1000))),T$1,"""")"),"")</f>
        <v/>
      </c>
      <c r="U334" s="34" t="str">
        <f>IFERROR(__xludf.DUMMYFUNCTION("IF(IF(U$1="""","""",REGEXMATCH(LOWER($E334),XLOOKUP(U$1,Metadata!$A$2:$A1000,Metadata!$B$2:$B1000))),U$1,"""")"),"")</f>
        <v/>
      </c>
      <c r="V334" s="34" t="str">
        <f>IFERROR(__xludf.DUMMYFUNCTION("IF(IF(V$1="""","""",REGEXMATCH(LOWER($E334),XLOOKUP(V$1,Metadata!$A$2:$A1000,Metadata!$B$2:$B1000))),V$1,"""")"),"")</f>
        <v/>
      </c>
      <c r="W334" s="34" t="str">
        <f>IFERROR(__xludf.DUMMYFUNCTION("IF(IF(W$1="""","""",REGEXMATCH(LOWER($E334),XLOOKUP(W$1,Metadata!$A$2:$A1000,Metadata!$B$2:$B1000))),W$1,"""")"),"")</f>
        <v/>
      </c>
      <c r="X334" s="34" t="str">
        <f>IFERROR(__xludf.DUMMYFUNCTION("IF(IF(X$1="""","""",REGEXMATCH(LOWER($E334),XLOOKUP(X$1,Metadata!$A$2:$A1000,Metadata!$B$2:$B1000))),X$1,"""")"),"")</f>
        <v/>
      </c>
      <c r="Y334" s="34" t="str">
        <f>IFERROR(__xludf.DUMMYFUNCTION("IF(IF(Y$1="""","""",REGEXMATCH(LOWER($E334),XLOOKUP(Y$1,Metadata!$A$2:$A1000,Metadata!$B$2:$B1000))),Y$1,"""")"),"")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I335">XLOOKUP($A335,Cards!$A$2:$A1000,Cards!$B$2:$I1000,"")</f>
        <v>Nature</v>
      </c>
      <c r="C335" s="34">
        <v>1.0</v>
      </c>
      <c r="D335" s="34" t="s">
        <v>1939</v>
      </c>
      <c r="E335" s="34" t="s">
        <v>1940</v>
      </c>
      <c r="F335" s="34"/>
      <c r="G335" s="34">
        <v>0.0</v>
      </c>
      <c r="H335" s="34" t="s">
        <v>1535</v>
      </c>
      <c r="I335" s="34" t="s">
        <v>32</v>
      </c>
      <c r="J335" s="34">
        <f>IFERROR(__xludf.DUMMYFUNCTION("LEN(REGEXREPLACE(XLOOKUP($A335,Cards!$A$2:$A1000,Cards!$H$2:$H1000,""""),"",\s"",""""))"),6.0)</f>
        <v>6</v>
      </c>
      <c r="K335" s="34" t="str">
        <f t="shared" si="1"/>
        <v>               </v>
      </c>
      <c r="L335" s="34" t="str">
        <f>IFERROR(__xludf.DUMMYFUNCTION("IF(IF(L$1="""","""",REGEXMATCH(LOWER($E335),XLOOKUP(L$1,Metadata!$A$2:$A1000,Metadata!$B$2:$B1000))),L$1,"""")"),"")</f>
        <v/>
      </c>
      <c r="M335" s="34" t="str">
        <f>IFERROR(__xludf.DUMMYFUNCTION("IF(IF(M$1="""","""",REGEXMATCH(LOWER($E335),XLOOKUP(M$1,Metadata!$A$2:$A1000,Metadata!$B$2:$B1000))),M$1,"""")"),"")</f>
        <v/>
      </c>
      <c r="N335" s="34" t="str">
        <f>IFERROR(__xludf.DUMMYFUNCTION("IF(IF(N$1="""","""",REGEXMATCH(LOWER($E335),XLOOKUP(N$1,Metadata!$A$2:$A1000,Metadata!$B$2:$B1000))),N$1,"""")"),"")</f>
        <v/>
      </c>
      <c r="O335" s="34" t="str">
        <f>IFERROR(__xludf.DUMMYFUNCTION("IF(IF(O$1="""","""",REGEXMATCH(LOWER($E335),XLOOKUP(O$1,Metadata!$A$2:$A1000,Metadata!$B$2:$B1000))),O$1,"""")"),"")</f>
        <v/>
      </c>
      <c r="P335" s="34" t="str">
        <f>IFERROR(__xludf.DUMMYFUNCTION("IF(IF(P$1="""","""",REGEXMATCH(LOWER($E335),XLOOKUP(P$1,Metadata!$A$2:$A1000,Metadata!$B$2:$B1000))),P$1,"""")"),"")</f>
        <v/>
      </c>
      <c r="Q335" s="34" t="str">
        <f>IFERROR(__xludf.DUMMYFUNCTION("IF(IF(Q$1="""","""",REGEXMATCH(LOWER($E335),XLOOKUP(Q$1,Metadata!$A$2:$A1000,Metadata!$B$2:$B1000))),Q$1,"""")"),"")</f>
        <v/>
      </c>
      <c r="R335" s="34" t="str">
        <f>IFERROR(__xludf.DUMMYFUNCTION("IF(IF(R$1="""","""",REGEXMATCH(LOWER($E335),XLOOKUP(R$1,Metadata!$A$2:$A1000,Metadata!$B$2:$B1000))),R$1,"""")"),"")</f>
        <v/>
      </c>
      <c r="S335" s="34" t="str">
        <f>IFERROR(__xludf.DUMMYFUNCTION("IF(IF(S$1="""","""",REGEXMATCH(LOWER($E335),XLOOKUP(S$1,Metadata!$A$2:$A1000,Metadata!$B$2:$B1000))),S$1,"""")"),"")</f>
        <v/>
      </c>
      <c r="T335" s="34" t="str">
        <f>IFERROR(__xludf.DUMMYFUNCTION("IF(IF(T$1="""","""",REGEXMATCH(LOWER($E335),XLOOKUP(T$1,Metadata!$A$2:$A1000,Metadata!$B$2:$B1000))),T$1,"""")"),"")</f>
        <v/>
      </c>
      <c r="U335" s="34" t="str">
        <f>IFERROR(__xludf.DUMMYFUNCTION("IF(IF(U$1="""","""",REGEXMATCH(LOWER($E335),XLOOKUP(U$1,Metadata!$A$2:$A1000,Metadata!$B$2:$B1000))),U$1,"""")"),"")</f>
        <v/>
      </c>
      <c r="V335" s="34" t="str">
        <f>IFERROR(__xludf.DUMMYFUNCTION("IF(IF(V$1="""","""",REGEXMATCH(LOWER($E335),XLOOKUP(V$1,Metadata!$A$2:$A1000,Metadata!$B$2:$B1000))),V$1,"""")"),"")</f>
        <v/>
      </c>
      <c r="W335" s="34" t="str">
        <f>IFERROR(__xludf.DUMMYFUNCTION("IF(IF(W$1="""","""",REGEXMATCH(LOWER($E335),XLOOKUP(W$1,Metadata!$A$2:$A1000,Metadata!$B$2:$B1000))),W$1,"""")"),"")</f>
        <v/>
      </c>
      <c r="X335" s="34" t="str">
        <f>IFERROR(__xludf.DUMMYFUNCTION("IF(IF(X$1="""","""",REGEXMATCH(LOWER($E335),XLOOKUP(X$1,Metadata!$A$2:$A1000,Metadata!$B$2:$B1000))),X$1,"""")"),"")</f>
        <v/>
      </c>
      <c r="Y335" s="34" t="str">
        <f>IFERROR(__xludf.DUMMYFUNCTION("IF(IF(Y$1="""","""",REGEXMATCH(LOWER($E335),XLOOKUP(Y$1,Metadata!$A$2:$A1000,Metadata!$B$2:$B1000))),Y$1,"""")"),"")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I336">XLOOKUP($A336,Cards!$A$2:$A1000,Cards!$B$2:$I1000,"")</f>
        <v>Void</v>
      </c>
      <c r="C336" s="34">
        <v>2.0</v>
      </c>
      <c r="D336" s="34" t="s">
        <v>1942</v>
      </c>
      <c r="E336" s="34" t="s">
        <v>1943</v>
      </c>
      <c r="F336" s="34" t="s">
        <v>1944</v>
      </c>
      <c r="G336" s="34">
        <v>2.0</v>
      </c>
      <c r="H336" s="34" t="s">
        <v>1795</v>
      </c>
      <c r="I336" s="34" t="s">
        <v>26</v>
      </c>
      <c r="J336" s="34">
        <f>IFERROR(__xludf.DUMMYFUNCTION("LEN(REGEXREPLACE(XLOOKUP($A336,Cards!$A$2:$A1000,Cards!$H$2:$H1000,""""),"",\s"",""""))"),2.0)</f>
        <v>2</v>
      </c>
      <c r="K336" s="34" t="str">
        <f t="shared" si="1"/>
        <v>               </v>
      </c>
      <c r="L336" s="34" t="str">
        <f>IFERROR(__xludf.DUMMYFUNCTION("IF(IF(L$1="""","""",REGEXMATCH(LOWER($E336),XLOOKUP(L$1,Metadata!$A$2:$A1000,Metadata!$B$2:$B1000))),L$1,"""")"),"")</f>
        <v/>
      </c>
      <c r="M336" s="34" t="str">
        <f>IFERROR(__xludf.DUMMYFUNCTION("IF(IF(M$1="""","""",REGEXMATCH(LOWER($E336),XLOOKUP(M$1,Metadata!$A$2:$A1000,Metadata!$B$2:$B1000))),M$1,"""")"),"")</f>
        <v/>
      </c>
      <c r="N336" s="34" t="str">
        <f>IFERROR(__xludf.DUMMYFUNCTION("IF(IF(N$1="""","""",REGEXMATCH(LOWER($E336),XLOOKUP(N$1,Metadata!$A$2:$A1000,Metadata!$B$2:$B1000))),N$1,"""")"),"")</f>
        <v/>
      </c>
      <c r="O336" s="34" t="str">
        <f>IFERROR(__xludf.DUMMYFUNCTION("IF(IF(O$1="""","""",REGEXMATCH(LOWER($E336),XLOOKUP(O$1,Metadata!$A$2:$A1000,Metadata!$B$2:$B1000))),O$1,"""")"),"")</f>
        <v/>
      </c>
      <c r="P336" s="34" t="str">
        <f>IFERROR(__xludf.DUMMYFUNCTION("IF(IF(P$1="""","""",REGEXMATCH(LOWER($E336),XLOOKUP(P$1,Metadata!$A$2:$A1000,Metadata!$B$2:$B1000))),P$1,"""")"),"")</f>
        <v/>
      </c>
      <c r="Q336" s="34" t="str">
        <f>IFERROR(__xludf.DUMMYFUNCTION("IF(IF(Q$1="""","""",REGEXMATCH(LOWER($E336),XLOOKUP(Q$1,Metadata!$A$2:$A1000,Metadata!$B$2:$B1000))),Q$1,"""")"),"")</f>
        <v/>
      </c>
      <c r="R336" s="34" t="str">
        <f>IFERROR(__xludf.DUMMYFUNCTION("IF(IF(R$1="""","""",REGEXMATCH(LOWER($E336),XLOOKUP(R$1,Metadata!$A$2:$A1000,Metadata!$B$2:$B1000))),R$1,"""")"),"")</f>
        <v/>
      </c>
      <c r="S336" s="34" t="str">
        <f>IFERROR(__xludf.DUMMYFUNCTION("IF(IF(S$1="""","""",REGEXMATCH(LOWER($E336),XLOOKUP(S$1,Metadata!$A$2:$A1000,Metadata!$B$2:$B1000))),S$1,"""")"),"")</f>
        <v/>
      </c>
      <c r="T336" s="34" t="str">
        <f>IFERROR(__xludf.DUMMYFUNCTION("IF(IF(T$1="""","""",REGEXMATCH(LOWER($E336),XLOOKUP(T$1,Metadata!$A$2:$A1000,Metadata!$B$2:$B1000))),T$1,"""")"),"")</f>
        <v/>
      </c>
      <c r="U336" s="34" t="str">
        <f>IFERROR(__xludf.DUMMYFUNCTION("IF(IF(U$1="""","""",REGEXMATCH(LOWER($E336),XLOOKUP(U$1,Metadata!$A$2:$A1000,Metadata!$B$2:$B1000))),U$1,"""")"),"")</f>
        <v/>
      </c>
      <c r="V336" s="34" t="str">
        <f>IFERROR(__xludf.DUMMYFUNCTION("IF(IF(V$1="""","""",REGEXMATCH(LOWER($E336),XLOOKUP(V$1,Metadata!$A$2:$A1000,Metadata!$B$2:$B1000))),V$1,"""")"),"")</f>
        <v/>
      </c>
      <c r="W336" s="34" t="str">
        <f>IFERROR(__xludf.DUMMYFUNCTION("IF(IF(W$1="""","""",REGEXMATCH(LOWER($E336),XLOOKUP(W$1,Metadata!$A$2:$A1000,Metadata!$B$2:$B1000))),W$1,"""")"),"")</f>
        <v/>
      </c>
      <c r="X336" s="34" t="str">
        <f>IFERROR(__xludf.DUMMYFUNCTION("IF(IF(X$1="""","""",REGEXMATCH(LOWER($E336),XLOOKUP(X$1,Metadata!$A$2:$A1000,Metadata!$B$2:$B1000))),X$1,"""")"),"")</f>
        <v/>
      </c>
      <c r="Y336" s="34" t="str">
        <f>IFERROR(__xludf.DUMMYFUNCTION("IF(IF(Y$1="""","""",REGEXMATCH(LOWER($E336),XLOOKUP(Y$1,Metadata!$A$2:$A1000,Metadata!$B$2:$B1000))),Y$1,"""")"),"")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I337">XLOOKUP($A337,Cards!$A$2:$A1000,Cards!$B$2:$I1000,"")</f>
        <v>Void</v>
      </c>
      <c r="C337" s="34">
        <v>2.0</v>
      </c>
      <c r="D337" s="34" t="s">
        <v>181</v>
      </c>
      <c r="E337" s="34" t="s">
        <v>1946</v>
      </c>
      <c r="F337" s="34" t="s">
        <v>1947</v>
      </c>
      <c r="G337" s="34">
        <v>0.0</v>
      </c>
      <c r="H337" s="34" t="s">
        <v>1841</v>
      </c>
      <c r="I337" s="34" t="s">
        <v>70</v>
      </c>
      <c r="J337" s="34">
        <f>IFERROR(__xludf.DUMMYFUNCTION("LEN(REGEXREPLACE(XLOOKUP($A337,Cards!$A$2:$A1000,Cards!$H$2:$H1000,""""),"",\s"",""""))"),4.0)</f>
        <v>4</v>
      </c>
      <c r="K337" s="34" t="str">
        <f t="shared" si="1"/>
        <v>               </v>
      </c>
      <c r="L337" s="34" t="str">
        <f>IFERROR(__xludf.DUMMYFUNCTION("IF(IF(L$1="""","""",REGEXMATCH(LOWER($E337),XLOOKUP(L$1,Metadata!$A$2:$A1000,Metadata!$B$2:$B1000))),L$1,"""")"),"")</f>
        <v/>
      </c>
      <c r="M337" s="34" t="str">
        <f>IFERROR(__xludf.DUMMYFUNCTION("IF(IF(M$1="""","""",REGEXMATCH(LOWER($E337),XLOOKUP(M$1,Metadata!$A$2:$A1000,Metadata!$B$2:$B1000))),M$1,"""")"),"")</f>
        <v/>
      </c>
      <c r="N337" s="34" t="str">
        <f>IFERROR(__xludf.DUMMYFUNCTION("IF(IF(N$1="""","""",REGEXMATCH(LOWER($E337),XLOOKUP(N$1,Metadata!$A$2:$A1000,Metadata!$B$2:$B1000))),N$1,"""")"),"")</f>
        <v/>
      </c>
      <c r="O337" s="34" t="str">
        <f>IFERROR(__xludf.DUMMYFUNCTION("IF(IF(O$1="""","""",REGEXMATCH(LOWER($E337),XLOOKUP(O$1,Metadata!$A$2:$A1000,Metadata!$B$2:$B1000))),O$1,"""")"),"")</f>
        <v/>
      </c>
      <c r="P337" s="34" t="str">
        <f>IFERROR(__xludf.DUMMYFUNCTION("IF(IF(P$1="""","""",REGEXMATCH(LOWER($E337),XLOOKUP(P$1,Metadata!$A$2:$A1000,Metadata!$B$2:$B1000))),P$1,"""")"),"")</f>
        <v/>
      </c>
      <c r="Q337" s="34" t="str">
        <f>IFERROR(__xludf.DUMMYFUNCTION("IF(IF(Q$1="""","""",REGEXMATCH(LOWER($E337),XLOOKUP(Q$1,Metadata!$A$2:$A1000,Metadata!$B$2:$B1000))),Q$1,"""")"),"")</f>
        <v/>
      </c>
      <c r="R337" s="34" t="str">
        <f>IFERROR(__xludf.DUMMYFUNCTION("IF(IF(R$1="""","""",REGEXMATCH(LOWER($E337),XLOOKUP(R$1,Metadata!$A$2:$A1000,Metadata!$B$2:$B1000))),R$1,"""")"),"")</f>
        <v/>
      </c>
      <c r="S337" s="34" t="str">
        <f>IFERROR(__xludf.DUMMYFUNCTION("IF(IF(S$1="""","""",REGEXMATCH(LOWER($E337),XLOOKUP(S$1,Metadata!$A$2:$A1000,Metadata!$B$2:$B1000))),S$1,"""")"),"")</f>
        <v/>
      </c>
      <c r="T337" s="34" t="str">
        <f>IFERROR(__xludf.DUMMYFUNCTION("IF(IF(T$1="""","""",REGEXMATCH(LOWER($E337),XLOOKUP(T$1,Metadata!$A$2:$A1000,Metadata!$B$2:$B1000))),T$1,"""")"),"")</f>
        <v/>
      </c>
      <c r="U337" s="34" t="str">
        <f>IFERROR(__xludf.DUMMYFUNCTION("IF(IF(U$1="""","""",REGEXMATCH(LOWER($E337),XLOOKUP(U$1,Metadata!$A$2:$A1000,Metadata!$B$2:$B1000))),U$1,"""")"),"")</f>
        <v/>
      </c>
      <c r="V337" s="34" t="str">
        <f>IFERROR(__xludf.DUMMYFUNCTION("IF(IF(V$1="""","""",REGEXMATCH(LOWER($E337),XLOOKUP(V$1,Metadata!$A$2:$A1000,Metadata!$B$2:$B1000))),V$1,"""")"),"")</f>
        <v/>
      </c>
      <c r="W337" s="34" t="str">
        <f>IFERROR(__xludf.DUMMYFUNCTION("IF(IF(W$1="""","""",REGEXMATCH(LOWER($E337),XLOOKUP(W$1,Metadata!$A$2:$A1000,Metadata!$B$2:$B1000))),W$1,"""")"),"")</f>
        <v/>
      </c>
      <c r="X337" s="34" t="str">
        <f>IFERROR(__xludf.DUMMYFUNCTION("IF(IF(X$1="""","""",REGEXMATCH(LOWER($E337),XLOOKUP(X$1,Metadata!$A$2:$A1000,Metadata!$B$2:$B1000))),X$1,"""")"),"")</f>
        <v/>
      </c>
      <c r="Y337" s="34" t="str">
        <f>IFERROR(__xludf.DUMMYFUNCTION("IF(IF(Y$1="""","""",REGEXMATCH(LOWER($E337),XLOOKUP(Y$1,Metadata!$A$2:$A1000,Metadata!$B$2:$B1000))),Y$1,"""")"),"")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I338">XLOOKUP($A338,Cards!$A$2:$A1000,Cards!$B$2:$I1000,"")</f>
        <v/>
      </c>
      <c r="C338" s="34">
        <v>2.0</v>
      </c>
      <c r="D338" s="34" t="s">
        <v>1949</v>
      </c>
      <c r="E338" s="34" t="s">
        <v>1950</v>
      </c>
      <c r="F338" s="34" t="s">
        <v>1951</v>
      </c>
      <c r="G338" s="34">
        <v>3.0</v>
      </c>
      <c r="H338" s="34" t="s">
        <v>1952</v>
      </c>
      <c r="I338" s="34" t="s">
        <v>26</v>
      </c>
      <c r="J338" s="34">
        <f>IFERROR(__xludf.DUMMYFUNCTION("LEN(REGEXREPLACE(XLOOKUP($A338,Cards!$A$2:$A1000,Cards!$H$2:$H1000,""""),"",\s"",""""))"),1.0)</f>
        <v>1</v>
      </c>
      <c r="K338" s="34" t="str">
        <f t="shared" si="1"/>
        <v>       Control   Empty-Crystal  Ambush   </v>
      </c>
      <c r="L338" s="34" t="str">
        <f>IFERROR(__xludf.DUMMYFUNCTION("IF(IF(L$1="""","""",REGEXMATCH(LOWER($E338),XLOOKUP(L$1,Metadata!$A$2:$A1000,Metadata!$B$2:$B1000))),L$1,"""")"),"")</f>
        <v/>
      </c>
      <c r="M338" s="34" t="str">
        <f>IFERROR(__xludf.DUMMYFUNCTION("IF(IF(M$1="""","""",REGEXMATCH(LOWER($E338),XLOOKUP(M$1,Metadata!$A$2:$A1000,Metadata!$B$2:$B1000))),M$1,"""")"),"")</f>
        <v/>
      </c>
      <c r="N338" s="34" t="str">
        <f>IFERROR(__xludf.DUMMYFUNCTION("IF(IF(N$1="""","""",REGEXMATCH(LOWER($E338),XLOOKUP(N$1,Metadata!$A$2:$A1000,Metadata!$B$2:$B1000))),N$1,"""")"),"")</f>
        <v/>
      </c>
      <c r="O338" s="34" t="str">
        <f>IFERROR(__xludf.DUMMYFUNCTION("IF(IF(O$1="""","""",REGEXMATCH(LOWER($E338),XLOOKUP(O$1,Metadata!$A$2:$A1000,Metadata!$B$2:$B1000))),O$1,"""")"),"")</f>
        <v/>
      </c>
      <c r="P338" s="34" t="str">
        <f>IFERROR(__xludf.DUMMYFUNCTION("IF(IF(P$1="""","""",REGEXMATCH(LOWER($E338),XLOOKUP(P$1,Metadata!$A$2:$A1000,Metadata!$B$2:$B1000))),P$1,"""")"),"")</f>
        <v/>
      </c>
      <c r="Q338" s="34" t="str">
        <f>IFERROR(__xludf.DUMMYFUNCTION("IF(IF(Q$1="""","""",REGEXMATCH(LOWER($E338),XLOOKUP(Q$1,Metadata!$A$2:$A1000,Metadata!$B$2:$B1000))),Q$1,"""")"),"")</f>
        <v/>
      </c>
      <c r="R338" s="34" t="str">
        <f>IFERROR(__xludf.DUMMYFUNCTION("IF(IF(R$1="""","""",REGEXMATCH(LOWER($E338),XLOOKUP(R$1,Metadata!$A$2:$A1000,Metadata!$B$2:$B1000))),R$1,"""")"),"")</f>
        <v/>
      </c>
      <c r="S338" s="34" t="str">
        <f>IFERROR(__xludf.DUMMYFUNCTION("IF(IF(S$1="""","""",REGEXMATCH(LOWER($E338),XLOOKUP(S$1,Metadata!$A$2:$A1000,Metadata!$B$2:$B1000))),S$1,"""")"),"Control")</f>
        <v>Control</v>
      </c>
      <c r="T338" s="34" t="str">
        <f>IFERROR(__xludf.DUMMYFUNCTION("IF(IF(T$1="""","""",REGEXMATCH(LOWER($E338),XLOOKUP(T$1,Metadata!$A$2:$A1000,Metadata!$B$2:$B1000))),T$1,"""")"),"")</f>
        <v/>
      </c>
      <c r="U338" s="34" t="str">
        <f>IFERROR(__xludf.DUMMYFUNCTION("IF(IF(U$1="""","""",REGEXMATCH(LOWER($E338),XLOOKUP(U$1,Metadata!$A$2:$A1000,Metadata!$B$2:$B1000))),U$1,"""")"),"")</f>
        <v/>
      </c>
      <c r="V338" s="34" t="str">
        <f>IFERROR(__xludf.DUMMYFUNCTION("IF(IF(V$1="""","""",REGEXMATCH(LOWER($E338),XLOOKUP(V$1,Metadata!$A$2:$A1000,Metadata!$B$2:$B1000))),V$1,"""")"),"Empty-Crystal")</f>
        <v>Empty-Crystal</v>
      </c>
      <c r="W338" s="34" t="str">
        <f>IFERROR(__xludf.DUMMYFUNCTION("IF(IF(W$1="""","""",REGEXMATCH(LOWER($E338),XLOOKUP(W$1,Metadata!$A$2:$A1000,Metadata!$B$2:$B1000))),W$1,"""")"),"")</f>
        <v/>
      </c>
      <c r="X338" s="34" t="str">
        <f>IFERROR(__xludf.DUMMYFUNCTION("IF(IF(X$1="""","""",REGEXMATCH(LOWER($E338),XLOOKUP(X$1,Metadata!$A$2:$A1000,Metadata!$B$2:$B1000))),X$1,"""")"),"Ambush")</f>
        <v>Ambush</v>
      </c>
      <c r="Y338" s="34" t="str">
        <f>IFERROR(__xludf.DUMMYFUNCTION("IF(IF(Y$1="""","""",REGEXMATCH(LOWER($E338),XLOOKUP(Y$1,Metadata!$A$2:$A1000,Metadata!$B$2:$B1000))),Y$1,"""")"),"")</f>
        <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I339">XLOOKUP($A339,Cards!$A$2:$A1000,Cards!$B$2:$I1000,"")</f>
        <v>Nature</v>
      </c>
      <c r="C339" s="34">
        <v>1.0</v>
      </c>
      <c r="D339" s="34" t="s">
        <v>40</v>
      </c>
      <c r="E339" s="34"/>
      <c r="F339" s="34"/>
      <c r="G339" s="34">
        <v>6.0</v>
      </c>
      <c r="H339" s="34" t="s">
        <v>1954</v>
      </c>
      <c r="I339" s="34" t="s">
        <v>26</v>
      </c>
      <c r="J339" s="34">
        <f>IFERROR(__xludf.DUMMYFUNCTION("LEN(REGEXREPLACE(XLOOKUP($A339,Cards!$A$2:$A1000,Cards!$H$2:$H1000,""""),"",\s"",""""))"),6.0)</f>
        <v>6</v>
      </c>
      <c r="K339" s="34" t="str">
        <f t="shared" si="1"/>
        <v>               </v>
      </c>
      <c r="L339" s="34" t="str">
        <f>IFERROR(__xludf.DUMMYFUNCTION("IF(IF(L$1="""","""",REGEXMATCH(LOWER($E339),XLOOKUP(L$1,Metadata!$A$2:$A1000,Metadata!$B$2:$B1000))),L$1,"""")"),"")</f>
        <v/>
      </c>
      <c r="M339" s="34" t="str">
        <f>IFERROR(__xludf.DUMMYFUNCTION("IF(IF(M$1="""","""",REGEXMATCH(LOWER($E339),XLOOKUP(M$1,Metadata!$A$2:$A1000,Metadata!$B$2:$B1000))),M$1,"""")"),"")</f>
        <v/>
      </c>
      <c r="N339" s="34" t="str">
        <f>IFERROR(__xludf.DUMMYFUNCTION("IF(IF(N$1="""","""",REGEXMATCH(LOWER($E339),XLOOKUP(N$1,Metadata!$A$2:$A1000,Metadata!$B$2:$B1000))),N$1,"""")"),"")</f>
        <v/>
      </c>
      <c r="O339" s="34" t="str">
        <f>IFERROR(__xludf.DUMMYFUNCTION("IF(IF(O$1="""","""",REGEXMATCH(LOWER($E339),XLOOKUP(O$1,Metadata!$A$2:$A1000,Metadata!$B$2:$B1000))),O$1,"""")"),"")</f>
        <v/>
      </c>
      <c r="P339" s="34" t="str">
        <f>IFERROR(__xludf.DUMMYFUNCTION("IF(IF(P$1="""","""",REGEXMATCH(LOWER($E339),XLOOKUP(P$1,Metadata!$A$2:$A1000,Metadata!$B$2:$B1000))),P$1,"""")"),"")</f>
        <v/>
      </c>
      <c r="Q339" s="34" t="str">
        <f>IFERROR(__xludf.DUMMYFUNCTION("IF(IF(Q$1="""","""",REGEXMATCH(LOWER($E339),XLOOKUP(Q$1,Metadata!$A$2:$A1000,Metadata!$B$2:$B1000))),Q$1,"""")"),"")</f>
        <v/>
      </c>
      <c r="R339" s="34" t="str">
        <f>IFERROR(__xludf.DUMMYFUNCTION("IF(IF(R$1="""","""",REGEXMATCH(LOWER($E339),XLOOKUP(R$1,Metadata!$A$2:$A1000,Metadata!$B$2:$B1000))),R$1,"""")"),"")</f>
        <v/>
      </c>
      <c r="S339" s="34" t="str">
        <f>IFERROR(__xludf.DUMMYFUNCTION("IF(IF(S$1="""","""",REGEXMATCH(LOWER($E339),XLOOKUP(S$1,Metadata!$A$2:$A1000,Metadata!$B$2:$B1000))),S$1,"""")"),"")</f>
        <v/>
      </c>
      <c r="T339" s="34" t="str">
        <f>IFERROR(__xludf.DUMMYFUNCTION("IF(IF(T$1="""","""",REGEXMATCH(LOWER($E339),XLOOKUP(T$1,Metadata!$A$2:$A1000,Metadata!$B$2:$B1000))),T$1,"""")"),"")</f>
        <v/>
      </c>
      <c r="U339" s="34" t="str">
        <f>IFERROR(__xludf.DUMMYFUNCTION("IF(IF(U$1="""","""",REGEXMATCH(LOWER($E339),XLOOKUP(U$1,Metadata!$A$2:$A1000,Metadata!$B$2:$B1000))),U$1,"""")"),"")</f>
        <v/>
      </c>
      <c r="V339" s="34" t="str">
        <f>IFERROR(__xludf.DUMMYFUNCTION("IF(IF(V$1="""","""",REGEXMATCH(LOWER($E339),XLOOKUP(V$1,Metadata!$A$2:$A1000,Metadata!$B$2:$B1000))),V$1,"""")"),"")</f>
        <v/>
      </c>
      <c r="W339" s="34" t="str">
        <f>IFERROR(__xludf.DUMMYFUNCTION("IF(IF(W$1="""","""",REGEXMATCH(LOWER($E339),XLOOKUP(W$1,Metadata!$A$2:$A1000,Metadata!$B$2:$B1000))),W$1,"""")"),"")</f>
        <v/>
      </c>
      <c r="X339" s="34" t="str">
        <f>IFERROR(__xludf.DUMMYFUNCTION("IF(IF(X$1="""","""",REGEXMATCH(LOWER($E339),XLOOKUP(X$1,Metadata!$A$2:$A1000,Metadata!$B$2:$B1000))),X$1,"""")"),"")</f>
        <v/>
      </c>
      <c r="Y339" s="34" t="str">
        <f>IFERROR(__xludf.DUMMYFUNCTION("IF(IF(Y$1="""","""",REGEXMATCH(LOWER($E339),XLOOKUP(Y$1,Metadata!$A$2:$A1000,Metadata!$B$2:$B1000))),Y$1,"""")"),"")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I340">XLOOKUP($A340,Cards!$A$2:$A1000,Cards!$B$2:$I1000,"")</f>
        <v/>
      </c>
      <c r="C340" s="34">
        <v>2.0</v>
      </c>
      <c r="D340" s="34" t="s">
        <v>1610</v>
      </c>
      <c r="E340" s="34" t="s">
        <v>275</v>
      </c>
      <c r="F340" s="34" t="s">
        <v>1956</v>
      </c>
      <c r="G340" s="34">
        <v>2.0</v>
      </c>
      <c r="H340" s="34" t="s">
        <v>1957</v>
      </c>
      <c r="I340" s="34" t="s">
        <v>26</v>
      </c>
      <c r="J340" s="34">
        <f>IFERROR(__xludf.DUMMYFUNCTION("LEN(REGEXREPLACE(XLOOKUP($A340,Cards!$A$2:$A1000,Cards!$H$2:$H1000,""""),"",\s"",""""))"),3.0)</f>
        <v>3</v>
      </c>
      <c r="K340" s="34" t="str">
        <f t="shared" si="1"/>
        <v>               </v>
      </c>
      <c r="L340" s="34" t="str">
        <f>IFERROR(__xludf.DUMMYFUNCTION("IF(IF(L$1="""","""",REGEXMATCH(LOWER($E340),XLOOKUP(L$1,Metadata!$A$2:$A1000,Metadata!$B$2:$B1000))),L$1,"""")"),"")</f>
        <v/>
      </c>
      <c r="M340" s="34" t="str">
        <f>IFERROR(__xludf.DUMMYFUNCTION("IF(IF(M$1="""","""",REGEXMATCH(LOWER($E340),XLOOKUP(M$1,Metadata!$A$2:$A1000,Metadata!$B$2:$B1000))),M$1,"""")"),"")</f>
        <v/>
      </c>
      <c r="N340" s="34" t="str">
        <f>IFERROR(__xludf.DUMMYFUNCTION("IF(IF(N$1="""","""",REGEXMATCH(LOWER($E340),XLOOKUP(N$1,Metadata!$A$2:$A1000,Metadata!$B$2:$B1000))),N$1,"""")"),"")</f>
        <v/>
      </c>
      <c r="O340" s="34" t="str">
        <f>IFERROR(__xludf.DUMMYFUNCTION("IF(IF(O$1="""","""",REGEXMATCH(LOWER($E340),XLOOKUP(O$1,Metadata!$A$2:$A1000,Metadata!$B$2:$B1000))),O$1,"""")"),"")</f>
        <v/>
      </c>
      <c r="P340" s="34" t="str">
        <f>IFERROR(__xludf.DUMMYFUNCTION("IF(IF(P$1="""","""",REGEXMATCH(LOWER($E340),XLOOKUP(P$1,Metadata!$A$2:$A1000,Metadata!$B$2:$B1000))),P$1,"""")"),"")</f>
        <v/>
      </c>
      <c r="Q340" s="34" t="str">
        <f>IFERROR(__xludf.DUMMYFUNCTION("IF(IF(Q$1="""","""",REGEXMATCH(LOWER($E340),XLOOKUP(Q$1,Metadata!$A$2:$A1000,Metadata!$B$2:$B1000))),Q$1,"""")"),"")</f>
        <v/>
      </c>
      <c r="R340" s="34" t="str">
        <f>IFERROR(__xludf.DUMMYFUNCTION("IF(IF(R$1="""","""",REGEXMATCH(LOWER($E340),XLOOKUP(R$1,Metadata!$A$2:$A1000,Metadata!$B$2:$B1000))),R$1,"""")"),"")</f>
        <v/>
      </c>
      <c r="S340" s="34" t="str">
        <f>IFERROR(__xludf.DUMMYFUNCTION("IF(IF(S$1="""","""",REGEXMATCH(LOWER($E340),XLOOKUP(S$1,Metadata!$A$2:$A1000,Metadata!$B$2:$B1000))),S$1,"""")"),"")</f>
        <v/>
      </c>
      <c r="T340" s="34" t="str">
        <f>IFERROR(__xludf.DUMMYFUNCTION("IF(IF(T$1="""","""",REGEXMATCH(LOWER($E340),XLOOKUP(T$1,Metadata!$A$2:$A1000,Metadata!$B$2:$B1000))),T$1,"""")"),"")</f>
        <v/>
      </c>
      <c r="U340" s="34" t="str">
        <f>IFERROR(__xludf.DUMMYFUNCTION("IF(IF(U$1="""","""",REGEXMATCH(LOWER($E340),XLOOKUP(U$1,Metadata!$A$2:$A1000,Metadata!$B$2:$B1000))),U$1,"""")"),"")</f>
        <v/>
      </c>
      <c r="V340" s="34" t="str">
        <f>IFERROR(__xludf.DUMMYFUNCTION("IF(IF(V$1="""","""",REGEXMATCH(LOWER($E340),XLOOKUP(V$1,Metadata!$A$2:$A1000,Metadata!$B$2:$B1000))),V$1,"""")"),"")</f>
        <v/>
      </c>
      <c r="W340" s="34" t="str">
        <f>IFERROR(__xludf.DUMMYFUNCTION("IF(IF(W$1="""","""",REGEXMATCH(LOWER($E340),XLOOKUP(W$1,Metadata!$A$2:$A1000,Metadata!$B$2:$B1000))),W$1,"""")"),"")</f>
        <v/>
      </c>
      <c r="X340" s="34" t="str">
        <f>IFERROR(__xludf.DUMMYFUNCTION("IF(IF(X$1="""","""",REGEXMATCH(LOWER($E340),XLOOKUP(X$1,Metadata!$A$2:$A1000,Metadata!$B$2:$B1000))),X$1,"""")"),"")</f>
        <v/>
      </c>
      <c r="Y340" s="34" t="str">
        <f>IFERROR(__xludf.DUMMYFUNCTION("IF(IF(Y$1="""","""",REGEXMATCH(LOWER($E340),XLOOKUP(Y$1,Metadata!$A$2:$A1000,Metadata!$B$2:$B1000))),Y$1,"""")"),"")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I341">XLOOKUP($A341,Cards!$A$2:$A1000,Cards!$B$2:$I1000,"")</f>
        <v/>
      </c>
      <c r="C341" s="34">
        <v>2.0</v>
      </c>
      <c r="D341" s="34" t="s">
        <v>1909</v>
      </c>
      <c r="E341" s="34" t="s">
        <v>1959</v>
      </c>
      <c r="F341" s="34" t="s">
        <v>1960</v>
      </c>
      <c r="G341" s="34">
        <v>9.0</v>
      </c>
      <c r="H341" s="34" t="s">
        <v>1961</v>
      </c>
      <c r="I341" s="34" t="s">
        <v>70</v>
      </c>
      <c r="J341" s="34">
        <f>IFERROR(__xludf.DUMMYFUNCTION("LEN(REGEXREPLACE(XLOOKUP($A341,Cards!$A$2:$A1000,Cards!$H$2:$H1000,""""),"",\s"",""""))"),6.0)</f>
        <v>6</v>
      </c>
      <c r="K341" s="34" t="str">
        <f t="shared" si="1"/>
        <v>       Control   Empty-Crystal  Ambush   </v>
      </c>
      <c r="L341" s="34" t="str">
        <f>IFERROR(__xludf.DUMMYFUNCTION("IF(IF(L$1="""","""",REGEXMATCH(LOWER($E341),XLOOKUP(L$1,Metadata!$A$2:$A1000,Metadata!$B$2:$B1000))),L$1,"""")"),"")</f>
        <v/>
      </c>
      <c r="M341" s="34" t="str">
        <f>IFERROR(__xludf.DUMMYFUNCTION("IF(IF(M$1="""","""",REGEXMATCH(LOWER($E341),XLOOKUP(M$1,Metadata!$A$2:$A1000,Metadata!$B$2:$B1000))),M$1,"""")"),"")</f>
        <v/>
      </c>
      <c r="N341" s="34" t="str">
        <f>IFERROR(__xludf.DUMMYFUNCTION("IF(IF(N$1="""","""",REGEXMATCH(LOWER($E341),XLOOKUP(N$1,Metadata!$A$2:$A1000,Metadata!$B$2:$B1000))),N$1,"""")"),"")</f>
        <v/>
      </c>
      <c r="O341" s="34" t="str">
        <f>IFERROR(__xludf.DUMMYFUNCTION("IF(IF(O$1="""","""",REGEXMATCH(LOWER($E341),XLOOKUP(O$1,Metadata!$A$2:$A1000,Metadata!$B$2:$B1000))),O$1,"""")"),"")</f>
        <v/>
      </c>
      <c r="P341" s="34" t="str">
        <f>IFERROR(__xludf.DUMMYFUNCTION("IF(IF(P$1="""","""",REGEXMATCH(LOWER($E341),XLOOKUP(P$1,Metadata!$A$2:$A1000,Metadata!$B$2:$B1000))),P$1,"""")"),"")</f>
        <v/>
      </c>
      <c r="Q341" s="34" t="str">
        <f>IFERROR(__xludf.DUMMYFUNCTION("IF(IF(Q$1="""","""",REGEXMATCH(LOWER($E341),XLOOKUP(Q$1,Metadata!$A$2:$A1000,Metadata!$B$2:$B1000))),Q$1,"""")"),"")</f>
        <v/>
      </c>
      <c r="R341" s="34" t="str">
        <f>IFERROR(__xludf.DUMMYFUNCTION("IF(IF(R$1="""","""",REGEXMATCH(LOWER($E341),XLOOKUP(R$1,Metadata!$A$2:$A1000,Metadata!$B$2:$B1000))),R$1,"""")"),"")</f>
        <v/>
      </c>
      <c r="S341" s="34" t="str">
        <f>IFERROR(__xludf.DUMMYFUNCTION("IF(IF(S$1="""","""",REGEXMATCH(LOWER($E341),XLOOKUP(S$1,Metadata!$A$2:$A1000,Metadata!$B$2:$B1000))),S$1,"""")"),"Control")</f>
        <v>Control</v>
      </c>
      <c r="T341" s="34" t="str">
        <f>IFERROR(__xludf.DUMMYFUNCTION("IF(IF(T$1="""","""",REGEXMATCH(LOWER($E341),XLOOKUP(T$1,Metadata!$A$2:$A1000,Metadata!$B$2:$B1000))),T$1,"""")"),"")</f>
        <v/>
      </c>
      <c r="U341" s="34" t="str">
        <f>IFERROR(__xludf.DUMMYFUNCTION("IF(IF(U$1="""","""",REGEXMATCH(LOWER($E341),XLOOKUP(U$1,Metadata!$A$2:$A1000,Metadata!$B$2:$B1000))),U$1,"""")"),"")</f>
        <v/>
      </c>
      <c r="V341" s="34" t="str">
        <f>IFERROR(__xludf.DUMMYFUNCTION("IF(IF(V$1="""","""",REGEXMATCH(LOWER($E341),XLOOKUP(V$1,Metadata!$A$2:$A1000,Metadata!$B$2:$B1000))),V$1,"""")"),"Empty-Crystal")</f>
        <v>Empty-Crystal</v>
      </c>
      <c r="W341" s="34" t="str">
        <f>IFERROR(__xludf.DUMMYFUNCTION("IF(IF(W$1="""","""",REGEXMATCH(LOWER($E341),XLOOKUP(W$1,Metadata!$A$2:$A1000,Metadata!$B$2:$B1000))),W$1,"""")"),"")</f>
        <v/>
      </c>
      <c r="X341" s="34" t="str">
        <f>IFERROR(__xludf.DUMMYFUNCTION("IF(IF(X$1="""","""",REGEXMATCH(LOWER($E341),XLOOKUP(X$1,Metadata!$A$2:$A1000,Metadata!$B$2:$B1000))),X$1,"""")"),"Ambush")</f>
        <v>Ambush</v>
      </c>
      <c r="Y341" s="34" t="str">
        <f>IFERROR(__xludf.DUMMYFUNCTION("IF(IF(Y$1="""","""",REGEXMATCH(LOWER($E341),XLOOKUP(Y$1,Metadata!$A$2:$A1000,Metadata!$B$2:$B1000))),Y$1,"""")"),"")</f>
        <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I342">XLOOKUP($A342,Cards!$A$2:$A1000,Cards!$B$2:$I1000,"")</f>
        <v/>
      </c>
      <c r="C342" s="34">
        <v>2.0</v>
      </c>
      <c r="D342" s="34" t="s">
        <v>1963</v>
      </c>
      <c r="E342" s="34" t="s">
        <v>1964</v>
      </c>
      <c r="F342" s="34" t="s">
        <v>1965</v>
      </c>
      <c r="G342" s="34">
        <v>6.0</v>
      </c>
      <c r="H342" s="34" t="s">
        <v>1966</v>
      </c>
      <c r="I342" s="34" t="s">
        <v>26</v>
      </c>
      <c r="J342" s="34">
        <f>IFERROR(__xludf.DUMMYFUNCTION("LEN(REGEXREPLACE(XLOOKUP($A342,Cards!$A$2:$A1000,Cards!$H$2:$H1000,""""),"",\s"",""""))"),4.0)</f>
        <v>4</v>
      </c>
      <c r="K342" s="34" t="str">
        <f t="shared" si="1"/>
        <v>      Ramp Control   Empty-Crystal  Ambush   </v>
      </c>
      <c r="L342" s="34" t="str">
        <f>IFERROR(__xludf.DUMMYFUNCTION("IF(IF(L$1="""","""",REGEXMATCH(LOWER($E342),XLOOKUP(L$1,Metadata!$A$2:$A1000,Metadata!$B$2:$B1000))),L$1,"""")"),"")</f>
        <v/>
      </c>
      <c r="M342" s="34" t="str">
        <f>IFERROR(__xludf.DUMMYFUNCTION("IF(IF(M$1="""","""",REGEXMATCH(LOWER($E342),XLOOKUP(M$1,Metadata!$A$2:$A1000,Metadata!$B$2:$B1000))),M$1,"""")"),"")</f>
        <v/>
      </c>
      <c r="N342" s="34" t="str">
        <f>IFERROR(__xludf.DUMMYFUNCTION("IF(IF(N$1="""","""",REGEXMATCH(LOWER($E342),XLOOKUP(N$1,Metadata!$A$2:$A1000,Metadata!$B$2:$B1000))),N$1,"""")"),"")</f>
        <v/>
      </c>
      <c r="O342" s="34" t="str">
        <f>IFERROR(__xludf.DUMMYFUNCTION("IF(IF(O$1="""","""",REGEXMATCH(LOWER($E342),XLOOKUP(O$1,Metadata!$A$2:$A1000,Metadata!$B$2:$B1000))),O$1,"""")"),"")</f>
        <v/>
      </c>
      <c r="P342" s="34" t="str">
        <f>IFERROR(__xludf.DUMMYFUNCTION("IF(IF(P$1="""","""",REGEXMATCH(LOWER($E342),XLOOKUP(P$1,Metadata!$A$2:$A1000,Metadata!$B$2:$B1000))),P$1,"""")"),"")</f>
        <v/>
      </c>
      <c r="Q342" s="34" t="str">
        <f>IFERROR(__xludf.DUMMYFUNCTION("IF(IF(Q$1="""","""",REGEXMATCH(LOWER($E342),XLOOKUP(Q$1,Metadata!$A$2:$A1000,Metadata!$B$2:$B1000))),Q$1,"""")"),"")</f>
        <v/>
      </c>
      <c r="R342" s="34" t="str">
        <f>IFERROR(__xludf.DUMMYFUNCTION("IF(IF(R$1="""","""",REGEXMATCH(LOWER($E342),XLOOKUP(R$1,Metadata!$A$2:$A1000,Metadata!$B$2:$B1000))),R$1,"""")"),"Ramp")</f>
        <v>Ramp</v>
      </c>
      <c r="S342" s="34" t="str">
        <f>IFERROR(__xludf.DUMMYFUNCTION("IF(IF(S$1="""","""",REGEXMATCH(LOWER($E342),XLOOKUP(S$1,Metadata!$A$2:$A1000,Metadata!$B$2:$B1000))),S$1,"""")"),"Control")</f>
        <v>Control</v>
      </c>
      <c r="T342" s="34" t="str">
        <f>IFERROR(__xludf.DUMMYFUNCTION("IF(IF(T$1="""","""",REGEXMATCH(LOWER($E342),XLOOKUP(T$1,Metadata!$A$2:$A1000,Metadata!$B$2:$B1000))),T$1,"""")"),"")</f>
        <v/>
      </c>
      <c r="U342" s="34" t="str">
        <f>IFERROR(__xludf.DUMMYFUNCTION("IF(IF(U$1="""","""",REGEXMATCH(LOWER($E342),XLOOKUP(U$1,Metadata!$A$2:$A1000,Metadata!$B$2:$B1000))),U$1,"""")"),"")</f>
        <v/>
      </c>
      <c r="V342" s="34" t="str">
        <f>IFERROR(__xludf.DUMMYFUNCTION("IF(IF(V$1="""","""",REGEXMATCH(LOWER($E342),XLOOKUP(V$1,Metadata!$A$2:$A1000,Metadata!$B$2:$B1000))),V$1,"""")"),"Empty-Crystal")</f>
        <v>Empty-Crystal</v>
      </c>
      <c r="W342" s="34" t="str">
        <f>IFERROR(__xludf.DUMMYFUNCTION("IF(IF(W$1="""","""",REGEXMATCH(LOWER($E342),XLOOKUP(W$1,Metadata!$A$2:$A1000,Metadata!$B$2:$B1000))),W$1,"""")"),"")</f>
        <v/>
      </c>
      <c r="X342" s="34" t="str">
        <f>IFERROR(__xludf.DUMMYFUNCTION("IF(IF(X$1="""","""",REGEXMATCH(LOWER($E342),XLOOKUP(X$1,Metadata!$A$2:$A1000,Metadata!$B$2:$B1000))),X$1,"""")"),"Ambush")</f>
        <v>Ambush</v>
      </c>
      <c r="Y342" s="34" t="str">
        <f>IFERROR(__xludf.DUMMYFUNCTION("IF(IF(Y$1="""","""",REGEXMATCH(LOWER($E342),XLOOKUP(Y$1,Metadata!$A$2:$A1000,Metadata!$B$2:$B1000))),Y$1,"""")"),"")</f>
        <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I343">XLOOKUP($A343,Cards!$A$2:$A1000,Cards!$B$2:$I1000,"")</f>
        <v/>
      </c>
      <c r="C343" s="34">
        <v>2.0</v>
      </c>
      <c r="D343" s="34"/>
      <c r="E343" s="34" t="s">
        <v>1968</v>
      </c>
      <c r="F343" s="34" t="s">
        <v>1969</v>
      </c>
      <c r="G343" s="34">
        <v>2.0</v>
      </c>
      <c r="H343" s="34" t="s">
        <v>1957</v>
      </c>
      <c r="I343" s="34" t="s">
        <v>70</v>
      </c>
      <c r="J343" s="34">
        <f>IFERROR(__xludf.DUMMYFUNCTION("LEN(REGEXREPLACE(XLOOKUP($A343,Cards!$A$2:$A1000,Cards!$H$2:$H1000,""""),"",\s"",""""))"),3.0)</f>
        <v>3</v>
      </c>
      <c r="K343" s="34" t="str">
        <f t="shared" si="1"/>
        <v>               </v>
      </c>
      <c r="L343" s="34" t="str">
        <f>IFERROR(__xludf.DUMMYFUNCTION("IF(IF(L$1="""","""",REGEXMATCH(LOWER($E343),XLOOKUP(L$1,Metadata!$A$2:$A1000,Metadata!$B$2:$B1000))),L$1,"""")"),"")</f>
        <v/>
      </c>
      <c r="M343" s="34" t="str">
        <f>IFERROR(__xludf.DUMMYFUNCTION("IF(IF(M$1="""","""",REGEXMATCH(LOWER($E343),XLOOKUP(M$1,Metadata!$A$2:$A1000,Metadata!$B$2:$B1000))),M$1,"""")"),"")</f>
        <v/>
      </c>
      <c r="N343" s="34" t="str">
        <f>IFERROR(__xludf.DUMMYFUNCTION("IF(IF(N$1="""","""",REGEXMATCH(LOWER($E343),XLOOKUP(N$1,Metadata!$A$2:$A1000,Metadata!$B$2:$B1000))),N$1,"""")"),"")</f>
        <v/>
      </c>
      <c r="O343" s="34" t="str">
        <f>IFERROR(__xludf.DUMMYFUNCTION("IF(IF(O$1="""","""",REGEXMATCH(LOWER($E343),XLOOKUP(O$1,Metadata!$A$2:$A1000,Metadata!$B$2:$B1000))),O$1,"""")"),"")</f>
        <v/>
      </c>
      <c r="P343" s="34" t="str">
        <f>IFERROR(__xludf.DUMMYFUNCTION("IF(IF(P$1="""","""",REGEXMATCH(LOWER($E343),XLOOKUP(P$1,Metadata!$A$2:$A1000,Metadata!$B$2:$B1000))),P$1,"""")"),"")</f>
        <v/>
      </c>
      <c r="Q343" s="34" t="str">
        <f>IFERROR(__xludf.DUMMYFUNCTION("IF(IF(Q$1="""","""",REGEXMATCH(LOWER($E343),XLOOKUP(Q$1,Metadata!$A$2:$A1000,Metadata!$B$2:$B1000))),Q$1,"""")"),"")</f>
        <v/>
      </c>
      <c r="R343" s="34" t="str">
        <f>IFERROR(__xludf.DUMMYFUNCTION("IF(IF(R$1="""","""",REGEXMATCH(LOWER($E343),XLOOKUP(R$1,Metadata!$A$2:$A1000,Metadata!$B$2:$B1000))),R$1,"""")"),"")</f>
        <v/>
      </c>
      <c r="S343" s="34" t="str">
        <f>IFERROR(__xludf.DUMMYFUNCTION("IF(IF(S$1="""","""",REGEXMATCH(LOWER($E343),XLOOKUP(S$1,Metadata!$A$2:$A1000,Metadata!$B$2:$B1000))),S$1,"""")"),"")</f>
        <v/>
      </c>
      <c r="T343" s="34" t="str">
        <f>IFERROR(__xludf.DUMMYFUNCTION("IF(IF(T$1="""","""",REGEXMATCH(LOWER($E343),XLOOKUP(T$1,Metadata!$A$2:$A1000,Metadata!$B$2:$B1000))),T$1,"""")"),"")</f>
        <v/>
      </c>
      <c r="U343" s="34" t="str">
        <f>IFERROR(__xludf.DUMMYFUNCTION("IF(IF(U$1="""","""",REGEXMATCH(LOWER($E343),XLOOKUP(U$1,Metadata!$A$2:$A1000,Metadata!$B$2:$B1000))),U$1,"""")"),"")</f>
        <v/>
      </c>
      <c r="V343" s="34" t="str">
        <f>IFERROR(__xludf.DUMMYFUNCTION("IF(IF(V$1="""","""",REGEXMATCH(LOWER($E343),XLOOKUP(V$1,Metadata!$A$2:$A1000,Metadata!$B$2:$B1000))),V$1,"""")"),"")</f>
        <v/>
      </c>
      <c r="W343" s="34" t="str">
        <f>IFERROR(__xludf.DUMMYFUNCTION("IF(IF(W$1="""","""",REGEXMATCH(LOWER($E343),XLOOKUP(W$1,Metadata!$A$2:$A1000,Metadata!$B$2:$B1000))),W$1,"""")"),"")</f>
        <v/>
      </c>
      <c r="X343" s="34" t="str">
        <f>IFERROR(__xludf.DUMMYFUNCTION("IF(IF(X$1="""","""",REGEXMATCH(LOWER($E343),XLOOKUP(X$1,Metadata!$A$2:$A1000,Metadata!$B$2:$B1000))),X$1,"""")"),"")</f>
        <v/>
      </c>
      <c r="Y343" s="34" t="str">
        <f>IFERROR(__xludf.DUMMYFUNCTION("IF(IF(Y$1="""","""",REGEXMATCH(LOWER($E343),XLOOKUP(Y$1,Metadata!$A$2:$A1000,Metadata!$B$2:$B1000))),Y$1,"""")"),"")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I344">XLOOKUP($A344,Cards!$A$2:$A1000,Cards!$B$2:$I1000,"")</f>
        <v>Nature</v>
      </c>
      <c r="C344" s="34">
        <v>1.0</v>
      </c>
      <c r="D344" s="34" t="s">
        <v>387</v>
      </c>
      <c r="E344" s="34"/>
      <c r="F344" s="34" t="s">
        <v>1971</v>
      </c>
      <c r="G344" s="34">
        <v>8.0</v>
      </c>
      <c r="H344" s="34" t="s">
        <v>1685</v>
      </c>
      <c r="I344" s="34" t="s">
        <v>26</v>
      </c>
      <c r="J344" s="34">
        <f>IFERROR(__xludf.DUMMYFUNCTION("LEN(REGEXREPLACE(XLOOKUP($A344,Cards!$A$2:$A1000,Cards!$H$2:$H1000,""""),"",\s"",""""))"),6.0)</f>
        <v>6</v>
      </c>
      <c r="K344" s="34" t="str">
        <f t="shared" si="1"/>
        <v>               </v>
      </c>
      <c r="L344" s="34" t="str">
        <f>IFERROR(__xludf.DUMMYFUNCTION("IF(IF(L$1="""","""",REGEXMATCH(LOWER($E344),XLOOKUP(L$1,Metadata!$A$2:$A1000,Metadata!$B$2:$B1000))),L$1,"""")"),"")</f>
        <v/>
      </c>
      <c r="M344" s="34" t="str">
        <f>IFERROR(__xludf.DUMMYFUNCTION("IF(IF(M$1="""","""",REGEXMATCH(LOWER($E344),XLOOKUP(M$1,Metadata!$A$2:$A1000,Metadata!$B$2:$B1000))),M$1,"""")"),"")</f>
        <v/>
      </c>
      <c r="N344" s="34" t="str">
        <f>IFERROR(__xludf.DUMMYFUNCTION("IF(IF(N$1="""","""",REGEXMATCH(LOWER($E344),XLOOKUP(N$1,Metadata!$A$2:$A1000,Metadata!$B$2:$B1000))),N$1,"""")"),"")</f>
        <v/>
      </c>
      <c r="O344" s="34" t="str">
        <f>IFERROR(__xludf.DUMMYFUNCTION("IF(IF(O$1="""","""",REGEXMATCH(LOWER($E344),XLOOKUP(O$1,Metadata!$A$2:$A1000,Metadata!$B$2:$B1000))),O$1,"""")"),"")</f>
        <v/>
      </c>
      <c r="P344" s="34" t="str">
        <f>IFERROR(__xludf.DUMMYFUNCTION("IF(IF(P$1="""","""",REGEXMATCH(LOWER($E344),XLOOKUP(P$1,Metadata!$A$2:$A1000,Metadata!$B$2:$B1000))),P$1,"""")"),"")</f>
        <v/>
      </c>
      <c r="Q344" s="34" t="str">
        <f>IFERROR(__xludf.DUMMYFUNCTION("IF(IF(Q$1="""","""",REGEXMATCH(LOWER($E344),XLOOKUP(Q$1,Metadata!$A$2:$A1000,Metadata!$B$2:$B1000))),Q$1,"""")"),"")</f>
        <v/>
      </c>
      <c r="R344" s="34" t="str">
        <f>IFERROR(__xludf.DUMMYFUNCTION("IF(IF(R$1="""","""",REGEXMATCH(LOWER($E344),XLOOKUP(R$1,Metadata!$A$2:$A1000,Metadata!$B$2:$B1000))),R$1,"""")"),"")</f>
        <v/>
      </c>
      <c r="S344" s="34" t="str">
        <f>IFERROR(__xludf.DUMMYFUNCTION("IF(IF(S$1="""","""",REGEXMATCH(LOWER($E344),XLOOKUP(S$1,Metadata!$A$2:$A1000,Metadata!$B$2:$B1000))),S$1,"""")"),"")</f>
        <v/>
      </c>
      <c r="T344" s="34" t="str">
        <f>IFERROR(__xludf.DUMMYFUNCTION("IF(IF(T$1="""","""",REGEXMATCH(LOWER($E344),XLOOKUP(T$1,Metadata!$A$2:$A1000,Metadata!$B$2:$B1000))),T$1,"""")"),"")</f>
        <v/>
      </c>
      <c r="U344" s="34" t="str">
        <f>IFERROR(__xludf.DUMMYFUNCTION("IF(IF(U$1="""","""",REGEXMATCH(LOWER($E344),XLOOKUP(U$1,Metadata!$A$2:$A1000,Metadata!$B$2:$B1000))),U$1,"""")"),"")</f>
        <v/>
      </c>
      <c r="V344" s="34" t="str">
        <f>IFERROR(__xludf.DUMMYFUNCTION("IF(IF(V$1="""","""",REGEXMATCH(LOWER($E344),XLOOKUP(V$1,Metadata!$A$2:$A1000,Metadata!$B$2:$B1000))),V$1,"""")"),"")</f>
        <v/>
      </c>
      <c r="W344" s="34" t="str">
        <f>IFERROR(__xludf.DUMMYFUNCTION("IF(IF(W$1="""","""",REGEXMATCH(LOWER($E344),XLOOKUP(W$1,Metadata!$A$2:$A1000,Metadata!$B$2:$B1000))),W$1,"""")"),"")</f>
        <v/>
      </c>
      <c r="X344" s="34" t="str">
        <f>IFERROR(__xludf.DUMMYFUNCTION("IF(IF(X$1="""","""",REGEXMATCH(LOWER($E344),XLOOKUP(X$1,Metadata!$A$2:$A1000,Metadata!$B$2:$B1000))),X$1,"""")"),"")</f>
        <v/>
      </c>
      <c r="Y344" s="34" t="str">
        <f>IFERROR(__xludf.DUMMYFUNCTION("IF(IF(Y$1="""","""",REGEXMATCH(LOWER($E344),XLOOKUP(Y$1,Metadata!$A$2:$A1000,Metadata!$B$2:$B1000))),Y$1,"""")"),"")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I345">XLOOKUP($A345,Cards!$A$2:$A1000,Cards!$B$2:$I1000,"")</f>
        <v/>
      </c>
      <c r="C345" s="34">
        <v>2.0</v>
      </c>
      <c r="D345" s="34" t="s">
        <v>1973</v>
      </c>
      <c r="E345" s="34" t="s">
        <v>1974</v>
      </c>
      <c r="F345" s="34" t="s">
        <v>838</v>
      </c>
      <c r="G345" s="34">
        <v>0.0</v>
      </c>
      <c r="H345" s="34" t="s">
        <v>1957</v>
      </c>
      <c r="I345" s="34" t="s">
        <v>70</v>
      </c>
      <c r="J345" s="34">
        <f>IFERROR(__xludf.DUMMYFUNCTION("LEN(REGEXREPLACE(XLOOKUP($A345,Cards!$A$2:$A1000,Cards!$H$2:$H1000,""""),"",\s"",""""))"),3.0)</f>
        <v>3</v>
      </c>
      <c r="K345" s="34" t="str">
        <f t="shared" si="1"/>
        <v>          Empty-Crystal     </v>
      </c>
      <c r="L345" s="34" t="str">
        <f>IFERROR(__xludf.DUMMYFUNCTION("IF(IF(L$1="""","""",REGEXMATCH(LOWER($E345),XLOOKUP(L$1,Metadata!$A$2:$A1000,Metadata!$B$2:$B1000))),L$1,"""")"),"")</f>
        <v/>
      </c>
      <c r="M345" s="34" t="str">
        <f>IFERROR(__xludf.DUMMYFUNCTION("IF(IF(M$1="""","""",REGEXMATCH(LOWER($E345),XLOOKUP(M$1,Metadata!$A$2:$A1000,Metadata!$B$2:$B1000))),M$1,"""")"),"")</f>
        <v/>
      </c>
      <c r="N345" s="34" t="str">
        <f>IFERROR(__xludf.DUMMYFUNCTION("IF(IF(N$1="""","""",REGEXMATCH(LOWER($E345),XLOOKUP(N$1,Metadata!$A$2:$A1000,Metadata!$B$2:$B1000))),N$1,"""")"),"")</f>
        <v/>
      </c>
      <c r="O345" s="34" t="str">
        <f>IFERROR(__xludf.DUMMYFUNCTION("IF(IF(O$1="""","""",REGEXMATCH(LOWER($E345),XLOOKUP(O$1,Metadata!$A$2:$A1000,Metadata!$B$2:$B1000))),O$1,"""")"),"")</f>
        <v/>
      </c>
      <c r="P345" s="34" t="str">
        <f>IFERROR(__xludf.DUMMYFUNCTION("IF(IF(P$1="""","""",REGEXMATCH(LOWER($E345),XLOOKUP(P$1,Metadata!$A$2:$A1000,Metadata!$B$2:$B1000))),P$1,"""")"),"")</f>
        <v/>
      </c>
      <c r="Q345" s="34" t="str">
        <f>IFERROR(__xludf.DUMMYFUNCTION("IF(IF(Q$1="""","""",REGEXMATCH(LOWER($E345),XLOOKUP(Q$1,Metadata!$A$2:$A1000,Metadata!$B$2:$B1000))),Q$1,"""")"),"")</f>
        <v/>
      </c>
      <c r="R345" s="34" t="str">
        <f>IFERROR(__xludf.DUMMYFUNCTION("IF(IF(R$1="""","""",REGEXMATCH(LOWER($E345),XLOOKUP(R$1,Metadata!$A$2:$A1000,Metadata!$B$2:$B1000))),R$1,"""")"),"")</f>
        <v/>
      </c>
      <c r="S345" s="34" t="str">
        <f>IFERROR(__xludf.DUMMYFUNCTION("IF(IF(S$1="""","""",REGEXMATCH(LOWER($E345),XLOOKUP(S$1,Metadata!$A$2:$A1000,Metadata!$B$2:$B1000))),S$1,"""")"),"")</f>
        <v/>
      </c>
      <c r="T345" s="34" t="str">
        <f>IFERROR(__xludf.DUMMYFUNCTION("IF(IF(T$1="""","""",REGEXMATCH(LOWER($E345),XLOOKUP(T$1,Metadata!$A$2:$A1000,Metadata!$B$2:$B1000))),T$1,"""")"),"")</f>
        <v/>
      </c>
      <c r="U345" s="34" t="str">
        <f>IFERROR(__xludf.DUMMYFUNCTION("IF(IF(U$1="""","""",REGEXMATCH(LOWER($E345),XLOOKUP(U$1,Metadata!$A$2:$A1000,Metadata!$B$2:$B1000))),U$1,"""")"),"")</f>
        <v/>
      </c>
      <c r="V345" s="34" t="str">
        <f>IFERROR(__xludf.DUMMYFUNCTION("IF(IF(V$1="""","""",REGEXMATCH(LOWER($E345),XLOOKUP(V$1,Metadata!$A$2:$A1000,Metadata!$B$2:$B1000))),V$1,"""")"),"Empty-Crystal")</f>
        <v>Empty-Crystal</v>
      </c>
      <c r="W345" s="34" t="str">
        <f>IFERROR(__xludf.DUMMYFUNCTION("IF(IF(W$1="""","""",REGEXMATCH(LOWER($E345),XLOOKUP(W$1,Metadata!$A$2:$A1000,Metadata!$B$2:$B1000))),W$1,"""")"),"")</f>
        <v/>
      </c>
      <c r="X345" s="34" t="str">
        <f>IFERROR(__xludf.DUMMYFUNCTION("IF(IF(X$1="""","""",REGEXMATCH(LOWER($E345),XLOOKUP(X$1,Metadata!$A$2:$A1000,Metadata!$B$2:$B1000))),X$1,"""")"),"")</f>
        <v/>
      </c>
      <c r="Y345" s="34" t="str">
        <f>IFERROR(__xludf.DUMMYFUNCTION("IF(IF(Y$1="""","""",REGEXMATCH(LOWER($E345),XLOOKUP(Y$1,Metadata!$A$2:$A1000,Metadata!$B$2:$B1000))),Y$1,"""")"),"")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I346">XLOOKUP($A346,Cards!$A$2:$A1000,Cards!$B$2:$I1000,"")</f>
        <v>Nature</v>
      </c>
      <c r="C346" s="34">
        <v>1.0</v>
      </c>
      <c r="D346" s="34" t="s">
        <v>998</v>
      </c>
      <c r="E346" s="34"/>
      <c r="F346" s="34"/>
      <c r="G346" s="34">
        <v>2.0</v>
      </c>
      <c r="H346" s="34" t="s">
        <v>1503</v>
      </c>
      <c r="I346" s="34" t="s">
        <v>26</v>
      </c>
      <c r="J346" s="34">
        <f>IFERROR(__xludf.DUMMYFUNCTION("LEN(REGEXREPLACE(XLOOKUP($A346,Cards!$A$2:$A1000,Cards!$H$2:$H1000,""""),"",\s"",""""))"),2.0)</f>
        <v>2</v>
      </c>
      <c r="K346" s="34" t="str">
        <f t="shared" si="1"/>
        <v>               </v>
      </c>
      <c r="L346" s="34" t="str">
        <f>IFERROR(__xludf.DUMMYFUNCTION("IF(IF(L$1="""","""",REGEXMATCH(LOWER($E346),XLOOKUP(L$1,Metadata!$A$2:$A1000,Metadata!$B$2:$B1000))),L$1,"""")"),"")</f>
        <v/>
      </c>
      <c r="M346" s="34" t="str">
        <f>IFERROR(__xludf.DUMMYFUNCTION("IF(IF(M$1="""","""",REGEXMATCH(LOWER($E346),XLOOKUP(M$1,Metadata!$A$2:$A1000,Metadata!$B$2:$B1000))),M$1,"""")"),"")</f>
        <v/>
      </c>
      <c r="N346" s="34" t="str">
        <f>IFERROR(__xludf.DUMMYFUNCTION("IF(IF(N$1="""","""",REGEXMATCH(LOWER($E346),XLOOKUP(N$1,Metadata!$A$2:$A1000,Metadata!$B$2:$B1000))),N$1,"""")"),"")</f>
        <v/>
      </c>
      <c r="O346" s="34" t="str">
        <f>IFERROR(__xludf.DUMMYFUNCTION("IF(IF(O$1="""","""",REGEXMATCH(LOWER($E346),XLOOKUP(O$1,Metadata!$A$2:$A1000,Metadata!$B$2:$B1000))),O$1,"""")"),"")</f>
        <v/>
      </c>
      <c r="P346" s="34" t="str">
        <f>IFERROR(__xludf.DUMMYFUNCTION("IF(IF(P$1="""","""",REGEXMATCH(LOWER($E346),XLOOKUP(P$1,Metadata!$A$2:$A1000,Metadata!$B$2:$B1000))),P$1,"""")"),"")</f>
        <v/>
      </c>
      <c r="Q346" s="34" t="str">
        <f>IFERROR(__xludf.DUMMYFUNCTION("IF(IF(Q$1="""","""",REGEXMATCH(LOWER($E346),XLOOKUP(Q$1,Metadata!$A$2:$A1000,Metadata!$B$2:$B1000))),Q$1,"""")"),"")</f>
        <v/>
      </c>
      <c r="R346" s="34" t="str">
        <f>IFERROR(__xludf.DUMMYFUNCTION("IF(IF(R$1="""","""",REGEXMATCH(LOWER($E346),XLOOKUP(R$1,Metadata!$A$2:$A1000,Metadata!$B$2:$B1000))),R$1,"""")"),"")</f>
        <v/>
      </c>
      <c r="S346" s="34" t="str">
        <f>IFERROR(__xludf.DUMMYFUNCTION("IF(IF(S$1="""","""",REGEXMATCH(LOWER($E346),XLOOKUP(S$1,Metadata!$A$2:$A1000,Metadata!$B$2:$B1000))),S$1,"""")"),"")</f>
        <v/>
      </c>
      <c r="T346" s="34" t="str">
        <f>IFERROR(__xludf.DUMMYFUNCTION("IF(IF(T$1="""","""",REGEXMATCH(LOWER($E346),XLOOKUP(T$1,Metadata!$A$2:$A1000,Metadata!$B$2:$B1000))),T$1,"""")"),"")</f>
        <v/>
      </c>
      <c r="U346" s="34" t="str">
        <f>IFERROR(__xludf.DUMMYFUNCTION("IF(IF(U$1="""","""",REGEXMATCH(LOWER($E346),XLOOKUP(U$1,Metadata!$A$2:$A1000,Metadata!$B$2:$B1000))),U$1,"""")"),"")</f>
        <v/>
      </c>
      <c r="V346" s="34" t="str">
        <f>IFERROR(__xludf.DUMMYFUNCTION("IF(IF(V$1="""","""",REGEXMATCH(LOWER($E346),XLOOKUP(V$1,Metadata!$A$2:$A1000,Metadata!$B$2:$B1000))),V$1,"""")"),"")</f>
        <v/>
      </c>
      <c r="W346" s="34" t="str">
        <f>IFERROR(__xludf.DUMMYFUNCTION("IF(IF(W$1="""","""",REGEXMATCH(LOWER($E346),XLOOKUP(W$1,Metadata!$A$2:$A1000,Metadata!$B$2:$B1000))),W$1,"""")"),"")</f>
        <v/>
      </c>
      <c r="X346" s="34" t="str">
        <f>IFERROR(__xludf.DUMMYFUNCTION("IF(IF(X$1="""","""",REGEXMATCH(LOWER($E346),XLOOKUP(X$1,Metadata!$A$2:$A1000,Metadata!$B$2:$B1000))),X$1,"""")"),"")</f>
        <v/>
      </c>
      <c r="Y346" s="34" t="str">
        <f>IFERROR(__xludf.DUMMYFUNCTION("IF(IF(Y$1="""","""",REGEXMATCH(LOWER($E346),XLOOKUP(Y$1,Metadata!$A$2:$A1000,Metadata!$B$2:$B1000))),Y$1,"""")"),"")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I347">XLOOKUP($A347,Cards!$A$2:$A1000,Cards!$B$2:$I1000,"")</f>
        <v>Nature Void</v>
      </c>
      <c r="C347" s="34">
        <v>1.0</v>
      </c>
      <c r="D347" s="34" t="s">
        <v>1748</v>
      </c>
      <c r="E347" s="34" t="s">
        <v>1977</v>
      </c>
      <c r="F347" s="34" t="s">
        <v>1978</v>
      </c>
      <c r="G347" s="34">
        <v>0.0</v>
      </c>
      <c r="H347" s="34" t="s">
        <v>1979</v>
      </c>
      <c r="I347" s="34" t="s">
        <v>70</v>
      </c>
      <c r="J347" s="34">
        <f>IFERROR(__xludf.DUMMYFUNCTION("LEN(REGEXREPLACE(XLOOKUP($A347,Cards!$A$2:$A1000,Cards!$H$2:$H1000,""""),"",\s"",""""))"),4.0)</f>
        <v>4</v>
      </c>
      <c r="K347" s="34" t="str">
        <f t="shared" si="1"/>
        <v>            Ambush   </v>
      </c>
      <c r="L347" s="34" t="str">
        <f>IFERROR(__xludf.DUMMYFUNCTION("IF(IF(L$1="""","""",REGEXMATCH(LOWER($E347),XLOOKUP(L$1,Metadata!$A$2:$A1000,Metadata!$B$2:$B1000))),L$1,"""")"),"")</f>
        <v/>
      </c>
      <c r="M347" s="34" t="str">
        <f>IFERROR(__xludf.DUMMYFUNCTION("IF(IF(M$1="""","""",REGEXMATCH(LOWER($E347),XLOOKUP(M$1,Metadata!$A$2:$A1000,Metadata!$B$2:$B1000))),M$1,"""")"),"")</f>
        <v/>
      </c>
      <c r="N347" s="34" t="str">
        <f>IFERROR(__xludf.DUMMYFUNCTION("IF(IF(N$1="""","""",REGEXMATCH(LOWER($E347),XLOOKUP(N$1,Metadata!$A$2:$A1000,Metadata!$B$2:$B1000))),N$1,"""")"),"")</f>
        <v/>
      </c>
      <c r="O347" s="34" t="str">
        <f>IFERROR(__xludf.DUMMYFUNCTION("IF(IF(O$1="""","""",REGEXMATCH(LOWER($E347),XLOOKUP(O$1,Metadata!$A$2:$A1000,Metadata!$B$2:$B1000))),O$1,"""")"),"")</f>
        <v/>
      </c>
      <c r="P347" s="34" t="str">
        <f>IFERROR(__xludf.DUMMYFUNCTION("IF(IF(P$1="""","""",REGEXMATCH(LOWER($E347),XLOOKUP(P$1,Metadata!$A$2:$A1000,Metadata!$B$2:$B1000))),P$1,"""")"),"")</f>
        <v/>
      </c>
      <c r="Q347" s="34" t="str">
        <f>IFERROR(__xludf.DUMMYFUNCTION("IF(IF(Q$1="""","""",REGEXMATCH(LOWER($E347),XLOOKUP(Q$1,Metadata!$A$2:$A1000,Metadata!$B$2:$B1000))),Q$1,"""")"),"")</f>
        <v/>
      </c>
      <c r="R347" s="34" t="str">
        <f>IFERROR(__xludf.DUMMYFUNCTION("IF(IF(R$1="""","""",REGEXMATCH(LOWER($E347),XLOOKUP(R$1,Metadata!$A$2:$A1000,Metadata!$B$2:$B1000))),R$1,"""")"),"")</f>
        <v/>
      </c>
      <c r="S347" s="34" t="str">
        <f>IFERROR(__xludf.DUMMYFUNCTION("IF(IF(S$1="""","""",REGEXMATCH(LOWER($E347),XLOOKUP(S$1,Metadata!$A$2:$A1000,Metadata!$B$2:$B1000))),S$1,"""")"),"")</f>
        <v/>
      </c>
      <c r="T347" s="34" t="str">
        <f>IFERROR(__xludf.DUMMYFUNCTION("IF(IF(T$1="""","""",REGEXMATCH(LOWER($E347),XLOOKUP(T$1,Metadata!$A$2:$A1000,Metadata!$B$2:$B1000))),T$1,"""")"),"")</f>
        <v/>
      </c>
      <c r="U347" s="34" t="str">
        <f>IFERROR(__xludf.DUMMYFUNCTION("IF(IF(U$1="""","""",REGEXMATCH(LOWER($E347),XLOOKUP(U$1,Metadata!$A$2:$A1000,Metadata!$B$2:$B1000))),U$1,"""")"),"")</f>
        <v/>
      </c>
      <c r="V347" s="34" t="str">
        <f>IFERROR(__xludf.DUMMYFUNCTION("IF(IF(V$1="""","""",REGEXMATCH(LOWER($E347),XLOOKUP(V$1,Metadata!$A$2:$A1000,Metadata!$B$2:$B1000))),V$1,"""")"),"")</f>
        <v/>
      </c>
      <c r="W347" s="34" t="str">
        <f>IFERROR(__xludf.DUMMYFUNCTION("IF(IF(W$1="""","""",REGEXMATCH(LOWER($E347),XLOOKUP(W$1,Metadata!$A$2:$A1000,Metadata!$B$2:$B1000))),W$1,"""")"),"")</f>
        <v/>
      </c>
      <c r="X347" s="34" t="str">
        <f>IFERROR(__xludf.DUMMYFUNCTION("IF(IF(X$1="""","""",REGEXMATCH(LOWER($E347),XLOOKUP(X$1,Metadata!$A$2:$A1000,Metadata!$B$2:$B1000))),X$1,"""")"),"Ambush")</f>
        <v>Ambush</v>
      </c>
      <c r="Y347" s="34" t="str">
        <f>IFERROR(__xludf.DUMMYFUNCTION("IF(IF(Y$1="""","""",REGEXMATCH(LOWER($E347),XLOOKUP(Y$1,Metadata!$A$2:$A1000,Metadata!$B$2:$B1000))),Y$1,"""")"),"")</f>
        <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I348">XLOOKUP($A348,Cards!$A$2:$A1000,Cards!$B$2:$I1000,"")</f>
        <v>Nature Void</v>
      </c>
      <c r="C348" s="34">
        <v>1.0</v>
      </c>
      <c r="D348" s="34" t="s">
        <v>979</v>
      </c>
      <c r="E348" s="34" t="s">
        <v>1981</v>
      </c>
      <c r="F348" s="34" t="s">
        <v>1982</v>
      </c>
      <c r="G348" s="34">
        <v>1.0</v>
      </c>
      <c r="H348" s="34" t="s">
        <v>1983</v>
      </c>
      <c r="I348" s="34" t="s">
        <v>32</v>
      </c>
      <c r="J348" s="34">
        <f>IFERROR(__xludf.DUMMYFUNCTION("LEN(REGEXREPLACE(XLOOKUP($A348,Cards!$A$2:$A1000,Cards!$H$2:$H1000,""""),"",\s"",""""))"),4.0)</f>
        <v>4</v>
      </c>
      <c r="K348" s="34" t="str">
        <f t="shared" si="1"/>
        <v>        Copy       </v>
      </c>
      <c r="L348" s="34" t="str">
        <f>IFERROR(__xludf.DUMMYFUNCTION("IF(IF(L$1="""","""",REGEXMATCH(LOWER($E348),XLOOKUP(L$1,Metadata!$A$2:$A1000,Metadata!$B$2:$B1000))),L$1,"""")"),"")</f>
        <v/>
      </c>
      <c r="M348" s="34" t="str">
        <f>IFERROR(__xludf.DUMMYFUNCTION("IF(IF(M$1="""","""",REGEXMATCH(LOWER($E348),XLOOKUP(M$1,Metadata!$A$2:$A1000,Metadata!$B$2:$B1000))),M$1,"""")"),"")</f>
        <v/>
      </c>
      <c r="N348" s="34" t="str">
        <f>IFERROR(__xludf.DUMMYFUNCTION("IF(IF(N$1="""","""",REGEXMATCH(LOWER($E348),XLOOKUP(N$1,Metadata!$A$2:$A1000,Metadata!$B$2:$B1000))),N$1,"""")"),"")</f>
        <v/>
      </c>
      <c r="O348" s="34" t="str">
        <f>IFERROR(__xludf.DUMMYFUNCTION("IF(IF(O$1="""","""",REGEXMATCH(LOWER($E348),XLOOKUP(O$1,Metadata!$A$2:$A1000,Metadata!$B$2:$B1000))),O$1,"""")"),"")</f>
        <v/>
      </c>
      <c r="P348" s="34" t="str">
        <f>IFERROR(__xludf.DUMMYFUNCTION("IF(IF(P$1="""","""",REGEXMATCH(LOWER($E348),XLOOKUP(P$1,Metadata!$A$2:$A1000,Metadata!$B$2:$B1000))),P$1,"""")"),"")</f>
        <v/>
      </c>
      <c r="Q348" s="34" t="str">
        <f>IFERROR(__xludf.DUMMYFUNCTION("IF(IF(Q$1="""","""",REGEXMATCH(LOWER($E348),XLOOKUP(Q$1,Metadata!$A$2:$A1000,Metadata!$B$2:$B1000))),Q$1,"""")"),"")</f>
        <v/>
      </c>
      <c r="R348" s="34" t="str">
        <f>IFERROR(__xludf.DUMMYFUNCTION("IF(IF(R$1="""","""",REGEXMATCH(LOWER($E348),XLOOKUP(R$1,Metadata!$A$2:$A1000,Metadata!$B$2:$B1000))),R$1,"""")"),"")</f>
        <v/>
      </c>
      <c r="S348" s="34" t="str">
        <f>IFERROR(__xludf.DUMMYFUNCTION("IF(IF(S$1="""","""",REGEXMATCH(LOWER($E348),XLOOKUP(S$1,Metadata!$A$2:$A1000,Metadata!$B$2:$B1000))),S$1,"""")"),"")</f>
        <v/>
      </c>
      <c r="T348" s="34" t="str">
        <f>IFERROR(__xludf.DUMMYFUNCTION("IF(IF(T$1="""","""",REGEXMATCH(LOWER($E348),XLOOKUP(T$1,Metadata!$A$2:$A1000,Metadata!$B$2:$B1000))),T$1,"""")"),"Copy")</f>
        <v>Copy</v>
      </c>
      <c r="U348" s="34" t="str">
        <f>IFERROR(__xludf.DUMMYFUNCTION("IF(IF(U$1="""","""",REGEXMATCH(LOWER($E348),XLOOKUP(U$1,Metadata!$A$2:$A1000,Metadata!$B$2:$B1000))),U$1,"""")"),"")</f>
        <v/>
      </c>
      <c r="V348" s="34" t="str">
        <f>IFERROR(__xludf.DUMMYFUNCTION("IF(IF(V$1="""","""",REGEXMATCH(LOWER($E348),XLOOKUP(V$1,Metadata!$A$2:$A1000,Metadata!$B$2:$B1000))),V$1,"""")"),"")</f>
        <v/>
      </c>
      <c r="W348" s="34" t="str">
        <f>IFERROR(__xludf.DUMMYFUNCTION("IF(IF(W$1="""","""",REGEXMATCH(LOWER($E348),XLOOKUP(W$1,Metadata!$A$2:$A1000,Metadata!$B$2:$B1000))),W$1,"""")"),"")</f>
        <v/>
      </c>
      <c r="X348" s="34" t="str">
        <f>IFERROR(__xludf.DUMMYFUNCTION("IF(IF(X$1="""","""",REGEXMATCH(LOWER($E348),XLOOKUP(X$1,Metadata!$A$2:$A1000,Metadata!$B$2:$B1000))),X$1,"""")"),"")</f>
        <v/>
      </c>
      <c r="Y348" s="34" t="str">
        <f>IFERROR(__xludf.DUMMYFUNCTION("IF(IF(Y$1="""","""",REGEXMATCH(LOWER($E348),XLOOKUP(Y$1,Metadata!$A$2:$A1000,Metadata!$B$2:$B1000))),Y$1,"""")"),"")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I349">XLOOKUP($A349,Cards!$A$2:$A1000,Cards!$B$2:$I1000,"")</f>
        <v>Nature Void</v>
      </c>
      <c r="C349" s="34">
        <v>1.0</v>
      </c>
      <c r="D349" s="34" t="s">
        <v>1985</v>
      </c>
      <c r="E349" s="34"/>
      <c r="F349" s="34" t="s">
        <v>1986</v>
      </c>
      <c r="G349" s="34">
        <v>2.0</v>
      </c>
      <c r="H349" s="34" t="s">
        <v>1987</v>
      </c>
      <c r="I349" s="34" t="s">
        <v>26</v>
      </c>
      <c r="J349" s="34">
        <f>IFERROR(__xludf.DUMMYFUNCTION("LEN(REGEXREPLACE(XLOOKUP($A349,Cards!$A$2:$A1000,Cards!$H$2:$H1000,""""),"",\s"",""""))"),2.0)</f>
        <v>2</v>
      </c>
      <c r="K349" s="34" t="str">
        <f t="shared" si="1"/>
        <v>               </v>
      </c>
      <c r="L349" s="34" t="str">
        <f>IFERROR(__xludf.DUMMYFUNCTION("IF(IF(L$1="""","""",REGEXMATCH(LOWER($E349),XLOOKUP(L$1,Metadata!$A$2:$A1000,Metadata!$B$2:$B1000))),L$1,"""")"),"")</f>
        <v/>
      </c>
      <c r="M349" s="34" t="str">
        <f>IFERROR(__xludf.DUMMYFUNCTION("IF(IF(M$1="""","""",REGEXMATCH(LOWER($E349),XLOOKUP(M$1,Metadata!$A$2:$A1000,Metadata!$B$2:$B1000))),M$1,"""")"),"")</f>
        <v/>
      </c>
      <c r="N349" s="34" t="str">
        <f>IFERROR(__xludf.DUMMYFUNCTION("IF(IF(N$1="""","""",REGEXMATCH(LOWER($E349),XLOOKUP(N$1,Metadata!$A$2:$A1000,Metadata!$B$2:$B1000))),N$1,"""")"),"")</f>
        <v/>
      </c>
      <c r="O349" s="34" t="str">
        <f>IFERROR(__xludf.DUMMYFUNCTION("IF(IF(O$1="""","""",REGEXMATCH(LOWER($E349),XLOOKUP(O$1,Metadata!$A$2:$A1000,Metadata!$B$2:$B1000))),O$1,"""")"),"")</f>
        <v/>
      </c>
      <c r="P349" s="34" t="str">
        <f>IFERROR(__xludf.DUMMYFUNCTION("IF(IF(P$1="""","""",REGEXMATCH(LOWER($E349),XLOOKUP(P$1,Metadata!$A$2:$A1000,Metadata!$B$2:$B1000))),P$1,"""")"),"")</f>
        <v/>
      </c>
      <c r="Q349" s="34" t="str">
        <f>IFERROR(__xludf.DUMMYFUNCTION("IF(IF(Q$1="""","""",REGEXMATCH(LOWER($E349),XLOOKUP(Q$1,Metadata!$A$2:$A1000,Metadata!$B$2:$B1000))),Q$1,"""")"),"")</f>
        <v/>
      </c>
      <c r="R349" s="34" t="str">
        <f>IFERROR(__xludf.DUMMYFUNCTION("IF(IF(R$1="""","""",REGEXMATCH(LOWER($E349),XLOOKUP(R$1,Metadata!$A$2:$A1000,Metadata!$B$2:$B1000))),R$1,"""")"),"")</f>
        <v/>
      </c>
      <c r="S349" s="34" t="str">
        <f>IFERROR(__xludf.DUMMYFUNCTION("IF(IF(S$1="""","""",REGEXMATCH(LOWER($E349),XLOOKUP(S$1,Metadata!$A$2:$A1000,Metadata!$B$2:$B1000))),S$1,"""")"),"")</f>
        <v/>
      </c>
      <c r="T349" s="34" t="str">
        <f>IFERROR(__xludf.DUMMYFUNCTION("IF(IF(T$1="""","""",REGEXMATCH(LOWER($E349),XLOOKUP(T$1,Metadata!$A$2:$A1000,Metadata!$B$2:$B1000))),T$1,"""")"),"")</f>
        <v/>
      </c>
      <c r="U349" s="34" t="str">
        <f>IFERROR(__xludf.DUMMYFUNCTION("IF(IF(U$1="""","""",REGEXMATCH(LOWER($E349),XLOOKUP(U$1,Metadata!$A$2:$A1000,Metadata!$B$2:$B1000))),U$1,"""")"),"")</f>
        <v/>
      </c>
      <c r="V349" s="34" t="str">
        <f>IFERROR(__xludf.DUMMYFUNCTION("IF(IF(V$1="""","""",REGEXMATCH(LOWER($E349),XLOOKUP(V$1,Metadata!$A$2:$A1000,Metadata!$B$2:$B1000))),V$1,"""")"),"")</f>
        <v/>
      </c>
      <c r="W349" s="34" t="str">
        <f>IFERROR(__xludf.DUMMYFUNCTION("IF(IF(W$1="""","""",REGEXMATCH(LOWER($E349),XLOOKUP(W$1,Metadata!$A$2:$A1000,Metadata!$B$2:$B1000))),W$1,"""")"),"")</f>
        <v/>
      </c>
      <c r="X349" s="34" t="str">
        <f>IFERROR(__xludf.DUMMYFUNCTION("IF(IF(X$1="""","""",REGEXMATCH(LOWER($E349),XLOOKUP(X$1,Metadata!$A$2:$A1000,Metadata!$B$2:$B1000))),X$1,"""")"),"")</f>
        <v/>
      </c>
      <c r="Y349" s="34" t="str">
        <f>IFERROR(__xludf.DUMMYFUNCTION("IF(IF(Y$1="""","""",REGEXMATCH(LOWER($E349),XLOOKUP(Y$1,Metadata!$A$2:$A1000,Metadata!$B$2:$B1000))),Y$1,"""")"),"")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I350">XLOOKUP($A350,Cards!$A$2:$A1000,Cards!$B$2:$I1000,"")</f>
        <v>Void</v>
      </c>
      <c r="C350" s="34">
        <v>1.0</v>
      </c>
      <c r="D350" s="34" t="s">
        <v>1989</v>
      </c>
      <c r="E350" s="34" t="s">
        <v>1990</v>
      </c>
      <c r="F350" s="34" t="s">
        <v>1991</v>
      </c>
      <c r="G350" s="34">
        <v>2.0</v>
      </c>
      <c r="H350" s="34" t="s">
        <v>1992</v>
      </c>
      <c r="I350" s="34" t="s">
        <v>70</v>
      </c>
      <c r="J350" s="34">
        <f>IFERROR(__xludf.DUMMYFUNCTION("LEN(REGEXREPLACE(XLOOKUP($A350,Cards!$A$2:$A1000,Cards!$H$2:$H1000,""""),"",\s"",""""))"),3.0)</f>
        <v>3</v>
      </c>
      <c r="K350" s="34" t="str">
        <f t="shared" si="1"/>
        <v>     Unearth    Aggro  Move Ambush   </v>
      </c>
      <c r="L350" s="34" t="str">
        <f>IFERROR(__xludf.DUMMYFUNCTION("IF(IF(L$1="""","""",REGEXMATCH(LOWER($E350),XLOOKUP(L$1,Metadata!$A$2:$A1000,Metadata!$B$2:$B1000))),L$1,"""")"),"")</f>
        <v/>
      </c>
      <c r="M350" s="34" t="str">
        <f>IFERROR(__xludf.DUMMYFUNCTION("IF(IF(M$1="""","""",REGEXMATCH(LOWER($E350),XLOOKUP(M$1,Metadata!$A$2:$A1000,Metadata!$B$2:$B1000))),M$1,"""")"),"")</f>
        <v/>
      </c>
      <c r="N350" s="34" t="str">
        <f>IFERROR(__xludf.DUMMYFUNCTION("IF(IF(N$1="""","""",REGEXMATCH(LOWER($E350),XLOOKUP(N$1,Metadata!$A$2:$A1000,Metadata!$B$2:$B1000))),N$1,"""")"),"")</f>
        <v/>
      </c>
      <c r="O350" s="34" t="str">
        <f>IFERROR(__xludf.DUMMYFUNCTION("IF(IF(O$1="""","""",REGEXMATCH(LOWER($E350),XLOOKUP(O$1,Metadata!$A$2:$A1000,Metadata!$B$2:$B1000))),O$1,"""")"),"")</f>
        <v/>
      </c>
      <c r="P350" s="34" t="str">
        <f>IFERROR(__xludf.DUMMYFUNCTION("IF(IF(P$1="""","""",REGEXMATCH(LOWER($E350),XLOOKUP(P$1,Metadata!$A$2:$A1000,Metadata!$B$2:$B1000))),P$1,"""")"),"")</f>
        <v/>
      </c>
      <c r="Q350" s="34" t="str">
        <f>IFERROR(__xludf.DUMMYFUNCTION("IF(IF(Q$1="""","""",REGEXMATCH(LOWER($E350),XLOOKUP(Q$1,Metadata!$A$2:$A1000,Metadata!$B$2:$B1000))),Q$1,"""")"),"Unearth")</f>
        <v>Unearth</v>
      </c>
      <c r="R350" s="34" t="str">
        <f>IFERROR(__xludf.DUMMYFUNCTION("IF(IF(R$1="""","""",REGEXMATCH(LOWER($E350),XLOOKUP(R$1,Metadata!$A$2:$A1000,Metadata!$B$2:$B1000))),R$1,"""")"),"")</f>
        <v/>
      </c>
      <c r="S350" s="34" t="str">
        <f>IFERROR(__xludf.DUMMYFUNCTION("IF(IF(S$1="""","""",REGEXMATCH(LOWER($E350),XLOOKUP(S$1,Metadata!$A$2:$A1000,Metadata!$B$2:$B1000))),S$1,"""")"),"")</f>
        <v/>
      </c>
      <c r="T350" s="34" t="str">
        <f>IFERROR(__xludf.DUMMYFUNCTION("IF(IF(T$1="""","""",REGEXMATCH(LOWER($E350),XLOOKUP(T$1,Metadata!$A$2:$A1000,Metadata!$B$2:$B1000))),T$1,"""")"),"")</f>
        <v/>
      </c>
      <c r="U350" s="34" t="str">
        <f>IFERROR(__xludf.DUMMYFUNCTION("IF(IF(U$1="""","""",REGEXMATCH(LOWER($E350),XLOOKUP(U$1,Metadata!$A$2:$A1000,Metadata!$B$2:$B1000))),U$1,"""")"),"Aggro")</f>
        <v>Aggro</v>
      </c>
      <c r="V350" s="34" t="str">
        <f>IFERROR(__xludf.DUMMYFUNCTION("IF(IF(V$1="""","""",REGEXMATCH(LOWER($E350),XLOOKUP(V$1,Metadata!$A$2:$A1000,Metadata!$B$2:$B1000))),V$1,"""")"),"")</f>
        <v/>
      </c>
      <c r="W350" s="34" t="str">
        <f>IFERROR(__xludf.DUMMYFUNCTION("IF(IF(W$1="""","""",REGEXMATCH(LOWER($E350),XLOOKUP(W$1,Metadata!$A$2:$A1000,Metadata!$B$2:$B1000))),W$1,"""")"),"Move")</f>
        <v>Move</v>
      </c>
      <c r="X350" s="34" t="str">
        <f>IFERROR(__xludf.DUMMYFUNCTION("IF(IF(X$1="""","""",REGEXMATCH(LOWER($E350),XLOOKUP(X$1,Metadata!$A$2:$A1000,Metadata!$B$2:$B1000))),X$1,"""")"),"Ambush")</f>
        <v>Ambush</v>
      </c>
      <c r="Y350" s="34" t="str">
        <f>IFERROR(__xludf.DUMMYFUNCTION("IF(IF(Y$1="""","""",REGEXMATCH(LOWER($E350),XLOOKUP(Y$1,Metadata!$A$2:$A1000,Metadata!$B$2:$B1000))),Y$1,"""")"),"")</f>
        <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I351">XLOOKUP($A351,Cards!$A$2:$A1000,Cards!$B$2:$I1000,"")</f>
        <v>Void</v>
      </c>
      <c r="C351" s="34">
        <v>1.0</v>
      </c>
      <c r="D351" s="34" t="s">
        <v>1935</v>
      </c>
      <c r="E351" s="34" t="s">
        <v>1996</v>
      </c>
      <c r="F351" s="34" t="s">
        <v>1997</v>
      </c>
      <c r="G351" s="34">
        <v>4.0</v>
      </c>
      <c r="H351" s="34" t="s">
        <v>1841</v>
      </c>
      <c r="I351" s="34" t="s">
        <v>70</v>
      </c>
      <c r="J351" s="34">
        <f>IFERROR(__xludf.DUMMYFUNCTION("LEN(REGEXREPLACE(XLOOKUP($A351,Cards!$A$2:$A1000,Cards!$H$2:$H1000,""""),"",\s"",""""))"),4.0)</f>
        <v>4</v>
      </c>
      <c r="K351" s="34" t="str">
        <f t="shared" si="1"/>
        <v>       Control     Ambush   </v>
      </c>
      <c r="L351" s="34" t="str">
        <f>IFERROR(__xludf.DUMMYFUNCTION("IF(IF(L$1="""","""",REGEXMATCH(LOWER($E351),XLOOKUP(L$1,Metadata!$A$2:$A1000,Metadata!$B$2:$B1000))),L$1,"""")"),"")</f>
        <v/>
      </c>
      <c r="M351" s="34" t="str">
        <f>IFERROR(__xludf.DUMMYFUNCTION("IF(IF(M$1="""","""",REGEXMATCH(LOWER($E351),XLOOKUP(M$1,Metadata!$A$2:$A1000,Metadata!$B$2:$B1000))),M$1,"""")"),"")</f>
        <v/>
      </c>
      <c r="N351" s="34" t="str">
        <f>IFERROR(__xludf.DUMMYFUNCTION("IF(IF(N$1="""","""",REGEXMATCH(LOWER($E351),XLOOKUP(N$1,Metadata!$A$2:$A1000,Metadata!$B$2:$B1000))),N$1,"""")"),"")</f>
        <v/>
      </c>
      <c r="O351" s="34" t="str">
        <f>IFERROR(__xludf.DUMMYFUNCTION("IF(IF(O$1="""","""",REGEXMATCH(LOWER($E351),XLOOKUP(O$1,Metadata!$A$2:$A1000,Metadata!$B$2:$B1000))),O$1,"""")"),"")</f>
        <v/>
      </c>
      <c r="P351" s="34" t="str">
        <f>IFERROR(__xludf.DUMMYFUNCTION("IF(IF(P$1="""","""",REGEXMATCH(LOWER($E351),XLOOKUP(P$1,Metadata!$A$2:$A1000,Metadata!$B$2:$B1000))),P$1,"""")"),"")</f>
        <v/>
      </c>
      <c r="Q351" s="34" t="str">
        <f>IFERROR(__xludf.DUMMYFUNCTION("IF(IF(Q$1="""","""",REGEXMATCH(LOWER($E351),XLOOKUP(Q$1,Metadata!$A$2:$A1000,Metadata!$B$2:$B1000))),Q$1,"""")"),"")</f>
        <v/>
      </c>
      <c r="R351" s="34" t="str">
        <f>IFERROR(__xludf.DUMMYFUNCTION("IF(IF(R$1="""","""",REGEXMATCH(LOWER($E351),XLOOKUP(R$1,Metadata!$A$2:$A1000,Metadata!$B$2:$B1000))),R$1,"""")"),"")</f>
        <v/>
      </c>
      <c r="S351" s="34" t="str">
        <f>IFERROR(__xludf.DUMMYFUNCTION("IF(IF(S$1="""","""",REGEXMATCH(LOWER($E351),XLOOKUP(S$1,Metadata!$A$2:$A1000,Metadata!$B$2:$B1000))),S$1,"""")"),"Control")</f>
        <v>Control</v>
      </c>
      <c r="T351" s="34" t="str">
        <f>IFERROR(__xludf.DUMMYFUNCTION("IF(IF(T$1="""","""",REGEXMATCH(LOWER($E351),XLOOKUP(T$1,Metadata!$A$2:$A1000,Metadata!$B$2:$B1000))),T$1,"""")"),"")</f>
        <v/>
      </c>
      <c r="U351" s="34" t="str">
        <f>IFERROR(__xludf.DUMMYFUNCTION("IF(IF(U$1="""","""",REGEXMATCH(LOWER($E351),XLOOKUP(U$1,Metadata!$A$2:$A1000,Metadata!$B$2:$B1000))),U$1,"""")"),"")</f>
        <v/>
      </c>
      <c r="V351" s="34" t="str">
        <f>IFERROR(__xludf.DUMMYFUNCTION("IF(IF(V$1="""","""",REGEXMATCH(LOWER($E351),XLOOKUP(V$1,Metadata!$A$2:$A1000,Metadata!$B$2:$B1000))),V$1,"""")"),"")</f>
        <v/>
      </c>
      <c r="W351" s="34" t="str">
        <f>IFERROR(__xludf.DUMMYFUNCTION("IF(IF(W$1="""","""",REGEXMATCH(LOWER($E351),XLOOKUP(W$1,Metadata!$A$2:$A1000,Metadata!$B$2:$B1000))),W$1,"""")"),"")</f>
        <v/>
      </c>
      <c r="X351" s="34" t="str">
        <f>IFERROR(__xludf.DUMMYFUNCTION("IF(IF(X$1="""","""",REGEXMATCH(LOWER($E351),XLOOKUP(X$1,Metadata!$A$2:$A1000,Metadata!$B$2:$B1000))),X$1,"""")"),"Ambush")</f>
        <v>Ambush</v>
      </c>
      <c r="Y351" s="34" t="str">
        <f>IFERROR(__xludf.DUMMYFUNCTION("IF(IF(Y$1="""","""",REGEXMATCH(LOWER($E351),XLOOKUP(Y$1,Metadata!$A$2:$A1000,Metadata!$B$2:$B1000))),Y$1,"""")"),"")</f>
        <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I352">XLOOKUP($A352,Cards!$A$2:$A1000,Cards!$B$2:$I1000,"")</f>
        <v>Void</v>
      </c>
      <c r="C352" s="34">
        <v>1.0</v>
      </c>
      <c r="D352" s="34" t="s">
        <v>1942</v>
      </c>
      <c r="E352" s="34" t="s">
        <v>1999</v>
      </c>
      <c r="F352" s="34" t="s">
        <v>2000</v>
      </c>
      <c r="G352" s="34">
        <v>2.0</v>
      </c>
      <c r="H352" s="34" t="s">
        <v>1791</v>
      </c>
      <c r="I352" s="34" t="s">
        <v>70</v>
      </c>
      <c r="J352" s="34">
        <f>IFERROR(__xludf.DUMMYFUNCTION("LEN(REGEXREPLACE(XLOOKUP($A352,Cards!$A$2:$A1000,Cards!$H$2:$H1000,""""),"",\s"",""""))"),3.0)</f>
        <v>3</v>
      </c>
      <c r="K352" s="34" t="str">
        <f t="shared" si="1"/>
        <v>     Unearth          </v>
      </c>
      <c r="L352" s="34" t="str">
        <f>IFERROR(__xludf.DUMMYFUNCTION("IF(IF(L$1="""","""",REGEXMATCH(LOWER($E352),XLOOKUP(L$1,Metadata!$A$2:$A1000,Metadata!$B$2:$B1000))),L$1,"""")"),"")</f>
        <v/>
      </c>
      <c r="M352" s="34" t="str">
        <f>IFERROR(__xludf.DUMMYFUNCTION("IF(IF(M$1="""","""",REGEXMATCH(LOWER($E352),XLOOKUP(M$1,Metadata!$A$2:$A1000,Metadata!$B$2:$B1000))),M$1,"""")"),"")</f>
        <v/>
      </c>
      <c r="N352" s="34" t="str">
        <f>IFERROR(__xludf.DUMMYFUNCTION("IF(IF(N$1="""","""",REGEXMATCH(LOWER($E352),XLOOKUP(N$1,Metadata!$A$2:$A1000,Metadata!$B$2:$B1000))),N$1,"""")"),"")</f>
        <v/>
      </c>
      <c r="O352" s="34" t="str">
        <f>IFERROR(__xludf.DUMMYFUNCTION("IF(IF(O$1="""","""",REGEXMATCH(LOWER($E352),XLOOKUP(O$1,Metadata!$A$2:$A1000,Metadata!$B$2:$B1000))),O$1,"""")"),"")</f>
        <v/>
      </c>
      <c r="P352" s="34" t="str">
        <f>IFERROR(__xludf.DUMMYFUNCTION("IF(IF(P$1="""","""",REGEXMATCH(LOWER($E352),XLOOKUP(P$1,Metadata!$A$2:$A1000,Metadata!$B$2:$B1000))),P$1,"""")"),"")</f>
        <v/>
      </c>
      <c r="Q352" s="34" t="str">
        <f>IFERROR(__xludf.DUMMYFUNCTION("IF(IF(Q$1="""","""",REGEXMATCH(LOWER($E352),XLOOKUP(Q$1,Metadata!$A$2:$A1000,Metadata!$B$2:$B1000))),Q$1,"""")"),"Unearth")</f>
        <v>Unearth</v>
      </c>
      <c r="R352" s="34" t="str">
        <f>IFERROR(__xludf.DUMMYFUNCTION("IF(IF(R$1="""","""",REGEXMATCH(LOWER($E352),XLOOKUP(R$1,Metadata!$A$2:$A1000,Metadata!$B$2:$B1000))),R$1,"""")"),"")</f>
        <v/>
      </c>
      <c r="S352" s="34" t="str">
        <f>IFERROR(__xludf.DUMMYFUNCTION("IF(IF(S$1="""","""",REGEXMATCH(LOWER($E352),XLOOKUP(S$1,Metadata!$A$2:$A1000,Metadata!$B$2:$B1000))),S$1,"""")"),"")</f>
        <v/>
      </c>
      <c r="T352" s="34" t="str">
        <f>IFERROR(__xludf.DUMMYFUNCTION("IF(IF(T$1="""","""",REGEXMATCH(LOWER($E352),XLOOKUP(T$1,Metadata!$A$2:$A1000,Metadata!$B$2:$B1000))),T$1,"""")"),"")</f>
        <v/>
      </c>
      <c r="U352" s="34" t="str">
        <f>IFERROR(__xludf.DUMMYFUNCTION("IF(IF(U$1="""","""",REGEXMATCH(LOWER($E352),XLOOKUP(U$1,Metadata!$A$2:$A1000,Metadata!$B$2:$B1000))),U$1,"""")"),"")</f>
        <v/>
      </c>
      <c r="V352" s="34" t="str">
        <f>IFERROR(__xludf.DUMMYFUNCTION("IF(IF(V$1="""","""",REGEXMATCH(LOWER($E352),XLOOKUP(V$1,Metadata!$A$2:$A1000,Metadata!$B$2:$B1000))),V$1,"""")"),"")</f>
        <v/>
      </c>
      <c r="W352" s="34" t="str">
        <f>IFERROR(__xludf.DUMMYFUNCTION("IF(IF(W$1="""","""",REGEXMATCH(LOWER($E352),XLOOKUP(W$1,Metadata!$A$2:$A1000,Metadata!$B$2:$B1000))),W$1,"""")"),"")</f>
        <v/>
      </c>
      <c r="X352" s="34" t="str">
        <f>IFERROR(__xludf.DUMMYFUNCTION("IF(IF(X$1="""","""",REGEXMATCH(LOWER($E352),XLOOKUP(X$1,Metadata!$A$2:$A1000,Metadata!$B$2:$B1000))),X$1,"""")"),"")</f>
        <v/>
      </c>
      <c r="Y352" s="34" t="str">
        <f>IFERROR(__xludf.DUMMYFUNCTION("IF(IF(Y$1="""","""",REGEXMATCH(LOWER($E352),XLOOKUP(Y$1,Metadata!$A$2:$A1000,Metadata!$B$2:$B1000))),Y$1,"""")"),"")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I353">XLOOKUP($A353,Cards!$A$2:$A1000,Cards!$B$2:$I1000,"")</f>
        <v>Void</v>
      </c>
      <c r="C353" s="34">
        <v>1.0</v>
      </c>
      <c r="D353" s="34" t="s">
        <v>1175</v>
      </c>
      <c r="E353" s="34" t="s">
        <v>2002</v>
      </c>
      <c r="F353" s="34" t="s">
        <v>2003</v>
      </c>
      <c r="G353" s="34">
        <v>2.0</v>
      </c>
      <c r="H353" s="34" t="s">
        <v>1795</v>
      </c>
      <c r="I353" s="34" t="s">
        <v>26</v>
      </c>
      <c r="J353" s="34">
        <f>IFERROR(__xludf.DUMMYFUNCTION("LEN(REGEXREPLACE(XLOOKUP($A353,Cards!$A$2:$A1000,Cards!$H$2:$H1000,""""),"",\s"",""""))"),2.0)</f>
        <v>2</v>
      </c>
      <c r="K353" s="34" t="str">
        <f t="shared" si="1"/>
        <v>               </v>
      </c>
      <c r="L353" s="34" t="str">
        <f>IFERROR(__xludf.DUMMYFUNCTION("IF(IF(L$1="""","""",REGEXMATCH(LOWER($E353),XLOOKUP(L$1,Metadata!$A$2:$A1000,Metadata!$B$2:$B1000))),L$1,"""")"),"")</f>
        <v/>
      </c>
      <c r="M353" s="34" t="str">
        <f>IFERROR(__xludf.DUMMYFUNCTION("IF(IF(M$1="""","""",REGEXMATCH(LOWER($E353),XLOOKUP(M$1,Metadata!$A$2:$A1000,Metadata!$B$2:$B1000))),M$1,"""")"),"")</f>
        <v/>
      </c>
      <c r="N353" s="34" t="str">
        <f>IFERROR(__xludf.DUMMYFUNCTION("IF(IF(N$1="""","""",REGEXMATCH(LOWER($E353),XLOOKUP(N$1,Metadata!$A$2:$A1000,Metadata!$B$2:$B1000))),N$1,"""")"),"")</f>
        <v/>
      </c>
      <c r="O353" s="34" t="str">
        <f>IFERROR(__xludf.DUMMYFUNCTION("IF(IF(O$1="""","""",REGEXMATCH(LOWER($E353),XLOOKUP(O$1,Metadata!$A$2:$A1000,Metadata!$B$2:$B1000))),O$1,"""")"),"")</f>
        <v/>
      </c>
      <c r="P353" s="34" t="str">
        <f>IFERROR(__xludf.DUMMYFUNCTION("IF(IF(P$1="""","""",REGEXMATCH(LOWER($E353),XLOOKUP(P$1,Metadata!$A$2:$A1000,Metadata!$B$2:$B1000))),P$1,"""")"),"")</f>
        <v/>
      </c>
      <c r="Q353" s="34" t="str">
        <f>IFERROR(__xludf.DUMMYFUNCTION("IF(IF(Q$1="""","""",REGEXMATCH(LOWER($E353),XLOOKUP(Q$1,Metadata!$A$2:$A1000,Metadata!$B$2:$B1000))),Q$1,"""")"),"")</f>
        <v/>
      </c>
      <c r="R353" s="34" t="str">
        <f>IFERROR(__xludf.DUMMYFUNCTION("IF(IF(R$1="""","""",REGEXMATCH(LOWER($E353),XLOOKUP(R$1,Metadata!$A$2:$A1000,Metadata!$B$2:$B1000))),R$1,"""")"),"")</f>
        <v/>
      </c>
      <c r="S353" s="34" t="str">
        <f>IFERROR(__xludf.DUMMYFUNCTION("IF(IF(S$1="""","""",REGEXMATCH(LOWER($E353),XLOOKUP(S$1,Metadata!$A$2:$A1000,Metadata!$B$2:$B1000))),S$1,"""")"),"")</f>
        <v/>
      </c>
      <c r="T353" s="34" t="str">
        <f>IFERROR(__xludf.DUMMYFUNCTION("IF(IF(T$1="""","""",REGEXMATCH(LOWER($E353),XLOOKUP(T$1,Metadata!$A$2:$A1000,Metadata!$B$2:$B1000))),T$1,"""")"),"")</f>
        <v/>
      </c>
      <c r="U353" s="34" t="str">
        <f>IFERROR(__xludf.DUMMYFUNCTION("IF(IF(U$1="""","""",REGEXMATCH(LOWER($E353),XLOOKUP(U$1,Metadata!$A$2:$A1000,Metadata!$B$2:$B1000))),U$1,"""")"),"")</f>
        <v/>
      </c>
      <c r="V353" s="34" t="str">
        <f>IFERROR(__xludf.DUMMYFUNCTION("IF(IF(V$1="""","""",REGEXMATCH(LOWER($E353),XLOOKUP(V$1,Metadata!$A$2:$A1000,Metadata!$B$2:$B1000))),V$1,"""")"),"")</f>
        <v/>
      </c>
      <c r="W353" s="34" t="str">
        <f>IFERROR(__xludf.DUMMYFUNCTION("IF(IF(W$1="""","""",REGEXMATCH(LOWER($E353),XLOOKUP(W$1,Metadata!$A$2:$A1000,Metadata!$B$2:$B1000))),W$1,"""")"),"")</f>
        <v/>
      </c>
      <c r="X353" s="34" t="str">
        <f>IFERROR(__xludf.DUMMYFUNCTION("IF(IF(X$1="""","""",REGEXMATCH(LOWER($E353),XLOOKUP(X$1,Metadata!$A$2:$A1000,Metadata!$B$2:$B1000))),X$1,"""")"),"")</f>
        <v/>
      </c>
      <c r="Y353" s="34" t="str">
        <f>IFERROR(__xludf.DUMMYFUNCTION("IF(IF(Y$1="""","""",REGEXMATCH(LOWER($E353),XLOOKUP(Y$1,Metadata!$A$2:$A1000,Metadata!$B$2:$B1000))),Y$1,"""")"),"")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I354">XLOOKUP($A354,Cards!$A$2:$A1000,Cards!$B$2:$I1000,"")</f>
        <v>Void</v>
      </c>
      <c r="C354" s="34">
        <v>1.0</v>
      </c>
      <c r="D354" s="34" t="s">
        <v>2005</v>
      </c>
      <c r="E354" s="34" t="s">
        <v>2006</v>
      </c>
      <c r="F354" s="34" t="s">
        <v>2007</v>
      </c>
      <c r="G354" s="34">
        <v>2.0</v>
      </c>
      <c r="H354" s="34" t="s">
        <v>1892</v>
      </c>
      <c r="I354" s="34" t="s">
        <v>70</v>
      </c>
      <c r="J354" s="34">
        <f>IFERROR(__xludf.DUMMYFUNCTION("LEN(REGEXREPLACE(XLOOKUP($A354,Cards!$A$2:$A1000,Cards!$H$2:$H1000,""""),"",\s"",""""))"),4.0)</f>
        <v>4</v>
      </c>
      <c r="K354" s="34" t="str">
        <f t="shared" si="1"/>
        <v>               </v>
      </c>
      <c r="L354" s="34" t="str">
        <f>IFERROR(__xludf.DUMMYFUNCTION("IF(IF(L$1="""","""",REGEXMATCH(LOWER($E354),XLOOKUP(L$1,Metadata!$A$2:$A1000,Metadata!$B$2:$B1000))),L$1,"""")"),"")</f>
        <v/>
      </c>
      <c r="M354" s="34" t="str">
        <f>IFERROR(__xludf.DUMMYFUNCTION("IF(IF(M$1="""","""",REGEXMATCH(LOWER($E354),XLOOKUP(M$1,Metadata!$A$2:$A1000,Metadata!$B$2:$B1000))),M$1,"""")"),"")</f>
        <v/>
      </c>
      <c r="N354" s="34" t="str">
        <f>IFERROR(__xludf.DUMMYFUNCTION("IF(IF(N$1="""","""",REGEXMATCH(LOWER($E354),XLOOKUP(N$1,Metadata!$A$2:$A1000,Metadata!$B$2:$B1000))),N$1,"""")"),"")</f>
        <v/>
      </c>
      <c r="O354" s="34" t="str">
        <f>IFERROR(__xludf.DUMMYFUNCTION("IF(IF(O$1="""","""",REGEXMATCH(LOWER($E354),XLOOKUP(O$1,Metadata!$A$2:$A1000,Metadata!$B$2:$B1000))),O$1,"""")"),"")</f>
        <v/>
      </c>
      <c r="P354" s="34" t="str">
        <f>IFERROR(__xludf.DUMMYFUNCTION("IF(IF(P$1="""","""",REGEXMATCH(LOWER($E354),XLOOKUP(P$1,Metadata!$A$2:$A1000,Metadata!$B$2:$B1000))),P$1,"""")"),"")</f>
        <v/>
      </c>
      <c r="Q354" s="34" t="str">
        <f>IFERROR(__xludf.DUMMYFUNCTION("IF(IF(Q$1="""","""",REGEXMATCH(LOWER($E354),XLOOKUP(Q$1,Metadata!$A$2:$A1000,Metadata!$B$2:$B1000))),Q$1,"""")"),"")</f>
        <v/>
      </c>
      <c r="R354" s="34" t="str">
        <f>IFERROR(__xludf.DUMMYFUNCTION("IF(IF(R$1="""","""",REGEXMATCH(LOWER($E354),XLOOKUP(R$1,Metadata!$A$2:$A1000,Metadata!$B$2:$B1000))),R$1,"""")"),"")</f>
        <v/>
      </c>
      <c r="S354" s="34" t="str">
        <f>IFERROR(__xludf.DUMMYFUNCTION("IF(IF(S$1="""","""",REGEXMATCH(LOWER($E354),XLOOKUP(S$1,Metadata!$A$2:$A1000,Metadata!$B$2:$B1000))),S$1,"""")"),"")</f>
        <v/>
      </c>
      <c r="T354" s="34" t="str">
        <f>IFERROR(__xludf.DUMMYFUNCTION("IF(IF(T$1="""","""",REGEXMATCH(LOWER($E354),XLOOKUP(T$1,Metadata!$A$2:$A1000,Metadata!$B$2:$B1000))),T$1,"""")"),"")</f>
        <v/>
      </c>
      <c r="U354" s="34" t="str">
        <f>IFERROR(__xludf.DUMMYFUNCTION("IF(IF(U$1="""","""",REGEXMATCH(LOWER($E354),XLOOKUP(U$1,Metadata!$A$2:$A1000,Metadata!$B$2:$B1000))),U$1,"""")"),"")</f>
        <v/>
      </c>
      <c r="V354" s="34" t="str">
        <f>IFERROR(__xludf.DUMMYFUNCTION("IF(IF(V$1="""","""",REGEXMATCH(LOWER($E354),XLOOKUP(V$1,Metadata!$A$2:$A1000,Metadata!$B$2:$B1000))),V$1,"""")"),"")</f>
        <v/>
      </c>
      <c r="W354" s="34" t="str">
        <f>IFERROR(__xludf.DUMMYFUNCTION("IF(IF(W$1="""","""",REGEXMATCH(LOWER($E354),XLOOKUP(W$1,Metadata!$A$2:$A1000,Metadata!$B$2:$B1000))),W$1,"""")"),"")</f>
        <v/>
      </c>
      <c r="X354" s="34" t="str">
        <f>IFERROR(__xludf.DUMMYFUNCTION("IF(IF(X$1="""","""",REGEXMATCH(LOWER($E354),XLOOKUP(X$1,Metadata!$A$2:$A1000,Metadata!$B$2:$B1000))),X$1,"""")"),"")</f>
        <v/>
      </c>
      <c r="Y354" s="34" t="str">
        <f>IFERROR(__xludf.DUMMYFUNCTION("IF(IF(Y$1="""","""",REGEXMATCH(LOWER($E354),XLOOKUP(Y$1,Metadata!$A$2:$A1000,Metadata!$B$2:$B1000))),Y$1,"""")"),"")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I355">XLOOKUP($A355,Cards!$A$2:$A1000,Cards!$B$2:$I1000,"")</f>
        <v>Void</v>
      </c>
      <c r="C355" s="34">
        <v>1.0</v>
      </c>
      <c r="D355" s="34" t="s">
        <v>335</v>
      </c>
      <c r="E355" s="34" t="s">
        <v>2009</v>
      </c>
      <c r="F355" s="34" t="s">
        <v>2010</v>
      </c>
      <c r="G355" s="34">
        <v>3.0</v>
      </c>
      <c r="H355" s="34" t="s">
        <v>1892</v>
      </c>
      <c r="I355" s="34" t="s">
        <v>70</v>
      </c>
      <c r="J355" s="34">
        <f>IFERROR(__xludf.DUMMYFUNCTION("LEN(REGEXREPLACE(XLOOKUP($A355,Cards!$A$2:$A1000,Cards!$H$2:$H1000,""""),"",\s"",""""))"),4.0)</f>
        <v>4</v>
      </c>
      <c r="K355" s="34" t="str">
        <f t="shared" si="1"/>
        <v>               </v>
      </c>
      <c r="L355" s="34" t="str">
        <f>IFERROR(__xludf.DUMMYFUNCTION("IF(IF(L$1="""","""",REGEXMATCH(LOWER($E355),XLOOKUP(L$1,Metadata!$A$2:$A1000,Metadata!$B$2:$B1000))),L$1,"""")"),"")</f>
        <v/>
      </c>
      <c r="M355" s="34" t="str">
        <f>IFERROR(__xludf.DUMMYFUNCTION("IF(IF(M$1="""","""",REGEXMATCH(LOWER($E355),XLOOKUP(M$1,Metadata!$A$2:$A1000,Metadata!$B$2:$B1000))),M$1,"""")"),"")</f>
        <v/>
      </c>
      <c r="N355" s="34" t="str">
        <f>IFERROR(__xludf.DUMMYFUNCTION("IF(IF(N$1="""","""",REGEXMATCH(LOWER($E355),XLOOKUP(N$1,Metadata!$A$2:$A1000,Metadata!$B$2:$B1000))),N$1,"""")"),"")</f>
        <v/>
      </c>
      <c r="O355" s="34" t="str">
        <f>IFERROR(__xludf.DUMMYFUNCTION("IF(IF(O$1="""","""",REGEXMATCH(LOWER($E355),XLOOKUP(O$1,Metadata!$A$2:$A1000,Metadata!$B$2:$B1000))),O$1,"""")"),"")</f>
        <v/>
      </c>
      <c r="P355" s="34" t="str">
        <f>IFERROR(__xludf.DUMMYFUNCTION("IF(IF(P$1="""","""",REGEXMATCH(LOWER($E355),XLOOKUP(P$1,Metadata!$A$2:$A1000,Metadata!$B$2:$B1000))),P$1,"""")"),"")</f>
        <v/>
      </c>
      <c r="Q355" s="34" t="str">
        <f>IFERROR(__xludf.DUMMYFUNCTION("IF(IF(Q$1="""","""",REGEXMATCH(LOWER($E355),XLOOKUP(Q$1,Metadata!$A$2:$A1000,Metadata!$B$2:$B1000))),Q$1,"""")"),"")</f>
        <v/>
      </c>
      <c r="R355" s="34" t="str">
        <f>IFERROR(__xludf.DUMMYFUNCTION("IF(IF(R$1="""","""",REGEXMATCH(LOWER($E355),XLOOKUP(R$1,Metadata!$A$2:$A1000,Metadata!$B$2:$B1000))),R$1,"""")"),"")</f>
        <v/>
      </c>
      <c r="S355" s="34" t="str">
        <f>IFERROR(__xludf.DUMMYFUNCTION("IF(IF(S$1="""","""",REGEXMATCH(LOWER($E355),XLOOKUP(S$1,Metadata!$A$2:$A1000,Metadata!$B$2:$B1000))),S$1,"""")"),"")</f>
        <v/>
      </c>
      <c r="T355" s="34" t="str">
        <f>IFERROR(__xludf.DUMMYFUNCTION("IF(IF(T$1="""","""",REGEXMATCH(LOWER($E355),XLOOKUP(T$1,Metadata!$A$2:$A1000,Metadata!$B$2:$B1000))),T$1,"""")"),"")</f>
        <v/>
      </c>
      <c r="U355" s="34" t="str">
        <f>IFERROR(__xludf.DUMMYFUNCTION("IF(IF(U$1="""","""",REGEXMATCH(LOWER($E355),XLOOKUP(U$1,Metadata!$A$2:$A1000,Metadata!$B$2:$B1000))),U$1,"""")"),"")</f>
        <v/>
      </c>
      <c r="V355" s="34" t="str">
        <f>IFERROR(__xludf.DUMMYFUNCTION("IF(IF(V$1="""","""",REGEXMATCH(LOWER($E355),XLOOKUP(V$1,Metadata!$A$2:$A1000,Metadata!$B$2:$B1000))),V$1,"""")"),"")</f>
        <v/>
      </c>
      <c r="W355" s="34" t="str">
        <f>IFERROR(__xludf.DUMMYFUNCTION("IF(IF(W$1="""","""",REGEXMATCH(LOWER($E355),XLOOKUP(W$1,Metadata!$A$2:$A1000,Metadata!$B$2:$B1000))),W$1,"""")"),"")</f>
        <v/>
      </c>
      <c r="X355" s="34" t="str">
        <f>IFERROR(__xludf.DUMMYFUNCTION("IF(IF(X$1="""","""",REGEXMATCH(LOWER($E355),XLOOKUP(X$1,Metadata!$A$2:$A1000,Metadata!$B$2:$B1000))),X$1,"""")"),"")</f>
        <v/>
      </c>
      <c r="Y355" s="34" t="str">
        <f>IFERROR(__xludf.DUMMYFUNCTION("IF(IF(Y$1="""","""",REGEXMATCH(LOWER($E355),XLOOKUP(Y$1,Metadata!$A$2:$A1000,Metadata!$B$2:$B1000))),Y$1,"""")"),"")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I356">XLOOKUP($A356,Cards!$A$2:$A1000,Cards!$B$2:$I1000,"")</f>
        <v>Void</v>
      </c>
      <c r="C356" s="34">
        <v>1.0</v>
      </c>
      <c r="D356" s="34" t="s">
        <v>1175</v>
      </c>
      <c r="E356" s="34" t="s">
        <v>2012</v>
      </c>
      <c r="F356" s="34" t="s">
        <v>2013</v>
      </c>
      <c r="G356" s="34">
        <v>3.0</v>
      </c>
      <c r="H356" s="34" t="s">
        <v>1791</v>
      </c>
      <c r="I356" s="34" t="s">
        <v>26</v>
      </c>
      <c r="J356" s="34">
        <f>IFERROR(__xludf.DUMMYFUNCTION("LEN(REGEXREPLACE(XLOOKUP($A356,Cards!$A$2:$A1000,Cards!$H$2:$H1000,""""),"",\s"",""""))"),3.0)</f>
        <v>3</v>
      </c>
      <c r="K356" s="34" t="str">
        <f t="shared" si="1"/>
        <v>            Ambush   </v>
      </c>
      <c r="L356" s="34" t="str">
        <f>IFERROR(__xludf.DUMMYFUNCTION("IF(IF(L$1="""","""",REGEXMATCH(LOWER($E356),XLOOKUP(L$1,Metadata!$A$2:$A1000,Metadata!$B$2:$B1000))),L$1,"""")"),"")</f>
        <v/>
      </c>
      <c r="M356" s="34" t="str">
        <f>IFERROR(__xludf.DUMMYFUNCTION("IF(IF(M$1="""","""",REGEXMATCH(LOWER($E356),XLOOKUP(M$1,Metadata!$A$2:$A1000,Metadata!$B$2:$B1000))),M$1,"""")"),"")</f>
        <v/>
      </c>
      <c r="N356" s="34" t="str">
        <f>IFERROR(__xludf.DUMMYFUNCTION("IF(IF(N$1="""","""",REGEXMATCH(LOWER($E356),XLOOKUP(N$1,Metadata!$A$2:$A1000,Metadata!$B$2:$B1000))),N$1,"""")"),"")</f>
        <v/>
      </c>
      <c r="O356" s="34" t="str">
        <f>IFERROR(__xludf.DUMMYFUNCTION("IF(IF(O$1="""","""",REGEXMATCH(LOWER($E356),XLOOKUP(O$1,Metadata!$A$2:$A1000,Metadata!$B$2:$B1000))),O$1,"""")"),"")</f>
        <v/>
      </c>
      <c r="P356" s="34" t="str">
        <f>IFERROR(__xludf.DUMMYFUNCTION("IF(IF(P$1="""","""",REGEXMATCH(LOWER($E356),XLOOKUP(P$1,Metadata!$A$2:$A1000,Metadata!$B$2:$B1000))),P$1,"""")"),"")</f>
        <v/>
      </c>
      <c r="Q356" s="34" t="str">
        <f>IFERROR(__xludf.DUMMYFUNCTION("IF(IF(Q$1="""","""",REGEXMATCH(LOWER($E356),XLOOKUP(Q$1,Metadata!$A$2:$A1000,Metadata!$B$2:$B1000))),Q$1,"""")"),"")</f>
        <v/>
      </c>
      <c r="R356" s="34" t="str">
        <f>IFERROR(__xludf.DUMMYFUNCTION("IF(IF(R$1="""","""",REGEXMATCH(LOWER($E356),XLOOKUP(R$1,Metadata!$A$2:$A1000,Metadata!$B$2:$B1000))),R$1,"""")"),"")</f>
        <v/>
      </c>
      <c r="S356" s="34" t="str">
        <f>IFERROR(__xludf.DUMMYFUNCTION("IF(IF(S$1="""","""",REGEXMATCH(LOWER($E356),XLOOKUP(S$1,Metadata!$A$2:$A1000,Metadata!$B$2:$B1000))),S$1,"""")"),"")</f>
        <v/>
      </c>
      <c r="T356" s="34" t="str">
        <f>IFERROR(__xludf.DUMMYFUNCTION("IF(IF(T$1="""","""",REGEXMATCH(LOWER($E356),XLOOKUP(T$1,Metadata!$A$2:$A1000,Metadata!$B$2:$B1000))),T$1,"""")"),"")</f>
        <v/>
      </c>
      <c r="U356" s="34" t="str">
        <f>IFERROR(__xludf.DUMMYFUNCTION("IF(IF(U$1="""","""",REGEXMATCH(LOWER($E356),XLOOKUP(U$1,Metadata!$A$2:$A1000,Metadata!$B$2:$B1000))),U$1,"""")"),"")</f>
        <v/>
      </c>
      <c r="V356" s="34" t="str">
        <f>IFERROR(__xludf.DUMMYFUNCTION("IF(IF(V$1="""","""",REGEXMATCH(LOWER($E356),XLOOKUP(V$1,Metadata!$A$2:$A1000,Metadata!$B$2:$B1000))),V$1,"""")"),"")</f>
        <v/>
      </c>
      <c r="W356" s="34" t="str">
        <f>IFERROR(__xludf.DUMMYFUNCTION("IF(IF(W$1="""","""",REGEXMATCH(LOWER($E356),XLOOKUP(W$1,Metadata!$A$2:$A1000,Metadata!$B$2:$B1000))),W$1,"""")"),"")</f>
        <v/>
      </c>
      <c r="X356" s="34" t="str">
        <f>IFERROR(__xludf.DUMMYFUNCTION("IF(IF(X$1="""","""",REGEXMATCH(LOWER($E356),XLOOKUP(X$1,Metadata!$A$2:$A1000,Metadata!$B$2:$B1000))),X$1,"""")"),"Ambush")</f>
        <v>Ambush</v>
      </c>
      <c r="Y356" s="34" t="str">
        <f>IFERROR(__xludf.DUMMYFUNCTION("IF(IF(Y$1="""","""",REGEXMATCH(LOWER($E356),XLOOKUP(Y$1,Metadata!$A$2:$A1000,Metadata!$B$2:$B1000))),Y$1,"""")"),"")</f>
        <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I357">XLOOKUP($A357,Cards!$A$2:$A1000,Cards!$B$2:$I1000,"")</f>
        <v>Void</v>
      </c>
      <c r="C357" s="34">
        <v>1.0</v>
      </c>
      <c r="D357" s="34" t="s">
        <v>1175</v>
      </c>
      <c r="E357" s="34" t="s">
        <v>2015</v>
      </c>
      <c r="F357" s="34" t="s">
        <v>2016</v>
      </c>
      <c r="G357" s="34">
        <v>3.0</v>
      </c>
      <c r="H357" s="34" t="s">
        <v>1791</v>
      </c>
      <c r="I357" s="34" t="s">
        <v>26</v>
      </c>
      <c r="J357" s="34">
        <f>IFERROR(__xludf.DUMMYFUNCTION("LEN(REGEXREPLACE(XLOOKUP($A357,Cards!$A$2:$A1000,Cards!$H$2:$H1000,""""),"",\s"",""""))"),3.0)</f>
        <v>3</v>
      </c>
      <c r="K357" s="34" t="str">
        <f t="shared" si="1"/>
        <v>    Void           </v>
      </c>
      <c r="L357" s="34" t="str">
        <f>IFERROR(__xludf.DUMMYFUNCTION("IF(IF(L$1="""","""",REGEXMATCH(LOWER($E357),XLOOKUP(L$1,Metadata!$A$2:$A1000,Metadata!$B$2:$B1000))),L$1,"""")"),"")</f>
        <v/>
      </c>
      <c r="M357" s="34" t="str">
        <f>IFERROR(__xludf.DUMMYFUNCTION("IF(IF(M$1="""","""",REGEXMATCH(LOWER($E357),XLOOKUP(M$1,Metadata!$A$2:$A1000,Metadata!$B$2:$B1000))),M$1,"""")"),"")</f>
        <v/>
      </c>
      <c r="N357" s="34" t="str">
        <f>IFERROR(__xludf.DUMMYFUNCTION("IF(IF(N$1="""","""",REGEXMATCH(LOWER($E357),XLOOKUP(N$1,Metadata!$A$2:$A1000,Metadata!$B$2:$B1000))),N$1,"""")"),"")</f>
        <v/>
      </c>
      <c r="O357" s="34" t="str">
        <f>IFERROR(__xludf.DUMMYFUNCTION("IF(IF(O$1="""","""",REGEXMATCH(LOWER($E357),XLOOKUP(O$1,Metadata!$A$2:$A1000,Metadata!$B$2:$B1000))),O$1,"""")"),"")</f>
        <v/>
      </c>
      <c r="P357" s="34" t="str">
        <f>IFERROR(__xludf.DUMMYFUNCTION("IF(IF(P$1="""","""",REGEXMATCH(LOWER($E357),XLOOKUP(P$1,Metadata!$A$2:$A1000,Metadata!$B$2:$B1000))),P$1,"""")"),"Void")</f>
        <v>Void</v>
      </c>
      <c r="Q357" s="34" t="str">
        <f>IFERROR(__xludf.DUMMYFUNCTION("IF(IF(Q$1="""","""",REGEXMATCH(LOWER($E357),XLOOKUP(Q$1,Metadata!$A$2:$A1000,Metadata!$B$2:$B1000))),Q$1,"""")"),"")</f>
        <v/>
      </c>
      <c r="R357" s="34" t="str">
        <f>IFERROR(__xludf.DUMMYFUNCTION("IF(IF(R$1="""","""",REGEXMATCH(LOWER($E357),XLOOKUP(R$1,Metadata!$A$2:$A1000,Metadata!$B$2:$B1000))),R$1,"""")"),"")</f>
        <v/>
      </c>
      <c r="S357" s="34" t="str">
        <f>IFERROR(__xludf.DUMMYFUNCTION("IF(IF(S$1="""","""",REGEXMATCH(LOWER($E357),XLOOKUP(S$1,Metadata!$A$2:$A1000,Metadata!$B$2:$B1000))),S$1,"""")"),"")</f>
        <v/>
      </c>
      <c r="T357" s="34" t="str">
        <f>IFERROR(__xludf.DUMMYFUNCTION("IF(IF(T$1="""","""",REGEXMATCH(LOWER($E357),XLOOKUP(T$1,Metadata!$A$2:$A1000,Metadata!$B$2:$B1000))),T$1,"""")"),"")</f>
        <v/>
      </c>
      <c r="U357" s="34" t="str">
        <f>IFERROR(__xludf.DUMMYFUNCTION("IF(IF(U$1="""","""",REGEXMATCH(LOWER($E357),XLOOKUP(U$1,Metadata!$A$2:$A1000,Metadata!$B$2:$B1000))),U$1,"""")"),"")</f>
        <v/>
      </c>
      <c r="V357" s="34" t="str">
        <f>IFERROR(__xludf.DUMMYFUNCTION("IF(IF(V$1="""","""",REGEXMATCH(LOWER($E357),XLOOKUP(V$1,Metadata!$A$2:$A1000,Metadata!$B$2:$B1000))),V$1,"""")"),"")</f>
        <v/>
      </c>
      <c r="W357" s="34" t="str">
        <f>IFERROR(__xludf.DUMMYFUNCTION("IF(IF(W$1="""","""",REGEXMATCH(LOWER($E357),XLOOKUP(W$1,Metadata!$A$2:$A1000,Metadata!$B$2:$B1000))),W$1,"""")"),"")</f>
        <v/>
      </c>
      <c r="X357" s="34" t="str">
        <f>IFERROR(__xludf.DUMMYFUNCTION("IF(IF(X$1="""","""",REGEXMATCH(LOWER($E357),XLOOKUP(X$1,Metadata!$A$2:$A1000,Metadata!$B$2:$B1000))),X$1,"""")"),"")</f>
        <v/>
      </c>
      <c r="Y357" s="34" t="str">
        <f>IFERROR(__xludf.DUMMYFUNCTION("IF(IF(Y$1="""","""",REGEXMATCH(LOWER($E357),XLOOKUP(Y$1,Metadata!$A$2:$A1000,Metadata!$B$2:$B1000))),Y$1,"""")"),"")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I358">XLOOKUP($A358,Cards!$A$2:$A1000,Cards!$B$2:$I1000,"")</f>
        <v>Void</v>
      </c>
      <c r="C358" s="34">
        <v>1.0</v>
      </c>
      <c r="D358" s="34" t="s">
        <v>1788</v>
      </c>
      <c r="E358" s="34" t="s">
        <v>2018</v>
      </c>
      <c r="F358" s="34" t="s">
        <v>2019</v>
      </c>
      <c r="G358" s="34">
        <v>2.0</v>
      </c>
      <c r="H358" s="34" t="s">
        <v>1795</v>
      </c>
      <c r="I358" s="34" t="s">
        <v>26</v>
      </c>
      <c r="J358" s="34">
        <f>IFERROR(__xludf.DUMMYFUNCTION("LEN(REGEXREPLACE(XLOOKUP($A358,Cards!$A$2:$A1000,Cards!$H$2:$H1000,""""),"",\s"",""""))"),2.0)</f>
        <v>2</v>
      </c>
      <c r="K358" s="34" t="str">
        <f t="shared" si="1"/>
        <v>    Void           </v>
      </c>
      <c r="L358" s="34" t="str">
        <f>IFERROR(__xludf.DUMMYFUNCTION("IF(IF(L$1="""","""",REGEXMATCH(LOWER($E358),XLOOKUP(L$1,Metadata!$A$2:$A1000,Metadata!$B$2:$B1000))),L$1,"""")"),"")</f>
        <v/>
      </c>
      <c r="M358" s="34" t="str">
        <f>IFERROR(__xludf.DUMMYFUNCTION("IF(IF(M$1="""","""",REGEXMATCH(LOWER($E358),XLOOKUP(M$1,Metadata!$A$2:$A1000,Metadata!$B$2:$B1000))),M$1,"""")"),"")</f>
        <v/>
      </c>
      <c r="N358" s="34" t="str">
        <f>IFERROR(__xludf.DUMMYFUNCTION("IF(IF(N$1="""","""",REGEXMATCH(LOWER($E358),XLOOKUP(N$1,Metadata!$A$2:$A1000,Metadata!$B$2:$B1000))),N$1,"""")"),"")</f>
        <v/>
      </c>
      <c r="O358" s="34" t="str">
        <f>IFERROR(__xludf.DUMMYFUNCTION("IF(IF(O$1="""","""",REGEXMATCH(LOWER($E358),XLOOKUP(O$1,Metadata!$A$2:$A1000,Metadata!$B$2:$B1000))),O$1,"""")"),"")</f>
        <v/>
      </c>
      <c r="P358" s="34" t="str">
        <f>IFERROR(__xludf.DUMMYFUNCTION("IF(IF(P$1="""","""",REGEXMATCH(LOWER($E358),XLOOKUP(P$1,Metadata!$A$2:$A1000,Metadata!$B$2:$B1000))),P$1,"""")"),"Void")</f>
        <v>Void</v>
      </c>
      <c r="Q358" s="34" t="str">
        <f>IFERROR(__xludf.DUMMYFUNCTION("IF(IF(Q$1="""","""",REGEXMATCH(LOWER($E358),XLOOKUP(Q$1,Metadata!$A$2:$A1000,Metadata!$B$2:$B1000))),Q$1,"""")"),"")</f>
        <v/>
      </c>
      <c r="R358" s="34" t="str">
        <f>IFERROR(__xludf.DUMMYFUNCTION("IF(IF(R$1="""","""",REGEXMATCH(LOWER($E358),XLOOKUP(R$1,Metadata!$A$2:$A1000,Metadata!$B$2:$B1000))),R$1,"""")"),"")</f>
        <v/>
      </c>
      <c r="S358" s="34" t="str">
        <f>IFERROR(__xludf.DUMMYFUNCTION("IF(IF(S$1="""","""",REGEXMATCH(LOWER($E358),XLOOKUP(S$1,Metadata!$A$2:$A1000,Metadata!$B$2:$B1000))),S$1,"""")"),"")</f>
        <v/>
      </c>
      <c r="T358" s="34" t="str">
        <f>IFERROR(__xludf.DUMMYFUNCTION("IF(IF(T$1="""","""",REGEXMATCH(LOWER($E358),XLOOKUP(T$1,Metadata!$A$2:$A1000,Metadata!$B$2:$B1000))),T$1,"""")"),"")</f>
        <v/>
      </c>
      <c r="U358" s="34" t="str">
        <f>IFERROR(__xludf.DUMMYFUNCTION("IF(IF(U$1="""","""",REGEXMATCH(LOWER($E358),XLOOKUP(U$1,Metadata!$A$2:$A1000,Metadata!$B$2:$B1000))),U$1,"""")"),"")</f>
        <v/>
      </c>
      <c r="V358" s="34" t="str">
        <f>IFERROR(__xludf.DUMMYFUNCTION("IF(IF(V$1="""","""",REGEXMATCH(LOWER($E358),XLOOKUP(V$1,Metadata!$A$2:$A1000,Metadata!$B$2:$B1000))),V$1,"""")"),"")</f>
        <v/>
      </c>
      <c r="W358" s="34" t="str">
        <f>IFERROR(__xludf.DUMMYFUNCTION("IF(IF(W$1="""","""",REGEXMATCH(LOWER($E358),XLOOKUP(W$1,Metadata!$A$2:$A1000,Metadata!$B$2:$B1000))),W$1,"""")"),"")</f>
        <v/>
      </c>
      <c r="X358" s="34" t="str">
        <f>IFERROR(__xludf.DUMMYFUNCTION("IF(IF(X$1="""","""",REGEXMATCH(LOWER($E358),XLOOKUP(X$1,Metadata!$A$2:$A1000,Metadata!$B$2:$B1000))),X$1,"""")"),"")</f>
        <v/>
      </c>
      <c r="Y358" s="34" t="str">
        <f>IFERROR(__xludf.DUMMYFUNCTION("IF(IF(Y$1="""","""",REGEXMATCH(LOWER($E358),XLOOKUP(Y$1,Metadata!$A$2:$A1000,Metadata!$B$2:$B1000))),Y$1,"""")"),"")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I359">XLOOKUP($A359,Cards!$A$2:$A1000,Cards!$B$2:$I1000,"")</f>
        <v>Void</v>
      </c>
      <c r="C359" s="34">
        <v>1.0</v>
      </c>
      <c r="D359" s="34" t="s">
        <v>1743</v>
      </c>
      <c r="E359" s="34" t="s">
        <v>2021</v>
      </c>
      <c r="F359" s="34" t="s">
        <v>2022</v>
      </c>
      <c r="G359" s="34">
        <v>4.0</v>
      </c>
      <c r="H359" s="34" t="s">
        <v>1892</v>
      </c>
      <c r="I359" s="34" t="s">
        <v>26</v>
      </c>
      <c r="J359" s="34">
        <f>IFERROR(__xludf.DUMMYFUNCTION("LEN(REGEXREPLACE(XLOOKUP($A359,Cards!$A$2:$A1000,Cards!$H$2:$H1000,""""),"",\s"",""""))"),4.0)</f>
        <v>4</v>
      </c>
      <c r="K359" s="34" t="str">
        <f t="shared" si="1"/>
        <v>               </v>
      </c>
      <c r="L359" s="34" t="str">
        <f>IFERROR(__xludf.DUMMYFUNCTION("IF(IF(L$1="""","""",REGEXMATCH(LOWER($E359),XLOOKUP(L$1,Metadata!$A$2:$A1000,Metadata!$B$2:$B1000))),L$1,"""")"),"")</f>
        <v/>
      </c>
      <c r="M359" s="34" t="str">
        <f>IFERROR(__xludf.DUMMYFUNCTION("IF(IF(M$1="""","""",REGEXMATCH(LOWER($E359),XLOOKUP(M$1,Metadata!$A$2:$A1000,Metadata!$B$2:$B1000))),M$1,"""")"),"")</f>
        <v/>
      </c>
      <c r="N359" s="34" t="str">
        <f>IFERROR(__xludf.DUMMYFUNCTION("IF(IF(N$1="""","""",REGEXMATCH(LOWER($E359),XLOOKUP(N$1,Metadata!$A$2:$A1000,Metadata!$B$2:$B1000))),N$1,"""")"),"")</f>
        <v/>
      </c>
      <c r="O359" s="34" t="str">
        <f>IFERROR(__xludf.DUMMYFUNCTION("IF(IF(O$1="""","""",REGEXMATCH(LOWER($E359),XLOOKUP(O$1,Metadata!$A$2:$A1000,Metadata!$B$2:$B1000))),O$1,"""")"),"")</f>
        <v/>
      </c>
      <c r="P359" s="34" t="str">
        <f>IFERROR(__xludf.DUMMYFUNCTION("IF(IF(P$1="""","""",REGEXMATCH(LOWER($E359),XLOOKUP(P$1,Metadata!$A$2:$A1000,Metadata!$B$2:$B1000))),P$1,"""")"),"")</f>
        <v/>
      </c>
      <c r="Q359" s="34" t="str">
        <f>IFERROR(__xludf.DUMMYFUNCTION("IF(IF(Q$1="""","""",REGEXMATCH(LOWER($E359),XLOOKUP(Q$1,Metadata!$A$2:$A1000,Metadata!$B$2:$B1000))),Q$1,"""")"),"")</f>
        <v/>
      </c>
      <c r="R359" s="34" t="str">
        <f>IFERROR(__xludf.DUMMYFUNCTION("IF(IF(R$1="""","""",REGEXMATCH(LOWER($E359),XLOOKUP(R$1,Metadata!$A$2:$A1000,Metadata!$B$2:$B1000))),R$1,"""")"),"")</f>
        <v/>
      </c>
      <c r="S359" s="34" t="str">
        <f>IFERROR(__xludf.DUMMYFUNCTION("IF(IF(S$1="""","""",REGEXMATCH(LOWER($E359),XLOOKUP(S$1,Metadata!$A$2:$A1000,Metadata!$B$2:$B1000))),S$1,"""")"),"")</f>
        <v/>
      </c>
      <c r="T359" s="34" t="str">
        <f>IFERROR(__xludf.DUMMYFUNCTION("IF(IF(T$1="""","""",REGEXMATCH(LOWER($E359),XLOOKUP(T$1,Metadata!$A$2:$A1000,Metadata!$B$2:$B1000))),T$1,"""")"),"")</f>
        <v/>
      </c>
      <c r="U359" s="34" t="str">
        <f>IFERROR(__xludf.DUMMYFUNCTION("IF(IF(U$1="""","""",REGEXMATCH(LOWER($E359),XLOOKUP(U$1,Metadata!$A$2:$A1000,Metadata!$B$2:$B1000))),U$1,"""")"),"")</f>
        <v/>
      </c>
      <c r="V359" s="34" t="str">
        <f>IFERROR(__xludf.DUMMYFUNCTION("IF(IF(V$1="""","""",REGEXMATCH(LOWER($E359),XLOOKUP(V$1,Metadata!$A$2:$A1000,Metadata!$B$2:$B1000))),V$1,"""")"),"")</f>
        <v/>
      </c>
      <c r="W359" s="34" t="str">
        <f>IFERROR(__xludf.DUMMYFUNCTION("IF(IF(W$1="""","""",REGEXMATCH(LOWER($E359),XLOOKUP(W$1,Metadata!$A$2:$A1000,Metadata!$B$2:$B1000))),W$1,"""")"),"")</f>
        <v/>
      </c>
      <c r="X359" s="34" t="str">
        <f>IFERROR(__xludf.DUMMYFUNCTION("IF(IF(X$1="""","""",REGEXMATCH(LOWER($E359),XLOOKUP(X$1,Metadata!$A$2:$A1000,Metadata!$B$2:$B1000))),X$1,"""")"),"")</f>
        <v/>
      </c>
      <c r="Y359" s="34" t="str">
        <f>IFERROR(__xludf.DUMMYFUNCTION("IF(IF(Y$1="""","""",REGEXMATCH(LOWER($E359),XLOOKUP(Y$1,Metadata!$A$2:$A1000,Metadata!$B$2:$B1000))),Y$1,"""")"),"")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I360">XLOOKUP($A360,Cards!$A$2:$A1000,Cards!$B$2:$I1000,"")</f>
        <v>Void</v>
      </c>
      <c r="C360" s="34">
        <v>1.0</v>
      </c>
      <c r="D360" s="34" t="s">
        <v>181</v>
      </c>
      <c r="E360" s="34" t="s">
        <v>2024</v>
      </c>
      <c r="F360" s="34" t="s">
        <v>2025</v>
      </c>
      <c r="G360" s="34">
        <v>0.0</v>
      </c>
      <c r="H360" s="34" t="s">
        <v>1791</v>
      </c>
      <c r="I360" s="34" t="s">
        <v>26</v>
      </c>
      <c r="J360" s="34">
        <f>IFERROR(__xludf.DUMMYFUNCTION("LEN(REGEXREPLACE(XLOOKUP($A360,Cards!$A$2:$A1000,Cards!$H$2:$H1000,""""),"",\s"",""""))"),3.0)</f>
        <v>3</v>
      </c>
      <c r="K360" s="34" t="str">
        <f t="shared" si="1"/>
        <v>               </v>
      </c>
      <c r="L360" s="34" t="str">
        <f>IFERROR(__xludf.DUMMYFUNCTION("IF(IF(L$1="""","""",REGEXMATCH(LOWER($E360),XLOOKUP(L$1,Metadata!$A$2:$A1000,Metadata!$B$2:$B1000))),L$1,"""")"),"")</f>
        <v/>
      </c>
      <c r="M360" s="34" t="str">
        <f>IFERROR(__xludf.DUMMYFUNCTION("IF(IF(M$1="""","""",REGEXMATCH(LOWER($E360),XLOOKUP(M$1,Metadata!$A$2:$A1000,Metadata!$B$2:$B1000))),M$1,"""")"),"")</f>
        <v/>
      </c>
      <c r="N360" s="34" t="str">
        <f>IFERROR(__xludf.DUMMYFUNCTION("IF(IF(N$1="""","""",REGEXMATCH(LOWER($E360),XLOOKUP(N$1,Metadata!$A$2:$A1000,Metadata!$B$2:$B1000))),N$1,"""")"),"")</f>
        <v/>
      </c>
      <c r="O360" s="34" t="str">
        <f>IFERROR(__xludf.DUMMYFUNCTION("IF(IF(O$1="""","""",REGEXMATCH(LOWER($E360),XLOOKUP(O$1,Metadata!$A$2:$A1000,Metadata!$B$2:$B1000))),O$1,"""")"),"")</f>
        <v/>
      </c>
      <c r="P360" s="34" t="str">
        <f>IFERROR(__xludf.DUMMYFUNCTION("IF(IF(P$1="""","""",REGEXMATCH(LOWER($E360),XLOOKUP(P$1,Metadata!$A$2:$A1000,Metadata!$B$2:$B1000))),P$1,"""")"),"")</f>
        <v/>
      </c>
      <c r="Q360" s="34" t="str">
        <f>IFERROR(__xludf.DUMMYFUNCTION("IF(IF(Q$1="""","""",REGEXMATCH(LOWER($E360),XLOOKUP(Q$1,Metadata!$A$2:$A1000,Metadata!$B$2:$B1000))),Q$1,"""")"),"")</f>
        <v/>
      </c>
      <c r="R360" s="34" t="str">
        <f>IFERROR(__xludf.DUMMYFUNCTION("IF(IF(R$1="""","""",REGEXMATCH(LOWER($E360),XLOOKUP(R$1,Metadata!$A$2:$A1000,Metadata!$B$2:$B1000))),R$1,"""")"),"")</f>
        <v/>
      </c>
      <c r="S360" s="34" t="str">
        <f>IFERROR(__xludf.DUMMYFUNCTION("IF(IF(S$1="""","""",REGEXMATCH(LOWER($E360),XLOOKUP(S$1,Metadata!$A$2:$A1000,Metadata!$B$2:$B1000))),S$1,"""")"),"")</f>
        <v/>
      </c>
      <c r="T360" s="34" t="str">
        <f>IFERROR(__xludf.DUMMYFUNCTION("IF(IF(T$1="""","""",REGEXMATCH(LOWER($E360),XLOOKUP(T$1,Metadata!$A$2:$A1000,Metadata!$B$2:$B1000))),T$1,"""")"),"")</f>
        <v/>
      </c>
      <c r="U360" s="34" t="str">
        <f>IFERROR(__xludf.DUMMYFUNCTION("IF(IF(U$1="""","""",REGEXMATCH(LOWER($E360),XLOOKUP(U$1,Metadata!$A$2:$A1000,Metadata!$B$2:$B1000))),U$1,"""")"),"")</f>
        <v/>
      </c>
      <c r="V360" s="34" t="str">
        <f>IFERROR(__xludf.DUMMYFUNCTION("IF(IF(V$1="""","""",REGEXMATCH(LOWER($E360),XLOOKUP(V$1,Metadata!$A$2:$A1000,Metadata!$B$2:$B1000))),V$1,"""")"),"")</f>
        <v/>
      </c>
      <c r="W360" s="34" t="str">
        <f>IFERROR(__xludf.DUMMYFUNCTION("IF(IF(W$1="""","""",REGEXMATCH(LOWER($E360),XLOOKUP(W$1,Metadata!$A$2:$A1000,Metadata!$B$2:$B1000))),W$1,"""")"),"")</f>
        <v/>
      </c>
      <c r="X360" s="34" t="str">
        <f>IFERROR(__xludf.DUMMYFUNCTION("IF(IF(X$1="""","""",REGEXMATCH(LOWER($E360),XLOOKUP(X$1,Metadata!$A$2:$A1000,Metadata!$B$2:$B1000))),X$1,"""")"),"")</f>
        <v/>
      </c>
      <c r="Y360" s="34" t="str">
        <f>IFERROR(__xludf.DUMMYFUNCTION("IF(IF(Y$1="""","""",REGEXMATCH(LOWER($E360),XLOOKUP(Y$1,Metadata!$A$2:$A1000,Metadata!$B$2:$B1000))),Y$1,"""")"),"")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I361">XLOOKUP($A361,Cards!$A$2:$A1000,Cards!$B$2:$I1000,"")</f>
        <v>Void</v>
      </c>
      <c r="C361" s="34">
        <v>1.0</v>
      </c>
      <c r="D361" s="34" t="s">
        <v>1464</v>
      </c>
      <c r="E361" s="34" t="s">
        <v>2027</v>
      </c>
      <c r="F361" s="34" t="s">
        <v>2028</v>
      </c>
      <c r="G361" s="34">
        <v>4.0</v>
      </c>
      <c r="H361" s="34" t="s">
        <v>1781</v>
      </c>
      <c r="I361" s="34" t="s">
        <v>70</v>
      </c>
      <c r="J361" s="34">
        <f>IFERROR(__xludf.DUMMYFUNCTION("LEN(REGEXREPLACE(XLOOKUP($A361,Cards!$A$2:$A1000,Cards!$H$2:$H1000,""""),"",\s"",""""))"),5.0)</f>
        <v>5</v>
      </c>
      <c r="K361" s="34" t="str">
        <f t="shared" si="1"/>
        <v>               </v>
      </c>
      <c r="L361" s="34" t="str">
        <f>IFERROR(__xludf.DUMMYFUNCTION("IF(IF(L$1="""","""",REGEXMATCH(LOWER($E361),XLOOKUP(L$1,Metadata!$A$2:$A1000,Metadata!$B$2:$B1000))),L$1,"""")"),"")</f>
        <v/>
      </c>
      <c r="M361" s="34" t="str">
        <f>IFERROR(__xludf.DUMMYFUNCTION("IF(IF(M$1="""","""",REGEXMATCH(LOWER($E361),XLOOKUP(M$1,Metadata!$A$2:$A1000,Metadata!$B$2:$B1000))),M$1,"""")"),"")</f>
        <v/>
      </c>
      <c r="N361" s="34" t="str">
        <f>IFERROR(__xludf.DUMMYFUNCTION("IF(IF(N$1="""","""",REGEXMATCH(LOWER($E361),XLOOKUP(N$1,Metadata!$A$2:$A1000,Metadata!$B$2:$B1000))),N$1,"""")"),"")</f>
        <v/>
      </c>
      <c r="O361" s="34" t="str">
        <f>IFERROR(__xludf.DUMMYFUNCTION("IF(IF(O$1="""","""",REGEXMATCH(LOWER($E361),XLOOKUP(O$1,Metadata!$A$2:$A1000,Metadata!$B$2:$B1000))),O$1,"""")"),"")</f>
        <v/>
      </c>
      <c r="P361" s="34" t="str">
        <f>IFERROR(__xludf.DUMMYFUNCTION("IF(IF(P$1="""","""",REGEXMATCH(LOWER($E361),XLOOKUP(P$1,Metadata!$A$2:$A1000,Metadata!$B$2:$B1000))),P$1,"""")"),"")</f>
        <v/>
      </c>
      <c r="Q361" s="34" t="str">
        <f>IFERROR(__xludf.DUMMYFUNCTION("IF(IF(Q$1="""","""",REGEXMATCH(LOWER($E361),XLOOKUP(Q$1,Metadata!$A$2:$A1000,Metadata!$B$2:$B1000))),Q$1,"""")"),"")</f>
        <v/>
      </c>
      <c r="R361" s="34" t="str">
        <f>IFERROR(__xludf.DUMMYFUNCTION("IF(IF(R$1="""","""",REGEXMATCH(LOWER($E361),XLOOKUP(R$1,Metadata!$A$2:$A1000,Metadata!$B$2:$B1000))),R$1,"""")"),"")</f>
        <v/>
      </c>
      <c r="S361" s="34" t="str">
        <f>IFERROR(__xludf.DUMMYFUNCTION("IF(IF(S$1="""","""",REGEXMATCH(LOWER($E361),XLOOKUP(S$1,Metadata!$A$2:$A1000,Metadata!$B$2:$B1000))),S$1,"""")"),"")</f>
        <v/>
      </c>
      <c r="T361" s="34" t="str">
        <f>IFERROR(__xludf.DUMMYFUNCTION("IF(IF(T$1="""","""",REGEXMATCH(LOWER($E361),XLOOKUP(T$1,Metadata!$A$2:$A1000,Metadata!$B$2:$B1000))),T$1,"""")"),"")</f>
        <v/>
      </c>
      <c r="U361" s="34" t="str">
        <f>IFERROR(__xludf.DUMMYFUNCTION("IF(IF(U$1="""","""",REGEXMATCH(LOWER($E361),XLOOKUP(U$1,Metadata!$A$2:$A1000,Metadata!$B$2:$B1000))),U$1,"""")"),"")</f>
        <v/>
      </c>
      <c r="V361" s="34" t="str">
        <f>IFERROR(__xludf.DUMMYFUNCTION("IF(IF(V$1="""","""",REGEXMATCH(LOWER($E361),XLOOKUP(V$1,Metadata!$A$2:$A1000,Metadata!$B$2:$B1000))),V$1,"""")"),"")</f>
        <v/>
      </c>
      <c r="W361" s="34" t="str">
        <f>IFERROR(__xludf.DUMMYFUNCTION("IF(IF(W$1="""","""",REGEXMATCH(LOWER($E361),XLOOKUP(W$1,Metadata!$A$2:$A1000,Metadata!$B$2:$B1000))),W$1,"""")"),"")</f>
        <v/>
      </c>
      <c r="X361" s="34" t="str">
        <f>IFERROR(__xludf.DUMMYFUNCTION("IF(IF(X$1="""","""",REGEXMATCH(LOWER($E361),XLOOKUP(X$1,Metadata!$A$2:$A1000,Metadata!$B$2:$B1000))),X$1,"""")"),"")</f>
        <v/>
      </c>
      <c r="Y361" s="34" t="str">
        <f>IFERROR(__xludf.DUMMYFUNCTION("IF(IF(Y$1="""","""",REGEXMATCH(LOWER($E361),XLOOKUP(Y$1,Metadata!$A$2:$A1000,Metadata!$B$2:$B1000))),Y$1,"""")"),"")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I362">XLOOKUP($A362,Cards!$A$2:$A1000,Cards!$B$2:$I1000,"")</f>
        <v>Divine</v>
      </c>
      <c r="C362" s="34">
        <v>3.0</v>
      </c>
      <c r="D362" s="34" t="s">
        <v>2030</v>
      </c>
      <c r="E362" s="34" t="s">
        <v>2031</v>
      </c>
      <c r="F362" s="34"/>
      <c r="G362" s="34">
        <v>4.0</v>
      </c>
      <c r="H362" s="34" t="s">
        <v>158</v>
      </c>
      <c r="I362" s="34" t="s">
        <v>70</v>
      </c>
      <c r="J362" s="34">
        <f>IFERROR(__xludf.DUMMYFUNCTION("LEN(REGEXREPLACE(XLOOKUP($A362,Cards!$A$2:$A1000,Cards!$H$2:$H1000,""""),"",\s"",""""))"),4.0)</f>
        <v>4</v>
      </c>
      <c r="K362" s="34" t="str">
        <f t="shared" si="1"/>
        <v>               </v>
      </c>
      <c r="L362" s="34" t="str">
        <f>IFERROR(__xludf.DUMMYFUNCTION("IF(IF(L$1="""","""",REGEXMATCH(LOWER($E362),XLOOKUP(L$1,Metadata!$A$2:$A1000,Metadata!$B$2:$B1000))),L$1,"""")"),"")</f>
        <v/>
      </c>
      <c r="M362" s="34" t="str">
        <f>IFERROR(__xludf.DUMMYFUNCTION("IF(IF(M$1="""","""",REGEXMATCH(LOWER($E362),XLOOKUP(M$1,Metadata!$A$2:$A1000,Metadata!$B$2:$B1000))),M$1,"""")"),"")</f>
        <v/>
      </c>
      <c r="N362" s="34" t="str">
        <f>IFERROR(__xludf.DUMMYFUNCTION("IF(IF(N$1="""","""",REGEXMATCH(LOWER($E362),XLOOKUP(N$1,Metadata!$A$2:$A1000,Metadata!$B$2:$B1000))),N$1,"""")"),"")</f>
        <v/>
      </c>
      <c r="O362" s="34" t="str">
        <f>IFERROR(__xludf.DUMMYFUNCTION("IF(IF(O$1="""","""",REGEXMATCH(LOWER($E362),XLOOKUP(O$1,Metadata!$A$2:$A1000,Metadata!$B$2:$B1000))),O$1,"""")"),"")</f>
        <v/>
      </c>
      <c r="P362" s="34" t="str">
        <f>IFERROR(__xludf.DUMMYFUNCTION("IF(IF(P$1="""","""",REGEXMATCH(LOWER($E362),XLOOKUP(P$1,Metadata!$A$2:$A1000,Metadata!$B$2:$B1000))),P$1,"""")"),"")</f>
        <v/>
      </c>
      <c r="Q362" s="34" t="str">
        <f>IFERROR(__xludf.DUMMYFUNCTION("IF(IF(Q$1="""","""",REGEXMATCH(LOWER($E362),XLOOKUP(Q$1,Metadata!$A$2:$A1000,Metadata!$B$2:$B1000))),Q$1,"""")"),"")</f>
        <v/>
      </c>
      <c r="R362" s="34" t="str">
        <f>IFERROR(__xludf.DUMMYFUNCTION("IF(IF(R$1="""","""",REGEXMATCH(LOWER($E362),XLOOKUP(R$1,Metadata!$A$2:$A1000,Metadata!$B$2:$B1000))),R$1,"""")"),"")</f>
        <v/>
      </c>
      <c r="S362" s="34" t="str">
        <f>IFERROR(__xludf.DUMMYFUNCTION("IF(IF(S$1="""","""",REGEXMATCH(LOWER($E362),XLOOKUP(S$1,Metadata!$A$2:$A1000,Metadata!$B$2:$B1000))),S$1,"""")"),"")</f>
        <v/>
      </c>
      <c r="T362" s="34" t="str">
        <f>IFERROR(__xludf.DUMMYFUNCTION("IF(IF(T$1="""","""",REGEXMATCH(LOWER($E362),XLOOKUP(T$1,Metadata!$A$2:$A1000,Metadata!$B$2:$B1000))),T$1,"""")"),"")</f>
        <v/>
      </c>
      <c r="U362" s="34" t="str">
        <f>IFERROR(__xludf.DUMMYFUNCTION("IF(IF(U$1="""","""",REGEXMATCH(LOWER($E362),XLOOKUP(U$1,Metadata!$A$2:$A1000,Metadata!$B$2:$B1000))),U$1,"""")"),"")</f>
        <v/>
      </c>
      <c r="V362" s="34" t="str">
        <f>IFERROR(__xludf.DUMMYFUNCTION("IF(IF(V$1="""","""",REGEXMATCH(LOWER($E362),XLOOKUP(V$1,Metadata!$A$2:$A1000,Metadata!$B$2:$B1000))),V$1,"""")"),"")</f>
        <v/>
      </c>
      <c r="W362" s="34" t="str">
        <f>IFERROR(__xludf.DUMMYFUNCTION("IF(IF(W$1="""","""",REGEXMATCH(LOWER($E362),XLOOKUP(W$1,Metadata!$A$2:$A1000,Metadata!$B$2:$B1000))),W$1,"""")"),"")</f>
        <v/>
      </c>
      <c r="X362" s="34" t="str">
        <f>IFERROR(__xludf.DUMMYFUNCTION("IF(IF(X$1="""","""",REGEXMATCH(LOWER($E362),XLOOKUP(X$1,Metadata!$A$2:$A1000,Metadata!$B$2:$B1000))),X$1,"""")"),"")</f>
        <v/>
      </c>
      <c r="Y362" s="34" t="str">
        <f>IFERROR(__xludf.DUMMYFUNCTION("IF(IF(Y$1="""","""",REGEXMATCH(LOWER($E362),XLOOKUP(Y$1,Metadata!$A$2:$A1000,Metadata!$B$2:$B1000))),Y$1,"""")"),"")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I363">XLOOKUP($A363,Cards!$A$2:$A1000,Cards!$B$2:$I1000,"")</f>
        <v>Void</v>
      </c>
      <c r="C363" s="34">
        <v>3.0</v>
      </c>
      <c r="D363" s="34" t="s">
        <v>2033</v>
      </c>
      <c r="E363" s="34" t="s">
        <v>2034</v>
      </c>
      <c r="F363" s="34"/>
      <c r="G363" s="34">
        <v>3.0</v>
      </c>
      <c r="H363" s="34" t="s">
        <v>2035</v>
      </c>
      <c r="I363" s="34" t="s">
        <v>32</v>
      </c>
      <c r="J363" s="34">
        <f>IFERROR(__xludf.DUMMYFUNCTION("LEN(REGEXREPLACE(XLOOKUP($A363,Cards!$A$2:$A1000,Cards!$H$2:$H1000,""""),"",\s"",""""))"),4.0)</f>
        <v>4</v>
      </c>
      <c r="K363" s="34" t="str">
        <f t="shared" si="1"/>
        <v>       Control     Ambush   </v>
      </c>
      <c r="L363" s="34" t="str">
        <f>IFERROR(__xludf.DUMMYFUNCTION("IF(IF(L$1="""","""",REGEXMATCH(LOWER($E363),XLOOKUP(L$1,Metadata!$A$2:$A1000,Metadata!$B$2:$B1000))),L$1,"""")"),"")</f>
        <v/>
      </c>
      <c r="M363" s="34" t="str">
        <f>IFERROR(__xludf.DUMMYFUNCTION("IF(IF(M$1="""","""",REGEXMATCH(LOWER($E363),XLOOKUP(M$1,Metadata!$A$2:$A1000,Metadata!$B$2:$B1000))),M$1,"""")"),"")</f>
        <v/>
      </c>
      <c r="N363" s="34" t="str">
        <f>IFERROR(__xludf.DUMMYFUNCTION("IF(IF(N$1="""","""",REGEXMATCH(LOWER($E363),XLOOKUP(N$1,Metadata!$A$2:$A1000,Metadata!$B$2:$B1000))),N$1,"""")"),"")</f>
        <v/>
      </c>
      <c r="O363" s="34" t="str">
        <f>IFERROR(__xludf.DUMMYFUNCTION("IF(IF(O$1="""","""",REGEXMATCH(LOWER($E363),XLOOKUP(O$1,Metadata!$A$2:$A1000,Metadata!$B$2:$B1000))),O$1,"""")"),"")</f>
        <v/>
      </c>
      <c r="P363" s="34" t="str">
        <f>IFERROR(__xludf.DUMMYFUNCTION("IF(IF(P$1="""","""",REGEXMATCH(LOWER($E363),XLOOKUP(P$1,Metadata!$A$2:$A1000,Metadata!$B$2:$B1000))),P$1,"""")"),"")</f>
        <v/>
      </c>
      <c r="Q363" s="34" t="str">
        <f>IFERROR(__xludf.DUMMYFUNCTION("IF(IF(Q$1="""","""",REGEXMATCH(LOWER($E363),XLOOKUP(Q$1,Metadata!$A$2:$A1000,Metadata!$B$2:$B1000))),Q$1,"""")"),"")</f>
        <v/>
      </c>
      <c r="R363" s="34" t="str">
        <f>IFERROR(__xludf.DUMMYFUNCTION("IF(IF(R$1="""","""",REGEXMATCH(LOWER($E363),XLOOKUP(R$1,Metadata!$A$2:$A1000,Metadata!$B$2:$B1000))),R$1,"""")"),"")</f>
        <v/>
      </c>
      <c r="S363" s="34" t="str">
        <f>IFERROR(__xludf.DUMMYFUNCTION("IF(IF(S$1="""","""",REGEXMATCH(LOWER($E363),XLOOKUP(S$1,Metadata!$A$2:$A1000,Metadata!$B$2:$B1000))),S$1,"""")"),"Control")</f>
        <v>Control</v>
      </c>
      <c r="T363" s="34" t="str">
        <f>IFERROR(__xludf.DUMMYFUNCTION("IF(IF(T$1="""","""",REGEXMATCH(LOWER($E363),XLOOKUP(T$1,Metadata!$A$2:$A1000,Metadata!$B$2:$B1000))),T$1,"""")"),"")</f>
        <v/>
      </c>
      <c r="U363" s="34" t="str">
        <f>IFERROR(__xludf.DUMMYFUNCTION("IF(IF(U$1="""","""",REGEXMATCH(LOWER($E363),XLOOKUP(U$1,Metadata!$A$2:$A1000,Metadata!$B$2:$B1000))),U$1,"""")"),"")</f>
        <v/>
      </c>
      <c r="V363" s="34" t="str">
        <f>IFERROR(__xludf.DUMMYFUNCTION("IF(IF(V$1="""","""",REGEXMATCH(LOWER($E363),XLOOKUP(V$1,Metadata!$A$2:$A1000,Metadata!$B$2:$B1000))),V$1,"""")"),"")</f>
        <v/>
      </c>
      <c r="W363" s="34" t="str">
        <f>IFERROR(__xludf.DUMMYFUNCTION("IF(IF(W$1="""","""",REGEXMATCH(LOWER($E363),XLOOKUP(W$1,Metadata!$A$2:$A1000,Metadata!$B$2:$B1000))),W$1,"""")"),"")</f>
        <v/>
      </c>
      <c r="X363" s="34" t="str">
        <f>IFERROR(__xludf.DUMMYFUNCTION("IF(IF(X$1="""","""",REGEXMATCH(LOWER($E363),XLOOKUP(X$1,Metadata!$A$2:$A1000,Metadata!$B$2:$B1000))),X$1,"""")"),"Ambush")</f>
        <v>Ambush</v>
      </c>
      <c r="Y363" s="34" t="str">
        <f>IFERROR(__xludf.DUMMYFUNCTION("IF(IF(Y$1="""","""",REGEXMATCH(LOWER($E363),XLOOKUP(Y$1,Metadata!$A$2:$A1000,Metadata!$B$2:$B1000))),Y$1,"""")"),"")</f>
        <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I364">XLOOKUP($A364,Cards!$A$2:$A1000,Cards!$B$2:$I1000,"")</f>
        <v>Mortal</v>
      </c>
      <c r="C364" s="34">
        <v>3.0</v>
      </c>
      <c r="D364" s="34" t="s">
        <v>37</v>
      </c>
      <c r="E364" s="34" t="s">
        <v>2037</v>
      </c>
      <c r="F364" s="34"/>
      <c r="G364" s="34">
        <v>1.0</v>
      </c>
      <c r="H364" s="34" t="s">
        <v>1051</v>
      </c>
      <c r="I364" s="34" t="s">
        <v>26</v>
      </c>
      <c r="J364" s="34">
        <f>IFERROR(__xludf.DUMMYFUNCTION("LEN(REGEXREPLACE(XLOOKUP($A364,Cards!$A$2:$A1000,Cards!$H$2:$H1000,""""),"",\s"",""""))"),2.0)</f>
        <v>2</v>
      </c>
      <c r="K364" s="34" t="str">
        <f t="shared" si="1"/>
        <v>               </v>
      </c>
      <c r="L364" s="34" t="str">
        <f>IFERROR(__xludf.DUMMYFUNCTION("IF(IF(L$1="""","""",REGEXMATCH(LOWER($E364),XLOOKUP(L$1,Metadata!$A$2:$A1000,Metadata!$B$2:$B1000))),L$1,"""")"),"")</f>
        <v/>
      </c>
      <c r="M364" s="34" t="str">
        <f>IFERROR(__xludf.DUMMYFUNCTION("IF(IF(M$1="""","""",REGEXMATCH(LOWER($E364),XLOOKUP(M$1,Metadata!$A$2:$A1000,Metadata!$B$2:$B1000))),M$1,"""")"),"")</f>
        <v/>
      </c>
      <c r="N364" s="34" t="str">
        <f>IFERROR(__xludf.DUMMYFUNCTION("IF(IF(N$1="""","""",REGEXMATCH(LOWER($E364),XLOOKUP(N$1,Metadata!$A$2:$A1000,Metadata!$B$2:$B1000))),N$1,"""")"),"")</f>
        <v/>
      </c>
      <c r="O364" s="34" t="str">
        <f>IFERROR(__xludf.DUMMYFUNCTION("IF(IF(O$1="""","""",REGEXMATCH(LOWER($E364),XLOOKUP(O$1,Metadata!$A$2:$A1000,Metadata!$B$2:$B1000))),O$1,"""")"),"")</f>
        <v/>
      </c>
      <c r="P364" s="34" t="str">
        <f>IFERROR(__xludf.DUMMYFUNCTION("IF(IF(P$1="""","""",REGEXMATCH(LOWER($E364),XLOOKUP(P$1,Metadata!$A$2:$A1000,Metadata!$B$2:$B1000))),P$1,"""")"),"")</f>
        <v/>
      </c>
      <c r="Q364" s="34" t="str">
        <f>IFERROR(__xludf.DUMMYFUNCTION("IF(IF(Q$1="""","""",REGEXMATCH(LOWER($E364),XLOOKUP(Q$1,Metadata!$A$2:$A1000,Metadata!$B$2:$B1000))),Q$1,"""")"),"")</f>
        <v/>
      </c>
      <c r="R364" s="34" t="str">
        <f>IFERROR(__xludf.DUMMYFUNCTION("IF(IF(R$1="""","""",REGEXMATCH(LOWER($E364),XLOOKUP(R$1,Metadata!$A$2:$A1000,Metadata!$B$2:$B1000))),R$1,"""")"),"")</f>
        <v/>
      </c>
      <c r="S364" s="34" t="str">
        <f>IFERROR(__xludf.DUMMYFUNCTION("IF(IF(S$1="""","""",REGEXMATCH(LOWER($E364),XLOOKUP(S$1,Metadata!$A$2:$A1000,Metadata!$B$2:$B1000))),S$1,"""")"),"")</f>
        <v/>
      </c>
      <c r="T364" s="34" t="str">
        <f>IFERROR(__xludf.DUMMYFUNCTION("IF(IF(T$1="""","""",REGEXMATCH(LOWER($E364),XLOOKUP(T$1,Metadata!$A$2:$A1000,Metadata!$B$2:$B1000))),T$1,"""")"),"")</f>
        <v/>
      </c>
      <c r="U364" s="34" t="str">
        <f>IFERROR(__xludf.DUMMYFUNCTION("IF(IF(U$1="""","""",REGEXMATCH(LOWER($E364),XLOOKUP(U$1,Metadata!$A$2:$A1000,Metadata!$B$2:$B1000))),U$1,"""")"),"")</f>
        <v/>
      </c>
      <c r="V364" s="34" t="str">
        <f>IFERROR(__xludf.DUMMYFUNCTION("IF(IF(V$1="""","""",REGEXMATCH(LOWER($E364),XLOOKUP(V$1,Metadata!$A$2:$A1000,Metadata!$B$2:$B1000))),V$1,"""")"),"")</f>
        <v/>
      </c>
      <c r="W364" s="34" t="str">
        <f>IFERROR(__xludf.DUMMYFUNCTION("IF(IF(W$1="""","""",REGEXMATCH(LOWER($E364),XLOOKUP(W$1,Metadata!$A$2:$A1000,Metadata!$B$2:$B1000))),W$1,"""")"),"")</f>
        <v/>
      </c>
      <c r="X364" s="34" t="str">
        <f>IFERROR(__xludf.DUMMYFUNCTION("IF(IF(X$1="""","""",REGEXMATCH(LOWER($E364),XLOOKUP(X$1,Metadata!$A$2:$A1000,Metadata!$B$2:$B1000))),X$1,"""")"),"")</f>
        <v/>
      </c>
      <c r="Y364" s="34" t="str">
        <f>IFERROR(__xludf.DUMMYFUNCTION("IF(IF(Y$1="""","""",REGEXMATCH(LOWER($E364),XLOOKUP(Y$1,Metadata!$A$2:$A1000,Metadata!$B$2:$B1000))),Y$1,"""")"),"")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I365">XLOOKUP($A365,Cards!$A$2:$A1000,Cards!$B$2:$I1000,"")</f>
        <v>Elemental</v>
      </c>
      <c r="C365" s="34">
        <v>3.0</v>
      </c>
      <c r="D365" s="34" t="s">
        <v>631</v>
      </c>
      <c r="E365" s="34" t="s">
        <v>2039</v>
      </c>
      <c r="F365" s="34"/>
      <c r="G365" s="34">
        <v>3.0</v>
      </c>
      <c r="H365" s="34" t="s">
        <v>586</v>
      </c>
      <c r="I365" s="34" t="s">
        <v>26</v>
      </c>
      <c r="J365" s="34">
        <f>IFERROR(__xludf.DUMMYFUNCTION("LEN(REGEXREPLACE(XLOOKUP($A365,Cards!$A$2:$A1000,Cards!$H$2:$H1000,""""),"",\s"",""""))"),2.0)</f>
        <v>2</v>
      </c>
      <c r="K365" s="34" t="str">
        <f t="shared" si="1"/>
        <v>               </v>
      </c>
      <c r="L365" s="34" t="str">
        <f>IFERROR(__xludf.DUMMYFUNCTION("IF(IF(L$1="""","""",REGEXMATCH(LOWER($E365),XLOOKUP(L$1,Metadata!$A$2:$A1000,Metadata!$B$2:$B1000))),L$1,"""")"),"")</f>
        <v/>
      </c>
      <c r="M365" s="34" t="str">
        <f>IFERROR(__xludf.DUMMYFUNCTION("IF(IF(M$1="""","""",REGEXMATCH(LOWER($E365),XLOOKUP(M$1,Metadata!$A$2:$A1000,Metadata!$B$2:$B1000))),M$1,"""")"),"")</f>
        <v/>
      </c>
      <c r="N365" s="34" t="str">
        <f>IFERROR(__xludf.DUMMYFUNCTION("IF(IF(N$1="""","""",REGEXMATCH(LOWER($E365),XLOOKUP(N$1,Metadata!$A$2:$A1000,Metadata!$B$2:$B1000))),N$1,"""")"),"")</f>
        <v/>
      </c>
      <c r="O365" s="34" t="str">
        <f>IFERROR(__xludf.DUMMYFUNCTION("IF(IF(O$1="""","""",REGEXMATCH(LOWER($E365),XLOOKUP(O$1,Metadata!$A$2:$A1000,Metadata!$B$2:$B1000))),O$1,"""")"),"")</f>
        <v/>
      </c>
      <c r="P365" s="34" t="str">
        <f>IFERROR(__xludf.DUMMYFUNCTION("IF(IF(P$1="""","""",REGEXMATCH(LOWER($E365),XLOOKUP(P$1,Metadata!$A$2:$A1000,Metadata!$B$2:$B1000))),P$1,"""")"),"")</f>
        <v/>
      </c>
      <c r="Q365" s="34" t="str">
        <f>IFERROR(__xludf.DUMMYFUNCTION("IF(IF(Q$1="""","""",REGEXMATCH(LOWER($E365),XLOOKUP(Q$1,Metadata!$A$2:$A1000,Metadata!$B$2:$B1000))),Q$1,"""")"),"")</f>
        <v/>
      </c>
      <c r="R365" s="34" t="str">
        <f>IFERROR(__xludf.DUMMYFUNCTION("IF(IF(R$1="""","""",REGEXMATCH(LOWER($E365),XLOOKUP(R$1,Metadata!$A$2:$A1000,Metadata!$B$2:$B1000))),R$1,"""")"),"")</f>
        <v/>
      </c>
      <c r="S365" s="34" t="str">
        <f>IFERROR(__xludf.DUMMYFUNCTION("IF(IF(S$1="""","""",REGEXMATCH(LOWER($E365),XLOOKUP(S$1,Metadata!$A$2:$A1000,Metadata!$B$2:$B1000))),S$1,"""")"),"")</f>
        <v/>
      </c>
      <c r="T365" s="34" t="str">
        <f>IFERROR(__xludf.DUMMYFUNCTION("IF(IF(T$1="""","""",REGEXMATCH(LOWER($E365),XLOOKUP(T$1,Metadata!$A$2:$A1000,Metadata!$B$2:$B1000))),T$1,"""")"),"")</f>
        <v/>
      </c>
      <c r="U365" s="34" t="str">
        <f>IFERROR(__xludf.DUMMYFUNCTION("IF(IF(U$1="""","""",REGEXMATCH(LOWER($E365),XLOOKUP(U$1,Metadata!$A$2:$A1000,Metadata!$B$2:$B1000))),U$1,"""")"),"")</f>
        <v/>
      </c>
      <c r="V365" s="34" t="str">
        <f>IFERROR(__xludf.DUMMYFUNCTION("IF(IF(V$1="""","""",REGEXMATCH(LOWER($E365),XLOOKUP(V$1,Metadata!$A$2:$A1000,Metadata!$B$2:$B1000))),V$1,"""")"),"")</f>
        <v/>
      </c>
      <c r="W365" s="34" t="str">
        <f>IFERROR(__xludf.DUMMYFUNCTION("IF(IF(W$1="""","""",REGEXMATCH(LOWER($E365),XLOOKUP(W$1,Metadata!$A$2:$A1000,Metadata!$B$2:$B1000))),W$1,"""")"),"")</f>
        <v/>
      </c>
      <c r="X365" s="34" t="str">
        <f>IFERROR(__xludf.DUMMYFUNCTION("IF(IF(X$1="""","""",REGEXMATCH(LOWER($E365),XLOOKUP(X$1,Metadata!$A$2:$A1000,Metadata!$B$2:$B1000))),X$1,"""")"),"")</f>
        <v/>
      </c>
      <c r="Y365" s="34" t="str">
        <f>IFERROR(__xludf.DUMMYFUNCTION("IF(IF(Y$1="""","""",REGEXMATCH(LOWER($E365),XLOOKUP(Y$1,Metadata!$A$2:$A1000,Metadata!$B$2:$B1000))),Y$1,"""")"),"")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I366">XLOOKUP($A366,Cards!$A$2:$A1000,Cards!$B$2:$I1000,"")</f>
        <v>Elemental Void</v>
      </c>
      <c r="C366" s="34">
        <v>3.0</v>
      </c>
      <c r="D366" s="34" t="s">
        <v>2041</v>
      </c>
      <c r="E366" s="34" t="s">
        <v>2042</v>
      </c>
      <c r="F366" s="34"/>
      <c r="G366" s="34">
        <v>6.0</v>
      </c>
      <c r="H366" s="34" t="s">
        <v>2043</v>
      </c>
      <c r="I366" s="34" t="s">
        <v>70</v>
      </c>
      <c r="J366" s="34">
        <f>IFERROR(__xludf.DUMMYFUNCTION("LEN(REGEXREPLACE(XLOOKUP($A366,Cards!$A$2:$A1000,Cards!$H$2:$H1000,""""),"",\s"",""""))"),3.0)</f>
        <v>3</v>
      </c>
      <c r="K366" s="34" t="str">
        <f t="shared" si="1"/>
        <v>               </v>
      </c>
      <c r="L366" s="34" t="str">
        <f>IFERROR(__xludf.DUMMYFUNCTION("IF(IF(L$1="""","""",REGEXMATCH(LOWER($E366),XLOOKUP(L$1,Metadata!$A$2:$A1000,Metadata!$B$2:$B1000))),L$1,"""")"),"")</f>
        <v/>
      </c>
      <c r="M366" s="34" t="str">
        <f>IFERROR(__xludf.DUMMYFUNCTION("IF(IF(M$1="""","""",REGEXMATCH(LOWER($E366),XLOOKUP(M$1,Metadata!$A$2:$A1000,Metadata!$B$2:$B1000))),M$1,"""")"),"")</f>
        <v/>
      </c>
      <c r="N366" s="34" t="str">
        <f>IFERROR(__xludf.DUMMYFUNCTION("IF(IF(N$1="""","""",REGEXMATCH(LOWER($E366),XLOOKUP(N$1,Metadata!$A$2:$A1000,Metadata!$B$2:$B1000))),N$1,"""")"),"")</f>
        <v/>
      </c>
      <c r="O366" s="34" t="str">
        <f>IFERROR(__xludf.DUMMYFUNCTION("IF(IF(O$1="""","""",REGEXMATCH(LOWER($E366),XLOOKUP(O$1,Metadata!$A$2:$A1000,Metadata!$B$2:$B1000))),O$1,"""")"),"")</f>
        <v/>
      </c>
      <c r="P366" s="34" t="str">
        <f>IFERROR(__xludf.DUMMYFUNCTION("IF(IF(P$1="""","""",REGEXMATCH(LOWER($E366),XLOOKUP(P$1,Metadata!$A$2:$A1000,Metadata!$B$2:$B1000))),P$1,"""")"),"")</f>
        <v/>
      </c>
      <c r="Q366" s="34" t="str">
        <f>IFERROR(__xludf.DUMMYFUNCTION("IF(IF(Q$1="""","""",REGEXMATCH(LOWER($E366),XLOOKUP(Q$1,Metadata!$A$2:$A1000,Metadata!$B$2:$B1000))),Q$1,"""")"),"")</f>
        <v/>
      </c>
      <c r="R366" s="34" t="str">
        <f>IFERROR(__xludf.DUMMYFUNCTION("IF(IF(R$1="""","""",REGEXMATCH(LOWER($E366),XLOOKUP(R$1,Metadata!$A$2:$A1000,Metadata!$B$2:$B1000))),R$1,"""")"),"")</f>
        <v/>
      </c>
      <c r="S366" s="34" t="str">
        <f>IFERROR(__xludf.DUMMYFUNCTION("IF(IF(S$1="""","""",REGEXMATCH(LOWER($E366),XLOOKUP(S$1,Metadata!$A$2:$A1000,Metadata!$B$2:$B1000))),S$1,"""")"),"")</f>
        <v/>
      </c>
      <c r="T366" s="34" t="str">
        <f>IFERROR(__xludf.DUMMYFUNCTION("IF(IF(T$1="""","""",REGEXMATCH(LOWER($E366),XLOOKUP(T$1,Metadata!$A$2:$A1000,Metadata!$B$2:$B1000))),T$1,"""")"),"")</f>
        <v/>
      </c>
      <c r="U366" s="34" t="str">
        <f>IFERROR(__xludf.DUMMYFUNCTION("IF(IF(U$1="""","""",REGEXMATCH(LOWER($E366),XLOOKUP(U$1,Metadata!$A$2:$A1000,Metadata!$B$2:$B1000))),U$1,"""")"),"")</f>
        <v/>
      </c>
      <c r="V366" s="34" t="str">
        <f>IFERROR(__xludf.DUMMYFUNCTION("IF(IF(V$1="""","""",REGEXMATCH(LOWER($E366),XLOOKUP(V$1,Metadata!$A$2:$A1000,Metadata!$B$2:$B1000))),V$1,"""")"),"")</f>
        <v/>
      </c>
      <c r="W366" s="34" t="str">
        <f>IFERROR(__xludf.DUMMYFUNCTION("IF(IF(W$1="""","""",REGEXMATCH(LOWER($E366),XLOOKUP(W$1,Metadata!$A$2:$A1000,Metadata!$B$2:$B1000))),W$1,"""")"),"")</f>
        <v/>
      </c>
      <c r="X366" s="34" t="str">
        <f>IFERROR(__xludf.DUMMYFUNCTION("IF(IF(X$1="""","""",REGEXMATCH(LOWER($E366),XLOOKUP(X$1,Metadata!$A$2:$A1000,Metadata!$B$2:$B1000))),X$1,"""")"),"")</f>
        <v/>
      </c>
      <c r="Y366" s="34" t="str">
        <f>IFERROR(__xludf.DUMMYFUNCTION("IF(IF(Y$1="""","""",REGEXMATCH(LOWER($E366),XLOOKUP(Y$1,Metadata!$A$2:$A1000,Metadata!$B$2:$B1000))),Y$1,"""")"),"")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I367">XLOOKUP($A367,Cards!$A$2:$A1000,Cards!$B$2:$I1000,"")</f>
        <v>Divine Void</v>
      </c>
      <c r="C367" s="34">
        <v>3.0</v>
      </c>
      <c r="D367" s="34" t="s">
        <v>2045</v>
      </c>
      <c r="E367" s="34" t="s">
        <v>2046</v>
      </c>
      <c r="F367" s="34"/>
      <c r="G367" s="34">
        <v>5.0</v>
      </c>
      <c r="H367" s="34" t="s">
        <v>2047</v>
      </c>
      <c r="I367" s="34" t="s">
        <v>32</v>
      </c>
      <c r="J367" s="34">
        <f>IFERROR(__xludf.DUMMYFUNCTION("LEN(REGEXREPLACE(XLOOKUP($A367,Cards!$A$2:$A1000,Cards!$H$2:$H1000,""""),"",\s"",""""))"),7.0)</f>
        <v>7</v>
      </c>
      <c r="K367" s="34" t="str">
        <f t="shared" si="1"/>
        <v>            Ambush   </v>
      </c>
      <c r="L367" s="34" t="str">
        <f>IFERROR(__xludf.DUMMYFUNCTION("IF(IF(L$1="""","""",REGEXMATCH(LOWER($E367),XLOOKUP(L$1,Metadata!$A$2:$A1000,Metadata!$B$2:$B1000))),L$1,"""")"),"")</f>
        <v/>
      </c>
      <c r="M367" s="34" t="str">
        <f>IFERROR(__xludf.DUMMYFUNCTION("IF(IF(M$1="""","""",REGEXMATCH(LOWER($E367),XLOOKUP(M$1,Metadata!$A$2:$A1000,Metadata!$B$2:$B1000))),M$1,"""")"),"")</f>
        <v/>
      </c>
      <c r="N367" s="34" t="str">
        <f>IFERROR(__xludf.DUMMYFUNCTION("IF(IF(N$1="""","""",REGEXMATCH(LOWER($E367),XLOOKUP(N$1,Metadata!$A$2:$A1000,Metadata!$B$2:$B1000))),N$1,"""")"),"")</f>
        <v/>
      </c>
      <c r="O367" s="34" t="str">
        <f>IFERROR(__xludf.DUMMYFUNCTION("IF(IF(O$1="""","""",REGEXMATCH(LOWER($E367),XLOOKUP(O$1,Metadata!$A$2:$A1000,Metadata!$B$2:$B1000))),O$1,"""")"),"")</f>
        <v/>
      </c>
      <c r="P367" s="34" t="str">
        <f>IFERROR(__xludf.DUMMYFUNCTION("IF(IF(P$1="""","""",REGEXMATCH(LOWER($E367),XLOOKUP(P$1,Metadata!$A$2:$A1000,Metadata!$B$2:$B1000))),P$1,"""")"),"")</f>
        <v/>
      </c>
      <c r="Q367" s="34" t="str">
        <f>IFERROR(__xludf.DUMMYFUNCTION("IF(IF(Q$1="""","""",REGEXMATCH(LOWER($E367),XLOOKUP(Q$1,Metadata!$A$2:$A1000,Metadata!$B$2:$B1000))),Q$1,"""")"),"")</f>
        <v/>
      </c>
      <c r="R367" s="34" t="str">
        <f>IFERROR(__xludf.DUMMYFUNCTION("IF(IF(R$1="""","""",REGEXMATCH(LOWER($E367),XLOOKUP(R$1,Metadata!$A$2:$A1000,Metadata!$B$2:$B1000))),R$1,"""")"),"")</f>
        <v/>
      </c>
      <c r="S367" s="34" t="str">
        <f>IFERROR(__xludf.DUMMYFUNCTION("IF(IF(S$1="""","""",REGEXMATCH(LOWER($E367),XLOOKUP(S$1,Metadata!$A$2:$A1000,Metadata!$B$2:$B1000))),S$1,"""")"),"")</f>
        <v/>
      </c>
      <c r="T367" s="34" t="str">
        <f>IFERROR(__xludf.DUMMYFUNCTION("IF(IF(T$1="""","""",REGEXMATCH(LOWER($E367),XLOOKUP(T$1,Metadata!$A$2:$A1000,Metadata!$B$2:$B1000))),T$1,"""")"),"")</f>
        <v/>
      </c>
      <c r="U367" s="34" t="str">
        <f>IFERROR(__xludf.DUMMYFUNCTION("IF(IF(U$1="""","""",REGEXMATCH(LOWER($E367),XLOOKUP(U$1,Metadata!$A$2:$A1000,Metadata!$B$2:$B1000))),U$1,"""")"),"")</f>
        <v/>
      </c>
      <c r="V367" s="34" t="str">
        <f>IFERROR(__xludf.DUMMYFUNCTION("IF(IF(V$1="""","""",REGEXMATCH(LOWER($E367),XLOOKUP(V$1,Metadata!$A$2:$A1000,Metadata!$B$2:$B1000))),V$1,"""")"),"")</f>
        <v/>
      </c>
      <c r="W367" s="34" t="str">
        <f>IFERROR(__xludf.DUMMYFUNCTION("IF(IF(W$1="""","""",REGEXMATCH(LOWER($E367),XLOOKUP(W$1,Metadata!$A$2:$A1000,Metadata!$B$2:$B1000))),W$1,"""")"),"")</f>
        <v/>
      </c>
      <c r="X367" s="34" t="str">
        <f>IFERROR(__xludf.DUMMYFUNCTION("IF(IF(X$1="""","""",REGEXMATCH(LOWER($E367),XLOOKUP(X$1,Metadata!$A$2:$A1000,Metadata!$B$2:$B1000))),X$1,"""")"),"Ambush")</f>
        <v>Ambush</v>
      </c>
      <c r="Y367" s="34" t="str">
        <f>IFERROR(__xludf.DUMMYFUNCTION("IF(IF(Y$1="""","""",REGEXMATCH(LOWER($E367),XLOOKUP(Y$1,Metadata!$A$2:$A1000,Metadata!$B$2:$B1000))),Y$1,"""")"),"")</f>
        <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I368">XLOOKUP($A368,Cards!$A$2:$A1000,Cards!$B$2:$I1000,"")</f>
        <v>Nature</v>
      </c>
      <c r="C368" s="34">
        <v>3.0</v>
      </c>
      <c r="D368" s="34" t="s">
        <v>2049</v>
      </c>
      <c r="E368" s="34" t="s">
        <v>2050</v>
      </c>
      <c r="F368" s="34"/>
      <c r="G368" s="34">
        <v>5.0</v>
      </c>
      <c r="H368" s="34" t="s">
        <v>1535</v>
      </c>
      <c r="I368" s="34" t="s">
        <v>70</v>
      </c>
      <c r="J368" s="34">
        <f>IFERROR(__xludf.DUMMYFUNCTION("LEN(REGEXREPLACE(XLOOKUP($A368,Cards!$A$2:$A1000,Cards!$H$2:$H1000,""""),"",\s"",""""))"),6.0)</f>
        <v>6</v>
      </c>
      <c r="K368" s="34" t="str">
        <f t="shared" si="1"/>
        <v>      Ramp   Aggro      </v>
      </c>
      <c r="L368" s="34" t="str">
        <f>IFERROR(__xludf.DUMMYFUNCTION("IF(IF(L$1="""","""",REGEXMATCH(LOWER($E368),XLOOKUP(L$1,Metadata!$A$2:$A1000,Metadata!$B$2:$B1000))),L$1,"""")"),"")</f>
        <v/>
      </c>
      <c r="M368" s="34" t="str">
        <f>IFERROR(__xludf.DUMMYFUNCTION("IF(IF(M$1="""","""",REGEXMATCH(LOWER($E368),XLOOKUP(M$1,Metadata!$A$2:$A1000,Metadata!$B$2:$B1000))),M$1,"""")"),"")</f>
        <v/>
      </c>
      <c r="N368" s="34" t="str">
        <f>IFERROR(__xludf.DUMMYFUNCTION("IF(IF(N$1="""","""",REGEXMATCH(LOWER($E368),XLOOKUP(N$1,Metadata!$A$2:$A1000,Metadata!$B$2:$B1000))),N$1,"""")"),"")</f>
        <v/>
      </c>
      <c r="O368" s="34" t="str">
        <f>IFERROR(__xludf.DUMMYFUNCTION("IF(IF(O$1="""","""",REGEXMATCH(LOWER($E368),XLOOKUP(O$1,Metadata!$A$2:$A1000,Metadata!$B$2:$B1000))),O$1,"""")"),"")</f>
        <v/>
      </c>
      <c r="P368" s="34" t="str">
        <f>IFERROR(__xludf.DUMMYFUNCTION("IF(IF(P$1="""","""",REGEXMATCH(LOWER($E368),XLOOKUP(P$1,Metadata!$A$2:$A1000,Metadata!$B$2:$B1000))),P$1,"""")"),"")</f>
        <v/>
      </c>
      <c r="Q368" s="34" t="str">
        <f>IFERROR(__xludf.DUMMYFUNCTION("IF(IF(Q$1="""","""",REGEXMATCH(LOWER($E368),XLOOKUP(Q$1,Metadata!$A$2:$A1000,Metadata!$B$2:$B1000))),Q$1,"""")"),"")</f>
        <v/>
      </c>
      <c r="R368" s="34" t="str">
        <f>IFERROR(__xludf.DUMMYFUNCTION("IF(IF(R$1="""","""",REGEXMATCH(LOWER($E368),XLOOKUP(R$1,Metadata!$A$2:$A1000,Metadata!$B$2:$B1000))),R$1,"""")"),"Ramp")</f>
        <v>Ramp</v>
      </c>
      <c r="S368" s="34" t="str">
        <f>IFERROR(__xludf.DUMMYFUNCTION("IF(IF(S$1="""","""",REGEXMATCH(LOWER($E368),XLOOKUP(S$1,Metadata!$A$2:$A1000,Metadata!$B$2:$B1000))),S$1,"""")"),"")</f>
        <v/>
      </c>
      <c r="T368" s="34" t="str">
        <f>IFERROR(__xludf.DUMMYFUNCTION("IF(IF(T$1="""","""",REGEXMATCH(LOWER($E368),XLOOKUP(T$1,Metadata!$A$2:$A1000,Metadata!$B$2:$B1000))),T$1,"""")"),"")</f>
        <v/>
      </c>
      <c r="U368" s="34" t="str">
        <f>IFERROR(__xludf.DUMMYFUNCTION("IF(IF(U$1="""","""",REGEXMATCH(LOWER($E368),XLOOKUP(U$1,Metadata!$A$2:$A1000,Metadata!$B$2:$B1000))),U$1,"""")"),"Aggro")</f>
        <v>Aggro</v>
      </c>
      <c r="V368" s="34" t="str">
        <f>IFERROR(__xludf.DUMMYFUNCTION("IF(IF(V$1="""","""",REGEXMATCH(LOWER($E368),XLOOKUP(V$1,Metadata!$A$2:$A1000,Metadata!$B$2:$B1000))),V$1,"""")"),"")</f>
        <v/>
      </c>
      <c r="W368" s="34" t="str">
        <f>IFERROR(__xludf.DUMMYFUNCTION("IF(IF(W$1="""","""",REGEXMATCH(LOWER($E368),XLOOKUP(W$1,Metadata!$A$2:$A1000,Metadata!$B$2:$B1000))),W$1,"""")"),"")</f>
        <v/>
      </c>
      <c r="X368" s="34" t="str">
        <f>IFERROR(__xludf.DUMMYFUNCTION("IF(IF(X$1="""","""",REGEXMATCH(LOWER($E368),XLOOKUP(X$1,Metadata!$A$2:$A1000,Metadata!$B$2:$B1000))),X$1,"""")"),"")</f>
        <v/>
      </c>
      <c r="Y368" s="34" t="str">
        <f>IFERROR(__xludf.DUMMYFUNCTION("IF(IF(Y$1="""","""",REGEXMATCH(LOWER($E368),XLOOKUP(Y$1,Metadata!$A$2:$A1000,Metadata!$B$2:$B1000))),Y$1,"""")"),"")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I369">XLOOKUP($A369,Cards!$A$2:$A1000,Cards!$B$2:$I1000,"")</f>
        <v>Divine</v>
      </c>
      <c r="C369" s="34">
        <v>3.0</v>
      </c>
      <c r="D369" s="34" t="s">
        <v>111</v>
      </c>
      <c r="E369" s="34" t="s">
        <v>2052</v>
      </c>
      <c r="F369" s="34"/>
      <c r="G369" s="34">
        <v>2.0</v>
      </c>
      <c r="H369" s="34" t="s">
        <v>106</v>
      </c>
      <c r="I369" s="34" t="s">
        <v>26</v>
      </c>
      <c r="J369" s="34">
        <f>IFERROR(__xludf.DUMMYFUNCTION("LEN(REGEXREPLACE(XLOOKUP($A369,Cards!$A$2:$A1000,Cards!$H$2:$H1000,""""),"",\s"",""""))"),2.0)</f>
        <v>2</v>
      </c>
      <c r="K369" s="34" t="str">
        <f t="shared" si="1"/>
        <v>               </v>
      </c>
      <c r="L369" s="34" t="str">
        <f>IFERROR(__xludf.DUMMYFUNCTION("IF(IF(L$1="""","""",REGEXMATCH(LOWER($E369),XLOOKUP(L$1,Metadata!$A$2:$A1000,Metadata!$B$2:$B1000))),L$1,"""")"),"")</f>
        <v/>
      </c>
      <c r="M369" s="34" t="str">
        <f>IFERROR(__xludf.DUMMYFUNCTION("IF(IF(M$1="""","""",REGEXMATCH(LOWER($E369),XLOOKUP(M$1,Metadata!$A$2:$A1000,Metadata!$B$2:$B1000))),M$1,"""")"),"")</f>
        <v/>
      </c>
      <c r="N369" s="34" t="str">
        <f>IFERROR(__xludf.DUMMYFUNCTION("IF(IF(N$1="""","""",REGEXMATCH(LOWER($E369),XLOOKUP(N$1,Metadata!$A$2:$A1000,Metadata!$B$2:$B1000))),N$1,"""")"),"")</f>
        <v/>
      </c>
      <c r="O369" s="34" t="str">
        <f>IFERROR(__xludf.DUMMYFUNCTION("IF(IF(O$1="""","""",REGEXMATCH(LOWER($E369),XLOOKUP(O$1,Metadata!$A$2:$A1000,Metadata!$B$2:$B1000))),O$1,"""")"),"")</f>
        <v/>
      </c>
      <c r="P369" s="34" t="str">
        <f>IFERROR(__xludf.DUMMYFUNCTION("IF(IF(P$1="""","""",REGEXMATCH(LOWER($E369),XLOOKUP(P$1,Metadata!$A$2:$A1000,Metadata!$B$2:$B1000))),P$1,"""")"),"")</f>
        <v/>
      </c>
      <c r="Q369" s="34" t="str">
        <f>IFERROR(__xludf.DUMMYFUNCTION("IF(IF(Q$1="""","""",REGEXMATCH(LOWER($E369),XLOOKUP(Q$1,Metadata!$A$2:$A1000,Metadata!$B$2:$B1000))),Q$1,"""")"),"")</f>
        <v/>
      </c>
      <c r="R369" s="34" t="str">
        <f>IFERROR(__xludf.DUMMYFUNCTION("IF(IF(R$1="""","""",REGEXMATCH(LOWER($E369),XLOOKUP(R$1,Metadata!$A$2:$A1000,Metadata!$B$2:$B1000))),R$1,"""")"),"")</f>
        <v/>
      </c>
      <c r="S369" s="34" t="str">
        <f>IFERROR(__xludf.DUMMYFUNCTION("IF(IF(S$1="""","""",REGEXMATCH(LOWER($E369),XLOOKUP(S$1,Metadata!$A$2:$A1000,Metadata!$B$2:$B1000))),S$1,"""")"),"")</f>
        <v/>
      </c>
      <c r="T369" s="34" t="str">
        <f>IFERROR(__xludf.DUMMYFUNCTION("IF(IF(T$1="""","""",REGEXMATCH(LOWER($E369),XLOOKUP(T$1,Metadata!$A$2:$A1000,Metadata!$B$2:$B1000))),T$1,"""")"),"")</f>
        <v/>
      </c>
      <c r="U369" s="34" t="str">
        <f>IFERROR(__xludf.DUMMYFUNCTION("IF(IF(U$1="""","""",REGEXMATCH(LOWER($E369),XLOOKUP(U$1,Metadata!$A$2:$A1000,Metadata!$B$2:$B1000))),U$1,"""")"),"")</f>
        <v/>
      </c>
      <c r="V369" s="34" t="str">
        <f>IFERROR(__xludf.DUMMYFUNCTION("IF(IF(V$1="""","""",REGEXMATCH(LOWER($E369),XLOOKUP(V$1,Metadata!$A$2:$A1000,Metadata!$B$2:$B1000))),V$1,"""")"),"")</f>
        <v/>
      </c>
      <c r="W369" s="34" t="str">
        <f>IFERROR(__xludf.DUMMYFUNCTION("IF(IF(W$1="""","""",REGEXMATCH(LOWER($E369),XLOOKUP(W$1,Metadata!$A$2:$A1000,Metadata!$B$2:$B1000))),W$1,"""")"),"")</f>
        <v/>
      </c>
      <c r="X369" s="34" t="str">
        <f>IFERROR(__xludf.DUMMYFUNCTION("IF(IF(X$1="""","""",REGEXMATCH(LOWER($E369),XLOOKUP(X$1,Metadata!$A$2:$A1000,Metadata!$B$2:$B1000))),X$1,"""")"),"")</f>
        <v/>
      </c>
      <c r="Y369" s="34" t="str">
        <f>IFERROR(__xludf.DUMMYFUNCTION("IF(IF(Y$1="""","""",REGEXMATCH(LOWER($E369),XLOOKUP(Y$1,Metadata!$A$2:$A1000,Metadata!$B$2:$B1000))),Y$1,"""")"),"")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I370">XLOOKUP($A370,Cards!$A$2:$A1000,Cards!$B$2:$I1000,"")</f>
        <v>Elemental</v>
      </c>
      <c r="C370" s="34">
        <v>3.0</v>
      </c>
      <c r="D370" s="34" t="s">
        <v>2054</v>
      </c>
      <c r="E370" s="34" t="s">
        <v>2055</v>
      </c>
      <c r="F370" s="34"/>
      <c r="G370" s="34">
        <v>3.0</v>
      </c>
      <c r="H370" s="34" t="s">
        <v>421</v>
      </c>
      <c r="I370" s="34" t="s">
        <v>26</v>
      </c>
      <c r="J370" s="34">
        <f>IFERROR(__xludf.DUMMYFUNCTION("LEN(REGEXREPLACE(XLOOKUP($A370,Cards!$A$2:$A1000,Cards!$H$2:$H1000,""""),"",\s"",""""))"),3.0)</f>
        <v>3</v>
      </c>
      <c r="K370" s="34" t="str">
        <f t="shared" si="1"/>
        <v>               </v>
      </c>
      <c r="L370" s="34" t="str">
        <f>IFERROR(__xludf.DUMMYFUNCTION("IF(IF(L$1="""","""",REGEXMATCH(LOWER($E370),XLOOKUP(L$1,Metadata!$A$2:$A1000,Metadata!$B$2:$B1000))),L$1,"""")"),"")</f>
        <v/>
      </c>
      <c r="M370" s="34" t="str">
        <f>IFERROR(__xludf.DUMMYFUNCTION("IF(IF(M$1="""","""",REGEXMATCH(LOWER($E370),XLOOKUP(M$1,Metadata!$A$2:$A1000,Metadata!$B$2:$B1000))),M$1,"""")"),"")</f>
        <v/>
      </c>
      <c r="N370" s="34" t="str">
        <f>IFERROR(__xludf.DUMMYFUNCTION("IF(IF(N$1="""","""",REGEXMATCH(LOWER($E370),XLOOKUP(N$1,Metadata!$A$2:$A1000,Metadata!$B$2:$B1000))),N$1,"""")"),"")</f>
        <v/>
      </c>
      <c r="O370" s="34" t="str">
        <f>IFERROR(__xludf.DUMMYFUNCTION("IF(IF(O$1="""","""",REGEXMATCH(LOWER($E370),XLOOKUP(O$1,Metadata!$A$2:$A1000,Metadata!$B$2:$B1000))),O$1,"""")"),"")</f>
        <v/>
      </c>
      <c r="P370" s="34" t="str">
        <f>IFERROR(__xludf.DUMMYFUNCTION("IF(IF(P$1="""","""",REGEXMATCH(LOWER($E370),XLOOKUP(P$1,Metadata!$A$2:$A1000,Metadata!$B$2:$B1000))),P$1,"""")"),"")</f>
        <v/>
      </c>
      <c r="Q370" s="34" t="str">
        <f>IFERROR(__xludf.DUMMYFUNCTION("IF(IF(Q$1="""","""",REGEXMATCH(LOWER($E370),XLOOKUP(Q$1,Metadata!$A$2:$A1000,Metadata!$B$2:$B1000))),Q$1,"""")"),"")</f>
        <v/>
      </c>
      <c r="R370" s="34" t="str">
        <f>IFERROR(__xludf.DUMMYFUNCTION("IF(IF(R$1="""","""",REGEXMATCH(LOWER($E370),XLOOKUP(R$1,Metadata!$A$2:$A1000,Metadata!$B$2:$B1000))),R$1,"""")"),"")</f>
        <v/>
      </c>
      <c r="S370" s="34" t="str">
        <f>IFERROR(__xludf.DUMMYFUNCTION("IF(IF(S$1="""","""",REGEXMATCH(LOWER($E370),XLOOKUP(S$1,Metadata!$A$2:$A1000,Metadata!$B$2:$B1000))),S$1,"""")"),"")</f>
        <v/>
      </c>
      <c r="T370" s="34" t="str">
        <f>IFERROR(__xludf.DUMMYFUNCTION("IF(IF(T$1="""","""",REGEXMATCH(LOWER($E370),XLOOKUP(T$1,Metadata!$A$2:$A1000,Metadata!$B$2:$B1000))),T$1,"""")"),"")</f>
        <v/>
      </c>
      <c r="U370" s="34" t="str">
        <f>IFERROR(__xludf.DUMMYFUNCTION("IF(IF(U$1="""","""",REGEXMATCH(LOWER($E370),XLOOKUP(U$1,Metadata!$A$2:$A1000,Metadata!$B$2:$B1000))),U$1,"""")"),"")</f>
        <v/>
      </c>
      <c r="V370" s="34" t="str">
        <f>IFERROR(__xludf.DUMMYFUNCTION("IF(IF(V$1="""","""",REGEXMATCH(LOWER($E370),XLOOKUP(V$1,Metadata!$A$2:$A1000,Metadata!$B$2:$B1000))),V$1,"""")"),"")</f>
        <v/>
      </c>
      <c r="W370" s="34" t="str">
        <f>IFERROR(__xludf.DUMMYFUNCTION("IF(IF(W$1="""","""",REGEXMATCH(LOWER($E370),XLOOKUP(W$1,Metadata!$A$2:$A1000,Metadata!$B$2:$B1000))),W$1,"""")"),"")</f>
        <v/>
      </c>
      <c r="X370" s="34" t="str">
        <f>IFERROR(__xludf.DUMMYFUNCTION("IF(IF(X$1="""","""",REGEXMATCH(LOWER($E370),XLOOKUP(X$1,Metadata!$A$2:$A1000,Metadata!$B$2:$B1000))),X$1,"""")"),"")</f>
        <v/>
      </c>
      <c r="Y370" s="34" t="str">
        <f>IFERROR(__xludf.DUMMYFUNCTION("IF(IF(Y$1="""","""",REGEXMATCH(LOWER($E370),XLOOKUP(Y$1,Metadata!$A$2:$A1000,Metadata!$B$2:$B1000))),Y$1,"""")"),"")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I371">XLOOKUP($A371,Cards!$A$2:$A1000,Cards!$B$2:$I1000,"")</f>
        <v>Elemental Mortal</v>
      </c>
      <c r="C371" s="34">
        <v>3.0</v>
      </c>
      <c r="D371" s="34" t="s">
        <v>2057</v>
      </c>
      <c r="E371" s="34" t="s">
        <v>2058</v>
      </c>
      <c r="F371" s="34"/>
      <c r="G371" s="34">
        <v>3.0</v>
      </c>
      <c r="H371" s="34" t="s">
        <v>2059</v>
      </c>
      <c r="I371" s="34" t="s">
        <v>70</v>
      </c>
      <c r="J371" s="34">
        <f>IFERROR(__xludf.DUMMYFUNCTION("LEN(REGEXREPLACE(XLOOKUP($A371,Cards!$A$2:$A1000,Cards!$H$2:$H1000,""""),"",\s"",""""))"),3.0)</f>
        <v>3</v>
      </c>
      <c r="K371" s="34" t="str">
        <f t="shared" si="1"/>
        <v>               </v>
      </c>
      <c r="L371" s="34" t="str">
        <f>IFERROR(__xludf.DUMMYFUNCTION("IF(IF(L$1="""","""",REGEXMATCH(LOWER($E371),XLOOKUP(L$1,Metadata!$A$2:$A1000,Metadata!$B$2:$B1000))),L$1,"""")"),"")</f>
        <v/>
      </c>
      <c r="M371" s="34" t="str">
        <f>IFERROR(__xludf.DUMMYFUNCTION("IF(IF(M$1="""","""",REGEXMATCH(LOWER($E371),XLOOKUP(M$1,Metadata!$A$2:$A1000,Metadata!$B$2:$B1000))),M$1,"""")"),"")</f>
        <v/>
      </c>
      <c r="N371" s="34" t="str">
        <f>IFERROR(__xludf.DUMMYFUNCTION("IF(IF(N$1="""","""",REGEXMATCH(LOWER($E371),XLOOKUP(N$1,Metadata!$A$2:$A1000,Metadata!$B$2:$B1000))),N$1,"""")"),"")</f>
        <v/>
      </c>
      <c r="O371" s="34" t="str">
        <f>IFERROR(__xludf.DUMMYFUNCTION("IF(IF(O$1="""","""",REGEXMATCH(LOWER($E371),XLOOKUP(O$1,Metadata!$A$2:$A1000,Metadata!$B$2:$B1000))),O$1,"""")"),"")</f>
        <v/>
      </c>
      <c r="P371" s="34" t="str">
        <f>IFERROR(__xludf.DUMMYFUNCTION("IF(IF(P$1="""","""",REGEXMATCH(LOWER($E371),XLOOKUP(P$1,Metadata!$A$2:$A1000,Metadata!$B$2:$B1000))),P$1,"""")"),"")</f>
        <v/>
      </c>
      <c r="Q371" s="34" t="str">
        <f>IFERROR(__xludf.DUMMYFUNCTION("IF(IF(Q$1="""","""",REGEXMATCH(LOWER($E371),XLOOKUP(Q$1,Metadata!$A$2:$A1000,Metadata!$B$2:$B1000))),Q$1,"""")"),"")</f>
        <v/>
      </c>
      <c r="R371" s="34" t="str">
        <f>IFERROR(__xludf.DUMMYFUNCTION("IF(IF(R$1="""","""",REGEXMATCH(LOWER($E371),XLOOKUP(R$1,Metadata!$A$2:$A1000,Metadata!$B$2:$B1000))),R$1,"""")"),"")</f>
        <v/>
      </c>
      <c r="S371" s="34" t="str">
        <f>IFERROR(__xludf.DUMMYFUNCTION("IF(IF(S$1="""","""",REGEXMATCH(LOWER($E371),XLOOKUP(S$1,Metadata!$A$2:$A1000,Metadata!$B$2:$B1000))),S$1,"""")"),"")</f>
        <v/>
      </c>
      <c r="T371" s="34" t="str">
        <f>IFERROR(__xludf.DUMMYFUNCTION("IF(IF(T$1="""","""",REGEXMATCH(LOWER($E371),XLOOKUP(T$1,Metadata!$A$2:$A1000,Metadata!$B$2:$B1000))),T$1,"""")"),"")</f>
        <v/>
      </c>
      <c r="U371" s="34" t="str">
        <f>IFERROR(__xludf.DUMMYFUNCTION("IF(IF(U$1="""","""",REGEXMATCH(LOWER($E371),XLOOKUP(U$1,Metadata!$A$2:$A1000,Metadata!$B$2:$B1000))),U$1,"""")"),"")</f>
        <v/>
      </c>
      <c r="V371" s="34" t="str">
        <f>IFERROR(__xludf.DUMMYFUNCTION("IF(IF(V$1="""","""",REGEXMATCH(LOWER($E371),XLOOKUP(V$1,Metadata!$A$2:$A1000,Metadata!$B$2:$B1000))),V$1,"""")"),"")</f>
        <v/>
      </c>
      <c r="W371" s="34" t="str">
        <f>IFERROR(__xludf.DUMMYFUNCTION("IF(IF(W$1="""","""",REGEXMATCH(LOWER($E371),XLOOKUP(W$1,Metadata!$A$2:$A1000,Metadata!$B$2:$B1000))),W$1,"""")"),"")</f>
        <v/>
      </c>
      <c r="X371" s="34" t="str">
        <f>IFERROR(__xludf.DUMMYFUNCTION("IF(IF(X$1="""","""",REGEXMATCH(LOWER($E371),XLOOKUP(X$1,Metadata!$A$2:$A1000,Metadata!$B$2:$B1000))),X$1,"""")"),"")</f>
        <v/>
      </c>
      <c r="Y371" s="34" t="str">
        <f>IFERROR(__xludf.DUMMYFUNCTION("IF(IF(Y$1="""","""",REGEXMATCH(LOWER($E371),XLOOKUP(Y$1,Metadata!$A$2:$A1000,Metadata!$B$2:$B1000))),Y$1,"""")"),"")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I372">XLOOKUP($A372,Cards!$A$2:$A1000,Cards!$B$2:$I1000,"")</f>
        <v>Void</v>
      </c>
      <c r="C372" s="34">
        <v>3.0</v>
      </c>
      <c r="D372" s="34" t="s">
        <v>2061</v>
      </c>
      <c r="E372" s="34" t="s">
        <v>2062</v>
      </c>
      <c r="F372" s="34"/>
      <c r="G372" s="34"/>
      <c r="H372" s="34"/>
      <c r="I372" s="34"/>
      <c r="J372" s="34">
        <f>IFERROR(__xludf.DUMMYFUNCTION("LEN(REGEXREPLACE(XLOOKUP($A372,Cards!$A$2:$A1000,Cards!$H$2:$H1000,""""),"",\s"",""""))"),0.0)</f>
        <v>0</v>
      </c>
      <c r="K372" s="34" t="str">
        <f t="shared" si="1"/>
        <v>               </v>
      </c>
      <c r="L372" s="34" t="str">
        <f>IFERROR(__xludf.DUMMYFUNCTION("IF(IF(L$1="""","""",REGEXMATCH(LOWER($E372),XLOOKUP(L$1,Metadata!$A$2:$A1000,Metadata!$B$2:$B1000))),L$1,"""")"),"")</f>
        <v/>
      </c>
      <c r="M372" s="34" t="str">
        <f>IFERROR(__xludf.DUMMYFUNCTION("IF(IF(M$1="""","""",REGEXMATCH(LOWER($E372),XLOOKUP(M$1,Metadata!$A$2:$A1000,Metadata!$B$2:$B1000))),M$1,"""")"),"")</f>
        <v/>
      </c>
      <c r="N372" s="34" t="str">
        <f>IFERROR(__xludf.DUMMYFUNCTION("IF(IF(N$1="""","""",REGEXMATCH(LOWER($E372),XLOOKUP(N$1,Metadata!$A$2:$A1000,Metadata!$B$2:$B1000))),N$1,"""")"),"")</f>
        <v/>
      </c>
      <c r="O372" s="34" t="str">
        <f>IFERROR(__xludf.DUMMYFUNCTION("IF(IF(O$1="""","""",REGEXMATCH(LOWER($E372),XLOOKUP(O$1,Metadata!$A$2:$A1000,Metadata!$B$2:$B1000))),O$1,"""")"),"")</f>
        <v/>
      </c>
      <c r="P372" s="34" t="str">
        <f>IFERROR(__xludf.DUMMYFUNCTION("IF(IF(P$1="""","""",REGEXMATCH(LOWER($E372),XLOOKUP(P$1,Metadata!$A$2:$A1000,Metadata!$B$2:$B1000))),P$1,"""")"),"")</f>
        <v/>
      </c>
      <c r="Q372" s="34" t="str">
        <f>IFERROR(__xludf.DUMMYFUNCTION("IF(IF(Q$1="""","""",REGEXMATCH(LOWER($E372),XLOOKUP(Q$1,Metadata!$A$2:$A1000,Metadata!$B$2:$B1000))),Q$1,"""")"),"")</f>
        <v/>
      </c>
      <c r="R372" s="34" t="str">
        <f>IFERROR(__xludf.DUMMYFUNCTION("IF(IF(R$1="""","""",REGEXMATCH(LOWER($E372),XLOOKUP(R$1,Metadata!$A$2:$A1000,Metadata!$B$2:$B1000))),R$1,"""")"),"")</f>
        <v/>
      </c>
      <c r="S372" s="34" t="str">
        <f>IFERROR(__xludf.DUMMYFUNCTION("IF(IF(S$1="""","""",REGEXMATCH(LOWER($E372),XLOOKUP(S$1,Metadata!$A$2:$A1000,Metadata!$B$2:$B1000))),S$1,"""")"),"")</f>
        <v/>
      </c>
      <c r="T372" s="34" t="str">
        <f>IFERROR(__xludf.DUMMYFUNCTION("IF(IF(T$1="""","""",REGEXMATCH(LOWER($E372),XLOOKUP(T$1,Metadata!$A$2:$A1000,Metadata!$B$2:$B1000))),T$1,"""")"),"")</f>
        <v/>
      </c>
      <c r="U372" s="34" t="str">
        <f>IFERROR(__xludf.DUMMYFUNCTION("IF(IF(U$1="""","""",REGEXMATCH(LOWER($E372),XLOOKUP(U$1,Metadata!$A$2:$A1000,Metadata!$B$2:$B1000))),U$1,"""")"),"")</f>
        <v/>
      </c>
      <c r="V372" s="34" t="str">
        <f>IFERROR(__xludf.DUMMYFUNCTION("IF(IF(V$1="""","""",REGEXMATCH(LOWER($E372),XLOOKUP(V$1,Metadata!$A$2:$A1000,Metadata!$B$2:$B1000))),V$1,"""")"),"")</f>
        <v/>
      </c>
      <c r="W372" s="34" t="str">
        <f>IFERROR(__xludf.DUMMYFUNCTION("IF(IF(W$1="""","""",REGEXMATCH(LOWER($E372),XLOOKUP(W$1,Metadata!$A$2:$A1000,Metadata!$B$2:$B1000))),W$1,"""")"),"")</f>
        <v/>
      </c>
      <c r="X372" s="34" t="str">
        <f>IFERROR(__xludf.DUMMYFUNCTION("IF(IF(X$1="""","""",REGEXMATCH(LOWER($E372),XLOOKUP(X$1,Metadata!$A$2:$A1000,Metadata!$B$2:$B1000))),X$1,"""")"),"")</f>
        <v/>
      </c>
      <c r="Y372" s="34" t="str">
        <f>IFERROR(__xludf.DUMMYFUNCTION("IF(IF(Y$1="""","""",REGEXMATCH(LOWER($E372),XLOOKUP(Y$1,Metadata!$A$2:$A1000,Metadata!$B$2:$B1000))),Y$1,"""")"),"")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I373">XLOOKUP($A373,Cards!$A$2:$A1000,Cards!$B$2:$I1000,"")</f>
        <v>Nature</v>
      </c>
      <c r="C373" s="34">
        <v>3.0</v>
      </c>
      <c r="D373" s="34" t="s">
        <v>1397</v>
      </c>
      <c r="E373" s="34" t="s">
        <v>2064</v>
      </c>
      <c r="F373" s="34"/>
      <c r="G373" s="34">
        <v>3.0</v>
      </c>
      <c r="H373" s="34" t="s">
        <v>1530</v>
      </c>
      <c r="I373" s="34" t="s">
        <v>26</v>
      </c>
      <c r="J373" s="34">
        <f>IFERROR(__xludf.DUMMYFUNCTION("LEN(REGEXREPLACE(XLOOKUP($A373,Cards!$A$2:$A1000,Cards!$H$2:$H1000,""""),"",\s"",""""))"),3.0)</f>
        <v>3</v>
      </c>
      <c r="K373" s="34" t="str">
        <f t="shared" si="1"/>
        <v>               </v>
      </c>
      <c r="L373" s="34" t="str">
        <f>IFERROR(__xludf.DUMMYFUNCTION("IF(IF(L$1="""","""",REGEXMATCH(LOWER($E373),XLOOKUP(L$1,Metadata!$A$2:$A1000,Metadata!$B$2:$B1000))),L$1,"""")"),"")</f>
        <v/>
      </c>
      <c r="M373" s="34" t="str">
        <f>IFERROR(__xludf.DUMMYFUNCTION("IF(IF(M$1="""","""",REGEXMATCH(LOWER($E373),XLOOKUP(M$1,Metadata!$A$2:$A1000,Metadata!$B$2:$B1000))),M$1,"""")"),"")</f>
        <v/>
      </c>
      <c r="N373" s="34" t="str">
        <f>IFERROR(__xludf.DUMMYFUNCTION("IF(IF(N$1="""","""",REGEXMATCH(LOWER($E373),XLOOKUP(N$1,Metadata!$A$2:$A1000,Metadata!$B$2:$B1000))),N$1,"""")"),"")</f>
        <v/>
      </c>
      <c r="O373" s="34" t="str">
        <f>IFERROR(__xludf.DUMMYFUNCTION("IF(IF(O$1="""","""",REGEXMATCH(LOWER($E373),XLOOKUP(O$1,Metadata!$A$2:$A1000,Metadata!$B$2:$B1000))),O$1,"""")"),"")</f>
        <v/>
      </c>
      <c r="P373" s="34" t="str">
        <f>IFERROR(__xludf.DUMMYFUNCTION("IF(IF(P$1="""","""",REGEXMATCH(LOWER($E373),XLOOKUP(P$1,Metadata!$A$2:$A1000,Metadata!$B$2:$B1000))),P$1,"""")"),"")</f>
        <v/>
      </c>
      <c r="Q373" s="34" t="str">
        <f>IFERROR(__xludf.DUMMYFUNCTION("IF(IF(Q$1="""","""",REGEXMATCH(LOWER($E373),XLOOKUP(Q$1,Metadata!$A$2:$A1000,Metadata!$B$2:$B1000))),Q$1,"""")"),"")</f>
        <v/>
      </c>
      <c r="R373" s="34" t="str">
        <f>IFERROR(__xludf.DUMMYFUNCTION("IF(IF(R$1="""","""",REGEXMATCH(LOWER($E373),XLOOKUP(R$1,Metadata!$A$2:$A1000,Metadata!$B$2:$B1000))),R$1,"""")"),"")</f>
        <v/>
      </c>
      <c r="S373" s="34" t="str">
        <f>IFERROR(__xludf.DUMMYFUNCTION("IF(IF(S$1="""","""",REGEXMATCH(LOWER($E373),XLOOKUP(S$1,Metadata!$A$2:$A1000,Metadata!$B$2:$B1000))),S$1,"""")"),"")</f>
        <v/>
      </c>
      <c r="T373" s="34" t="str">
        <f>IFERROR(__xludf.DUMMYFUNCTION("IF(IF(T$1="""","""",REGEXMATCH(LOWER($E373),XLOOKUP(T$1,Metadata!$A$2:$A1000,Metadata!$B$2:$B1000))),T$1,"""")"),"")</f>
        <v/>
      </c>
      <c r="U373" s="34" t="str">
        <f>IFERROR(__xludf.DUMMYFUNCTION("IF(IF(U$1="""","""",REGEXMATCH(LOWER($E373),XLOOKUP(U$1,Metadata!$A$2:$A1000,Metadata!$B$2:$B1000))),U$1,"""")"),"")</f>
        <v/>
      </c>
      <c r="V373" s="34" t="str">
        <f>IFERROR(__xludf.DUMMYFUNCTION("IF(IF(V$1="""","""",REGEXMATCH(LOWER($E373),XLOOKUP(V$1,Metadata!$A$2:$A1000,Metadata!$B$2:$B1000))),V$1,"""")"),"")</f>
        <v/>
      </c>
      <c r="W373" s="34" t="str">
        <f>IFERROR(__xludf.DUMMYFUNCTION("IF(IF(W$1="""","""",REGEXMATCH(LOWER($E373),XLOOKUP(W$1,Metadata!$A$2:$A1000,Metadata!$B$2:$B1000))),W$1,"""")"),"")</f>
        <v/>
      </c>
      <c r="X373" s="34" t="str">
        <f>IFERROR(__xludf.DUMMYFUNCTION("IF(IF(X$1="""","""",REGEXMATCH(LOWER($E373),XLOOKUP(X$1,Metadata!$A$2:$A1000,Metadata!$B$2:$B1000))),X$1,"""")"),"")</f>
        <v/>
      </c>
      <c r="Y373" s="34" t="str">
        <f>IFERROR(__xludf.DUMMYFUNCTION("IF(IF(Y$1="""","""",REGEXMATCH(LOWER($E373),XLOOKUP(Y$1,Metadata!$A$2:$A1000,Metadata!$B$2:$B1000))),Y$1,"""")"),"")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I374">XLOOKUP($A374,Cards!$A$2:$A1000,Cards!$B$2:$I1000,"")</f>
        <v>Void</v>
      </c>
      <c r="C374" s="34">
        <v>3.0</v>
      </c>
      <c r="D374" s="34" t="s">
        <v>2066</v>
      </c>
      <c r="E374" s="34" t="s">
        <v>2067</v>
      </c>
      <c r="F374" s="34"/>
      <c r="G374" s="34">
        <v>4.0</v>
      </c>
      <c r="H374" s="34" t="s">
        <v>1892</v>
      </c>
      <c r="I374" s="34" t="s">
        <v>70</v>
      </c>
      <c r="J374" s="34">
        <f>IFERROR(__xludf.DUMMYFUNCTION("LEN(REGEXREPLACE(XLOOKUP($A374,Cards!$A$2:$A1000,Cards!$H$2:$H1000,""""),"",\s"",""""))"),4.0)</f>
        <v>4</v>
      </c>
      <c r="K374" s="34" t="str">
        <f t="shared" si="1"/>
        <v>               </v>
      </c>
      <c r="L374" s="34" t="str">
        <f>IFERROR(__xludf.DUMMYFUNCTION("IF(IF(L$1="""","""",REGEXMATCH(LOWER($E374),XLOOKUP(L$1,Metadata!$A$2:$A1000,Metadata!$B$2:$B1000))),L$1,"""")"),"")</f>
        <v/>
      </c>
      <c r="M374" s="34" t="str">
        <f>IFERROR(__xludf.DUMMYFUNCTION("IF(IF(M$1="""","""",REGEXMATCH(LOWER($E374),XLOOKUP(M$1,Metadata!$A$2:$A1000,Metadata!$B$2:$B1000))),M$1,"""")"),"")</f>
        <v/>
      </c>
      <c r="N374" s="34" t="str">
        <f>IFERROR(__xludf.DUMMYFUNCTION("IF(IF(N$1="""","""",REGEXMATCH(LOWER($E374),XLOOKUP(N$1,Metadata!$A$2:$A1000,Metadata!$B$2:$B1000))),N$1,"""")"),"")</f>
        <v/>
      </c>
      <c r="O374" s="34" t="str">
        <f>IFERROR(__xludf.DUMMYFUNCTION("IF(IF(O$1="""","""",REGEXMATCH(LOWER($E374),XLOOKUP(O$1,Metadata!$A$2:$A1000,Metadata!$B$2:$B1000))),O$1,"""")"),"")</f>
        <v/>
      </c>
      <c r="P374" s="34" t="str">
        <f>IFERROR(__xludf.DUMMYFUNCTION("IF(IF(P$1="""","""",REGEXMATCH(LOWER($E374),XLOOKUP(P$1,Metadata!$A$2:$A1000,Metadata!$B$2:$B1000))),P$1,"""")"),"")</f>
        <v/>
      </c>
      <c r="Q374" s="34" t="str">
        <f>IFERROR(__xludf.DUMMYFUNCTION("IF(IF(Q$1="""","""",REGEXMATCH(LOWER($E374),XLOOKUP(Q$1,Metadata!$A$2:$A1000,Metadata!$B$2:$B1000))),Q$1,"""")"),"")</f>
        <v/>
      </c>
      <c r="R374" s="34" t="str">
        <f>IFERROR(__xludf.DUMMYFUNCTION("IF(IF(R$1="""","""",REGEXMATCH(LOWER($E374),XLOOKUP(R$1,Metadata!$A$2:$A1000,Metadata!$B$2:$B1000))),R$1,"""")"),"")</f>
        <v/>
      </c>
      <c r="S374" s="34" t="str">
        <f>IFERROR(__xludf.DUMMYFUNCTION("IF(IF(S$1="""","""",REGEXMATCH(LOWER($E374),XLOOKUP(S$1,Metadata!$A$2:$A1000,Metadata!$B$2:$B1000))),S$1,"""")"),"")</f>
        <v/>
      </c>
      <c r="T374" s="34" t="str">
        <f>IFERROR(__xludf.DUMMYFUNCTION("IF(IF(T$1="""","""",REGEXMATCH(LOWER($E374),XLOOKUP(T$1,Metadata!$A$2:$A1000,Metadata!$B$2:$B1000))),T$1,"""")"),"")</f>
        <v/>
      </c>
      <c r="U374" s="34" t="str">
        <f>IFERROR(__xludf.DUMMYFUNCTION("IF(IF(U$1="""","""",REGEXMATCH(LOWER($E374),XLOOKUP(U$1,Metadata!$A$2:$A1000,Metadata!$B$2:$B1000))),U$1,"""")"),"")</f>
        <v/>
      </c>
      <c r="V374" s="34" t="str">
        <f>IFERROR(__xludf.DUMMYFUNCTION("IF(IF(V$1="""","""",REGEXMATCH(LOWER($E374),XLOOKUP(V$1,Metadata!$A$2:$A1000,Metadata!$B$2:$B1000))),V$1,"""")"),"")</f>
        <v/>
      </c>
      <c r="W374" s="34" t="str">
        <f>IFERROR(__xludf.DUMMYFUNCTION("IF(IF(W$1="""","""",REGEXMATCH(LOWER($E374),XLOOKUP(W$1,Metadata!$A$2:$A1000,Metadata!$B$2:$B1000))),W$1,"""")"),"")</f>
        <v/>
      </c>
      <c r="X374" s="34" t="str">
        <f>IFERROR(__xludf.DUMMYFUNCTION("IF(IF(X$1="""","""",REGEXMATCH(LOWER($E374),XLOOKUP(X$1,Metadata!$A$2:$A1000,Metadata!$B$2:$B1000))),X$1,"""")"),"")</f>
        <v/>
      </c>
      <c r="Y374" s="34" t="str">
        <f>IFERROR(__xludf.DUMMYFUNCTION("IF(IF(Y$1="""","""",REGEXMATCH(LOWER($E374),XLOOKUP(Y$1,Metadata!$A$2:$A1000,Metadata!$B$2:$B1000))),Y$1,"""")"),"")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I375">XLOOKUP($A375,Cards!$A$2:$A1000,Cards!$B$2:$I1000,"")</f>
        <v>Mortal Divine</v>
      </c>
      <c r="C375" s="34">
        <v>3.0</v>
      </c>
      <c r="D375" s="34" t="s">
        <v>28</v>
      </c>
      <c r="E375" s="34" t="s">
        <v>2070</v>
      </c>
      <c r="F375" s="34"/>
      <c r="G375" s="34">
        <v>3.0</v>
      </c>
      <c r="H375" s="34" t="s">
        <v>2071</v>
      </c>
      <c r="I375" s="34" t="s">
        <v>26</v>
      </c>
      <c r="J375" s="34">
        <f>IFERROR(__xludf.DUMMYFUNCTION("LEN(REGEXREPLACE(XLOOKUP($A375,Cards!$A$2:$A1000,Cards!$H$2:$H1000,""""),"",\s"",""""))"),3.0)</f>
        <v>3</v>
      </c>
      <c r="K375" s="34" t="str">
        <f t="shared" si="1"/>
        <v>      Ramp         </v>
      </c>
      <c r="L375" s="34" t="str">
        <f>IFERROR(__xludf.DUMMYFUNCTION("IF(IF(L$1="""","""",REGEXMATCH(LOWER($E375),XLOOKUP(L$1,Metadata!$A$2:$A1000,Metadata!$B$2:$B1000))),L$1,"""")"),"")</f>
        <v/>
      </c>
      <c r="M375" s="34" t="str">
        <f>IFERROR(__xludf.DUMMYFUNCTION("IF(IF(M$1="""","""",REGEXMATCH(LOWER($E375),XLOOKUP(M$1,Metadata!$A$2:$A1000,Metadata!$B$2:$B1000))),M$1,"""")"),"")</f>
        <v/>
      </c>
      <c r="N375" s="34" t="str">
        <f>IFERROR(__xludf.DUMMYFUNCTION("IF(IF(N$1="""","""",REGEXMATCH(LOWER($E375),XLOOKUP(N$1,Metadata!$A$2:$A1000,Metadata!$B$2:$B1000))),N$1,"""")"),"")</f>
        <v/>
      </c>
      <c r="O375" s="34" t="str">
        <f>IFERROR(__xludf.DUMMYFUNCTION("IF(IF(O$1="""","""",REGEXMATCH(LOWER($E375),XLOOKUP(O$1,Metadata!$A$2:$A1000,Metadata!$B$2:$B1000))),O$1,"""")"),"")</f>
        <v/>
      </c>
      <c r="P375" s="34" t="str">
        <f>IFERROR(__xludf.DUMMYFUNCTION("IF(IF(P$1="""","""",REGEXMATCH(LOWER($E375),XLOOKUP(P$1,Metadata!$A$2:$A1000,Metadata!$B$2:$B1000))),P$1,"""")"),"")</f>
        <v/>
      </c>
      <c r="Q375" s="34" t="str">
        <f>IFERROR(__xludf.DUMMYFUNCTION("IF(IF(Q$1="""","""",REGEXMATCH(LOWER($E375),XLOOKUP(Q$1,Metadata!$A$2:$A1000,Metadata!$B$2:$B1000))),Q$1,"""")"),"")</f>
        <v/>
      </c>
      <c r="R375" s="34" t="str">
        <f>IFERROR(__xludf.DUMMYFUNCTION("IF(IF(R$1="""","""",REGEXMATCH(LOWER($E375),XLOOKUP(R$1,Metadata!$A$2:$A1000,Metadata!$B$2:$B1000))),R$1,"""")"),"Ramp")</f>
        <v>Ramp</v>
      </c>
      <c r="S375" s="34" t="str">
        <f>IFERROR(__xludf.DUMMYFUNCTION("IF(IF(S$1="""","""",REGEXMATCH(LOWER($E375),XLOOKUP(S$1,Metadata!$A$2:$A1000,Metadata!$B$2:$B1000))),S$1,"""")"),"")</f>
        <v/>
      </c>
      <c r="T375" s="34" t="str">
        <f>IFERROR(__xludf.DUMMYFUNCTION("IF(IF(T$1="""","""",REGEXMATCH(LOWER($E375),XLOOKUP(T$1,Metadata!$A$2:$A1000,Metadata!$B$2:$B1000))),T$1,"""")"),"")</f>
        <v/>
      </c>
      <c r="U375" s="34" t="str">
        <f>IFERROR(__xludf.DUMMYFUNCTION("IF(IF(U$1="""","""",REGEXMATCH(LOWER($E375),XLOOKUP(U$1,Metadata!$A$2:$A1000,Metadata!$B$2:$B1000))),U$1,"""")"),"")</f>
        <v/>
      </c>
      <c r="V375" s="34" t="str">
        <f>IFERROR(__xludf.DUMMYFUNCTION("IF(IF(V$1="""","""",REGEXMATCH(LOWER($E375),XLOOKUP(V$1,Metadata!$A$2:$A1000,Metadata!$B$2:$B1000))),V$1,"""")"),"")</f>
        <v/>
      </c>
      <c r="W375" s="34" t="str">
        <f>IFERROR(__xludf.DUMMYFUNCTION("IF(IF(W$1="""","""",REGEXMATCH(LOWER($E375),XLOOKUP(W$1,Metadata!$A$2:$A1000,Metadata!$B$2:$B1000))),W$1,"""")"),"")</f>
        <v/>
      </c>
      <c r="X375" s="34" t="str">
        <f>IFERROR(__xludf.DUMMYFUNCTION("IF(IF(X$1="""","""",REGEXMATCH(LOWER($E375),XLOOKUP(X$1,Metadata!$A$2:$A1000,Metadata!$B$2:$B1000))),X$1,"""")"),"")</f>
        <v/>
      </c>
      <c r="Y375" s="34" t="str">
        <f>IFERROR(__xludf.DUMMYFUNCTION("IF(IF(Y$1="""","""",REGEXMATCH(LOWER($E375),XLOOKUP(Y$1,Metadata!$A$2:$A1000,Metadata!$B$2:$B1000))),Y$1,"""")"),"")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I376">XLOOKUP($A376,Cards!$A$2:$A1000,Cards!$B$2:$I1000,"")</f>
        <v>Elemental</v>
      </c>
      <c r="C376" s="34">
        <v>3.0</v>
      </c>
      <c r="D376" s="34" t="s">
        <v>2073</v>
      </c>
      <c r="E376" s="34" t="s">
        <v>2074</v>
      </c>
      <c r="F376" s="34"/>
      <c r="G376" s="34">
        <v>5.0</v>
      </c>
      <c r="H376" s="34" t="s">
        <v>526</v>
      </c>
      <c r="I376" s="34" t="s">
        <v>26</v>
      </c>
      <c r="J376" s="34">
        <f>IFERROR(__xludf.DUMMYFUNCTION("LEN(REGEXREPLACE(XLOOKUP($A376,Cards!$A$2:$A1000,Cards!$H$2:$H1000,""""),"",\s"",""""))"),5.0)</f>
        <v>5</v>
      </c>
      <c r="K376" s="34" t="str">
        <f t="shared" si="1"/>
        <v>               </v>
      </c>
      <c r="L376" s="34" t="str">
        <f>IFERROR(__xludf.DUMMYFUNCTION("IF(IF(L$1="""","""",REGEXMATCH(LOWER($E376),XLOOKUP(L$1,Metadata!$A$2:$A1000,Metadata!$B$2:$B1000))),L$1,"""")"),"")</f>
        <v/>
      </c>
      <c r="M376" s="34" t="str">
        <f>IFERROR(__xludf.DUMMYFUNCTION("IF(IF(M$1="""","""",REGEXMATCH(LOWER($E376),XLOOKUP(M$1,Metadata!$A$2:$A1000,Metadata!$B$2:$B1000))),M$1,"""")"),"")</f>
        <v/>
      </c>
      <c r="N376" s="34" t="str">
        <f>IFERROR(__xludf.DUMMYFUNCTION("IF(IF(N$1="""","""",REGEXMATCH(LOWER($E376),XLOOKUP(N$1,Metadata!$A$2:$A1000,Metadata!$B$2:$B1000))),N$1,"""")"),"")</f>
        <v/>
      </c>
      <c r="O376" s="34" t="str">
        <f>IFERROR(__xludf.DUMMYFUNCTION("IF(IF(O$1="""","""",REGEXMATCH(LOWER($E376),XLOOKUP(O$1,Metadata!$A$2:$A1000,Metadata!$B$2:$B1000))),O$1,"""")"),"")</f>
        <v/>
      </c>
      <c r="P376" s="34" t="str">
        <f>IFERROR(__xludf.DUMMYFUNCTION("IF(IF(P$1="""","""",REGEXMATCH(LOWER($E376),XLOOKUP(P$1,Metadata!$A$2:$A1000,Metadata!$B$2:$B1000))),P$1,"""")"),"")</f>
        <v/>
      </c>
      <c r="Q376" s="34" t="str">
        <f>IFERROR(__xludf.DUMMYFUNCTION("IF(IF(Q$1="""","""",REGEXMATCH(LOWER($E376),XLOOKUP(Q$1,Metadata!$A$2:$A1000,Metadata!$B$2:$B1000))),Q$1,"""")"),"")</f>
        <v/>
      </c>
      <c r="R376" s="34" t="str">
        <f>IFERROR(__xludf.DUMMYFUNCTION("IF(IF(R$1="""","""",REGEXMATCH(LOWER($E376),XLOOKUP(R$1,Metadata!$A$2:$A1000,Metadata!$B$2:$B1000))),R$1,"""")"),"")</f>
        <v/>
      </c>
      <c r="S376" s="34" t="str">
        <f>IFERROR(__xludf.DUMMYFUNCTION("IF(IF(S$1="""","""",REGEXMATCH(LOWER($E376),XLOOKUP(S$1,Metadata!$A$2:$A1000,Metadata!$B$2:$B1000))),S$1,"""")"),"")</f>
        <v/>
      </c>
      <c r="T376" s="34" t="str">
        <f>IFERROR(__xludf.DUMMYFUNCTION("IF(IF(T$1="""","""",REGEXMATCH(LOWER($E376),XLOOKUP(T$1,Metadata!$A$2:$A1000,Metadata!$B$2:$B1000))),T$1,"""")"),"")</f>
        <v/>
      </c>
      <c r="U376" s="34" t="str">
        <f>IFERROR(__xludf.DUMMYFUNCTION("IF(IF(U$1="""","""",REGEXMATCH(LOWER($E376),XLOOKUP(U$1,Metadata!$A$2:$A1000,Metadata!$B$2:$B1000))),U$1,"""")"),"")</f>
        <v/>
      </c>
      <c r="V376" s="34" t="str">
        <f>IFERROR(__xludf.DUMMYFUNCTION("IF(IF(V$1="""","""",REGEXMATCH(LOWER($E376),XLOOKUP(V$1,Metadata!$A$2:$A1000,Metadata!$B$2:$B1000))),V$1,"""")"),"")</f>
        <v/>
      </c>
      <c r="W376" s="34" t="str">
        <f>IFERROR(__xludf.DUMMYFUNCTION("IF(IF(W$1="""","""",REGEXMATCH(LOWER($E376),XLOOKUP(W$1,Metadata!$A$2:$A1000,Metadata!$B$2:$B1000))),W$1,"""")"),"")</f>
        <v/>
      </c>
      <c r="X376" s="34" t="str">
        <f>IFERROR(__xludf.DUMMYFUNCTION("IF(IF(X$1="""","""",REGEXMATCH(LOWER($E376),XLOOKUP(X$1,Metadata!$A$2:$A1000,Metadata!$B$2:$B1000))),X$1,"""")"),"")</f>
        <v/>
      </c>
      <c r="Y376" s="34" t="str">
        <f>IFERROR(__xludf.DUMMYFUNCTION("IF(IF(Y$1="""","""",REGEXMATCH(LOWER($E376),XLOOKUP(Y$1,Metadata!$A$2:$A1000,Metadata!$B$2:$B1000))),Y$1,"""")"),"")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I377">XLOOKUP($A377,Cards!$A$2:$A1000,Cards!$B$2:$I1000,"")</f>
        <v>Divine</v>
      </c>
      <c r="C377" s="34">
        <v>3.0</v>
      </c>
      <c r="D377" s="34" t="s">
        <v>80</v>
      </c>
      <c r="E377" s="34" t="s">
        <v>2076</v>
      </c>
      <c r="F377" s="34" t="s">
        <v>2944</v>
      </c>
      <c r="G377" s="34">
        <v>0.0</v>
      </c>
      <c r="H377" s="34" t="s">
        <v>187</v>
      </c>
      <c r="I377" s="34" t="s">
        <v>70</v>
      </c>
      <c r="J377" s="34">
        <f>IFERROR(__xludf.DUMMYFUNCTION("LEN(REGEXREPLACE(XLOOKUP($A377,Cards!$A$2:$A1000,Cards!$H$2:$H1000,""""),"",\s"",""""))"),7.0)</f>
        <v>7</v>
      </c>
      <c r="K377" s="34" t="str">
        <f t="shared" si="1"/>
        <v>     Unearth  Control     Ambush   </v>
      </c>
      <c r="L377" s="34" t="str">
        <f>IFERROR(__xludf.DUMMYFUNCTION("IF(IF(L$1="""","""",REGEXMATCH(LOWER($E377),XLOOKUP(L$1,Metadata!$A$2:$A1000,Metadata!$B$2:$B1000))),L$1,"""")"),"")</f>
        <v/>
      </c>
      <c r="M377" s="34" t="str">
        <f>IFERROR(__xludf.DUMMYFUNCTION("IF(IF(M$1="""","""",REGEXMATCH(LOWER($E377),XLOOKUP(M$1,Metadata!$A$2:$A1000,Metadata!$B$2:$B1000))),M$1,"""")"),"")</f>
        <v/>
      </c>
      <c r="N377" s="34" t="str">
        <f>IFERROR(__xludf.DUMMYFUNCTION("IF(IF(N$1="""","""",REGEXMATCH(LOWER($E377),XLOOKUP(N$1,Metadata!$A$2:$A1000,Metadata!$B$2:$B1000))),N$1,"""")"),"")</f>
        <v/>
      </c>
      <c r="O377" s="34" t="str">
        <f>IFERROR(__xludf.DUMMYFUNCTION("IF(IF(O$1="""","""",REGEXMATCH(LOWER($E377),XLOOKUP(O$1,Metadata!$A$2:$A1000,Metadata!$B$2:$B1000))),O$1,"""")"),"")</f>
        <v/>
      </c>
      <c r="P377" s="34" t="str">
        <f>IFERROR(__xludf.DUMMYFUNCTION("IF(IF(P$1="""","""",REGEXMATCH(LOWER($E377),XLOOKUP(P$1,Metadata!$A$2:$A1000,Metadata!$B$2:$B1000))),P$1,"""")"),"")</f>
        <v/>
      </c>
      <c r="Q377" s="34" t="str">
        <f>IFERROR(__xludf.DUMMYFUNCTION("IF(IF(Q$1="""","""",REGEXMATCH(LOWER($E377),XLOOKUP(Q$1,Metadata!$A$2:$A1000,Metadata!$B$2:$B1000))),Q$1,"""")"),"Unearth")</f>
        <v>Unearth</v>
      </c>
      <c r="R377" s="34" t="str">
        <f>IFERROR(__xludf.DUMMYFUNCTION("IF(IF(R$1="""","""",REGEXMATCH(LOWER($E377),XLOOKUP(R$1,Metadata!$A$2:$A1000,Metadata!$B$2:$B1000))),R$1,"""")"),"")</f>
        <v/>
      </c>
      <c r="S377" s="34" t="str">
        <f>IFERROR(__xludf.DUMMYFUNCTION("IF(IF(S$1="""","""",REGEXMATCH(LOWER($E377),XLOOKUP(S$1,Metadata!$A$2:$A1000,Metadata!$B$2:$B1000))),S$1,"""")"),"Control")</f>
        <v>Control</v>
      </c>
      <c r="T377" s="34" t="str">
        <f>IFERROR(__xludf.DUMMYFUNCTION("IF(IF(T$1="""","""",REGEXMATCH(LOWER($E377),XLOOKUP(T$1,Metadata!$A$2:$A1000,Metadata!$B$2:$B1000))),T$1,"""")"),"")</f>
        <v/>
      </c>
      <c r="U377" s="34" t="str">
        <f>IFERROR(__xludf.DUMMYFUNCTION("IF(IF(U$1="""","""",REGEXMATCH(LOWER($E377),XLOOKUP(U$1,Metadata!$A$2:$A1000,Metadata!$B$2:$B1000))),U$1,"""")"),"")</f>
        <v/>
      </c>
      <c r="V377" s="34" t="str">
        <f>IFERROR(__xludf.DUMMYFUNCTION("IF(IF(V$1="""","""",REGEXMATCH(LOWER($E377),XLOOKUP(V$1,Metadata!$A$2:$A1000,Metadata!$B$2:$B1000))),V$1,"""")"),"")</f>
        <v/>
      </c>
      <c r="W377" s="34" t="str">
        <f>IFERROR(__xludf.DUMMYFUNCTION("IF(IF(W$1="""","""",REGEXMATCH(LOWER($E377),XLOOKUP(W$1,Metadata!$A$2:$A1000,Metadata!$B$2:$B1000))),W$1,"""")"),"")</f>
        <v/>
      </c>
      <c r="X377" s="34" t="str">
        <f>IFERROR(__xludf.DUMMYFUNCTION("IF(IF(X$1="""","""",REGEXMATCH(LOWER($E377),XLOOKUP(X$1,Metadata!$A$2:$A1000,Metadata!$B$2:$B1000))),X$1,"""")"),"Ambush")</f>
        <v>Ambush</v>
      </c>
      <c r="Y377" s="34" t="str">
        <f>IFERROR(__xludf.DUMMYFUNCTION("IF(IF(Y$1="""","""",REGEXMATCH(LOWER($E377),XLOOKUP(Y$1,Metadata!$A$2:$A1000,Metadata!$B$2:$B1000))),Y$1,"""")"),"")</f>
        <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I378">XLOOKUP($A378,Cards!$A$2:$A1000,Cards!$B$2:$I1000,"")</f>
        <v>Elemental</v>
      </c>
      <c r="C378" s="34">
        <v>3.0</v>
      </c>
      <c r="D378" s="34" t="s">
        <v>2078</v>
      </c>
      <c r="E378" s="34" t="s">
        <v>2079</v>
      </c>
      <c r="F378" s="34"/>
      <c r="G378" s="34">
        <v>2.0</v>
      </c>
      <c r="H378" s="34" t="s">
        <v>586</v>
      </c>
      <c r="I378" s="34" t="s">
        <v>70</v>
      </c>
      <c r="J378" s="34">
        <f>IFERROR(__xludf.DUMMYFUNCTION("LEN(REGEXREPLACE(XLOOKUP($A378,Cards!$A$2:$A1000,Cards!$H$2:$H1000,""""),"",\s"",""""))"),2.0)</f>
        <v>2</v>
      </c>
      <c r="K378" s="34" t="str">
        <f t="shared" si="1"/>
        <v>         Aggro      </v>
      </c>
      <c r="L378" s="34" t="str">
        <f>IFERROR(__xludf.DUMMYFUNCTION("IF(IF(L$1="""","""",REGEXMATCH(LOWER($E378),XLOOKUP(L$1,Metadata!$A$2:$A1000,Metadata!$B$2:$B1000))),L$1,"""")"),"")</f>
        <v/>
      </c>
      <c r="M378" s="34" t="str">
        <f>IFERROR(__xludf.DUMMYFUNCTION("IF(IF(M$1="""","""",REGEXMATCH(LOWER($E378),XLOOKUP(M$1,Metadata!$A$2:$A1000,Metadata!$B$2:$B1000))),M$1,"""")"),"")</f>
        <v/>
      </c>
      <c r="N378" s="34" t="str">
        <f>IFERROR(__xludf.DUMMYFUNCTION("IF(IF(N$1="""","""",REGEXMATCH(LOWER($E378),XLOOKUP(N$1,Metadata!$A$2:$A1000,Metadata!$B$2:$B1000))),N$1,"""")"),"")</f>
        <v/>
      </c>
      <c r="O378" s="34" t="str">
        <f>IFERROR(__xludf.DUMMYFUNCTION("IF(IF(O$1="""","""",REGEXMATCH(LOWER($E378),XLOOKUP(O$1,Metadata!$A$2:$A1000,Metadata!$B$2:$B1000))),O$1,"""")"),"")</f>
        <v/>
      </c>
      <c r="P378" s="34" t="str">
        <f>IFERROR(__xludf.DUMMYFUNCTION("IF(IF(P$1="""","""",REGEXMATCH(LOWER($E378),XLOOKUP(P$1,Metadata!$A$2:$A1000,Metadata!$B$2:$B1000))),P$1,"""")"),"")</f>
        <v/>
      </c>
      <c r="Q378" s="34" t="str">
        <f>IFERROR(__xludf.DUMMYFUNCTION("IF(IF(Q$1="""","""",REGEXMATCH(LOWER($E378),XLOOKUP(Q$1,Metadata!$A$2:$A1000,Metadata!$B$2:$B1000))),Q$1,"""")"),"")</f>
        <v/>
      </c>
      <c r="R378" s="34" t="str">
        <f>IFERROR(__xludf.DUMMYFUNCTION("IF(IF(R$1="""","""",REGEXMATCH(LOWER($E378),XLOOKUP(R$1,Metadata!$A$2:$A1000,Metadata!$B$2:$B1000))),R$1,"""")"),"")</f>
        <v/>
      </c>
      <c r="S378" s="34" t="str">
        <f>IFERROR(__xludf.DUMMYFUNCTION("IF(IF(S$1="""","""",REGEXMATCH(LOWER($E378),XLOOKUP(S$1,Metadata!$A$2:$A1000,Metadata!$B$2:$B1000))),S$1,"""")"),"")</f>
        <v/>
      </c>
      <c r="T378" s="34" t="str">
        <f>IFERROR(__xludf.DUMMYFUNCTION("IF(IF(T$1="""","""",REGEXMATCH(LOWER($E378),XLOOKUP(T$1,Metadata!$A$2:$A1000,Metadata!$B$2:$B1000))),T$1,"""")"),"")</f>
        <v/>
      </c>
      <c r="U378" s="34" t="str">
        <f>IFERROR(__xludf.DUMMYFUNCTION("IF(IF(U$1="""","""",REGEXMATCH(LOWER($E378),XLOOKUP(U$1,Metadata!$A$2:$A1000,Metadata!$B$2:$B1000))),U$1,"""")"),"Aggro")</f>
        <v>Aggro</v>
      </c>
      <c r="V378" s="34" t="str">
        <f>IFERROR(__xludf.DUMMYFUNCTION("IF(IF(V$1="""","""",REGEXMATCH(LOWER($E378),XLOOKUP(V$1,Metadata!$A$2:$A1000,Metadata!$B$2:$B1000))),V$1,"""")"),"")</f>
        <v/>
      </c>
      <c r="W378" s="34" t="str">
        <f>IFERROR(__xludf.DUMMYFUNCTION("IF(IF(W$1="""","""",REGEXMATCH(LOWER($E378),XLOOKUP(W$1,Metadata!$A$2:$A1000,Metadata!$B$2:$B1000))),W$1,"""")"),"")</f>
        <v/>
      </c>
      <c r="X378" s="34" t="str">
        <f>IFERROR(__xludf.DUMMYFUNCTION("IF(IF(X$1="""","""",REGEXMATCH(LOWER($E378),XLOOKUP(X$1,Metadata!$A$2:$A1000,Metadata!$B$2:$B1000))),X$1,"""")"),"")</f>
        <v/>
      </c>
      <c r="Y378" s="34" t="str">
        <f>IFERROR(__xludf.DUMMYFUNCTION("IF(IF(Y$1="""","""",REGEXMATCH(LOWER($E378),XLOOKUP(Y$1,Metadata!$A$2:$A1000,Metadata!$B$2:$B1000))),Y$1,"""")"),"")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I379">XLOOKUP($A379,Cards!$A$2:$A1000,Cards!$B$2:$I1000,"")</f>
        <v>Nature</v>
      </c>
      <c r="C379" s="34">
        <v>3.0</v>
      </c>
      <c r="D379" s="34" t="s">
        <v>80</v>
      </c>
      <c r="E379" s="34" t="s">
        <v>2081</v>
      </c>
      <c r="F379" s="34" t="s">
        <v>2944</v>
      </c>
      <c r="G379" s="34">
        <v>3.0</v>
      </c>
      <c r="H379" s="34" t="s">
        <v>1667</v>
      </c>
      <c r="I379" s="34" t="s">
        <v>32</v>
      </c>
      <c r="J379" s="34">
        <f>IFERROR(__xludf.DUMMYFUNCTION("LEN(REGEXREPLACE(XLOOKUP($A379,Cards!$A$2:$A1000,Cards!$H$2:$H1000,""""),"",\s"",""""))"),5.0)</f>
        <v>5</v>
      </c>
      <c r="K379" s="34" t="str">
        <f t="shared" si="1"/>
        <v>      Ramp   Aggro      </v>
      </c>
      <c r="L379" s="34" t="str">
        <f>IFERROR(__xludf.DUMMYFUNCTION("IF(IF(L$1="""","""",REGEXMATCH(LOWER($E379),XLOOKUP(L$1,Metadata!$A$2:$A1000,Metadata!$B$2:$B1000))),L$1,"""")"),"")</f>
        <v/>
      </c>
      <c r="M379" s="34" t="str">
        <f>IFERROR(__xludf.DUMMYFUNCTION("IF(IF(M$1="""","""",REGEXMATCH(LOWER($E379),XLOOKUP(M$1,Metadata!$A$2:$A1000,Metadata!$B$2:$B1000))),M$1,"""")"),"")</f>
        <v/>
      </c>
      <c r="N379" s="34" t="str">
        <f>IFERROR(__xludf.DUMMYFUNCTION("IF(IF(N$1="""","""",REGEXMATCH(LOWER($E379),XLOOKUP(N$1,Metadata!$A$2:$A1000,Metadata!$B$2:$B1000))),N$1,"""")"),"")</f>
        <v/>
      </c>
      <c r="O379" s="34" t="str">
        <f>IFERROR(__xludf.DUMMYFUNCTION("IF(IF(O$1="""","""",REGEXMATCH(LOWER($E379),XLOOKUP(O$1,Metadata!$A$2:$A1000,Metadata!$B$2:$B1000))),O$1,"""")"),"")</f>
        <v/>
      </c>
      <c r="P379" s="34" t="str">
        <f>IFERROR(__xludf.DUMMYFUNCTION("IF(IF(P$1="""","""",REGEXMATCH(LOWER($E379),XLOOKUP(P$1,Metadata!$A$2:$A1000,Metadata!$B$2:$B1000))),P$1,"""")"),"")</f>
        <v/>
      </c>
      <c r="Q379" s="34" t="str">
        <f>IFERROR(__xludf.DUMMYFUNCTION("IF(IF(Q$1="""","""",REGEXMATCH(LOWER($E379),XLOOKUP(Q$1,Metadata!$A$2:$A1000,Metadata!$B$2:$B1000))),Q$1,"""")"),"")</f>
        <v/>
      </c>
      <c r="R379" s="34" t="str">
        <f>IFERROR(__xludf.DUMMYFUNCTION("IF(IF(R$1="""","""",REGEXMATCH(LOWER($E379),XLOOKUP(R$1,Metadata!$A$2:$A1000,Metadata!$B$2:$B1000))),R$1,"""")"),"Ramp")</f>
        <v>Ramp</v>
      </c>
      <c r="S379" s="34" t="str">
        <f>IFERROR(__xludf.DUMMYFUNCTION("IF(IF(S$1="""","""",REGEXMATCH(LOWER($E379),XLOOKUP(S$1,Metadata!$A$2:$A1000,Metadata!$B$2:$B1000))),S$1,"""")"),"")</f>
        <v/>
      </c>
      <c r="T379" s="34" t="str">
        <f>IFERROR(__xludf.DUMMYFUNCTION("IF(IF(T$1="""","""",REGEXMATCH(LOWER($E379),XLOOKUP(T$1,Metadata!$A$2:$A1000,Metadata!$B$2:$B1000))),T$1,"""")"),"")</f>
        <v/>
      </c>
      <c r="U379" s="34" t="str">
        <f>IFERROR(__xludf.DUMMYFUNCTION("IF(IF(U$1="""","""",REGEXMATCH(LOWER($E379),XLOOKUP(U$1,Metadata!$A$2:$A1000,Metadata!$B$2:$B1000))),U$1,"""")"),"Aggro")</f>
        <v>Aggro</v>
      </c>
      <c r="V379" s="34" t="str">
        <f>IFERROR(__xludf.DUMMYFUNCTION("IF(IF(V$1="""","""",REGEXMATCH(LOWER($E379),XLOOKUP(V$1,Metadata!$A$2:$A1000,Metadata!$B$2:$B1000))),V$1,"""")"),"")</f>
        <v/>
      </c>
      <c r="W379" s="34" t="str">
        <f>IFERROR(__xludf.DUMMYFUNCTION("IF(IF(W$1="""","""",REGEXMATCH(LOWER($E379),XLOOKUP(W$1,Metadata!$A$2:$A1000,Metadata!$B$2:$B1000))),W$1,"""")"),"")</f>
        <v/>
      </c>
      <c r="X379" s="34" t="str">
        <f>IFERROR(__xludf.DUMMYFUNCTION("IF(IF(X$1="""","""",REGEXMATCH(LOWER($E379),XLOOKUP(X$1,Metadata!$A$2:$A1000,Metadata!$B$2:$B1000))),X$1,"""")"),"")</f>
        <v/>
      </c>
      <c r="Y379" s="34" t="str">
        <f>IFERROR(__xludf.DUMMYFUNCTION("IF(IF(Y$1="""","""",REGEXMATCH(LOWER($E379),XLOOKUP(Y$1,Metadata!$A$2:$A1000,Metadata!$B$2:$B1000))),Y$1,"""")"),"")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I380">XLOOKUP($A380,Cards!$A$2:$A1000,Cards!$B$2:$I1000,"")</f>
        <v>Divine</v>
      </c>
      <c r="C380" s="34">
        <v>3.0</v>
      </c>
      <c r="D380" s="34" t="s">
        <v>408</v>
      </c>
      <c r="E380" s="34" t="s">
        <v>2084</v>
      </c>
      <c r="F380" s="34" t="s">
        <v>2945</v>
      </c>
      <c r="G380" s="34">
        <v>3.0</v>
      </c>
      <c r="H380" s="34" t="s">
        <v>158</v>
      </c>
      <c r="I380" s="34" t="s">
        <v>26</v>
      </c>
      <c r="J380" s="34">
        <f>IFERROR(__xludf.DUMMYFUNCTION("LEN(REGEXREPLACE(XLOOKUP($A380,Cards!$A$2:$A1000,Cards!$H$2:$H1000,""""),"",\s"",""""))"),4.0)</f>
        <v>4</v>
      </c>
      <c r="K380" s="34" t="str">
        <f t="shared" si="1"/>
        <v>     Unearth      Move Ambush   </v>
      </c>
      <c r="L380" s="34" t="str">
        <f>IFERROR(__xludf.DUMMYFUNCTION("IF(IF(L$1="""","""",REGEXMATCH(LOWER($E380),XLOOKUP(L$1,Metadata!$A$2:$A1000,Metadata!$B$2:$B1000))),L$1,"""")"),"")</f>
        <v/>
      </c>
      <c r="M380" s="34" t="str">
        <f>IFERROR(__xludf.DUMMYFUNCTION("IF(IF(M$1="""","""",REGEXMATCH(LOWER($E380),XLOOKUP(M$1,Metadata!$A$2:$A1000,Metadata!$B$2:$B1000))),M$1,"""")"),"")</f>
        <v/>
      </c>
      <c r="N380" s="34" t="str">
        <f>IFERROR(__xludf.DUMMYFUNCTION("IF(IF(N$1="""","""",REGEXMATCH(LOWER($E380),XLOOKUP(N$1,Metadata!$A$2:$A1000,Metadata!$B$2:$B1000))),N$1,"""")"),"")</f>
        <v/>
      </c>
      <c r="O380" s="34" t="str">
        <f>IFERROR(__xludf.DUMMYFUNCTION("IF(IF(O$1="""","""",REGEXMATCH(LOWER($E380),XLOOKUP(O$1,Metadata!$A$2:$A1000,Metadata!$B$2:$B1000))),O$1,"""")"),"")</f>
        <v/>
      </c>
      <c r="P380" s="34" t="str">
        <f>IFERROR(__xludf.DUMMYFUNCTION("IF(IF(P$1="""","""",REGEXMATCH(LOWER($E380),XLOOKUP(P$1,Metadata!$A$2:$A1000,Metadata!$B$2:$B1000))),P$1,"""")"),"")</f>
        <v/>
      </c>
      <c r="Q380" s="34" t="str">
        <f>IFERROR(__xludf.DUMMYFUNCTION("IF(IF(Q$1="""","""",REGEXMATCH(LOWER($E380),XLOOKUP(Q$1,Metadata!$A$2:$A1000,Metadata!$B$2:$B1000))),Q$1,"""")"),"Unearth")</f>
        <v>Unearth</v>
      </c>
      <c r="R380" s="34" t="str">
        <f>IFERROR(__xludf.DUMMYFUNCTION("IF(IF(R$1="""","""",REGEXMATCH(LOWER($E380),XLOOKUP(R$1,Metadata!$A$2:$A1000,Metadata!$B$2:$B1000))),R$1,"""")"),"")</f>
        <v/>
      </c>
      <c r="S380" s="34" t="str">
        <f>IFERROR(__xludf.DUMMYFUNCTION("IF(IF(S$1="""","""",REGEXMATCH(LOWER($E380),XLOOKUP(S$1,Metadata!$A$2:$A1000,Metadata!$B$2:$B1000))),S$1,"""")"),"")</f>
        <v/>
      </c>
      <c r="T380" s="34" t="str">
        <f>IFERROR(__xludf.DUMMYFUNCTION("IF(IF(T$1="""","""",REGEXMATCH(LOWER($E380),XLOOKUP(T$1,Metadata!$A$2:$A1000,Metadata!$B$2:$B1000))),T$1,"""")"),"")</f>
        <v/>
      </c>
      <c r="U380" s="34" t="str">
        <f>IFERROR(__xludf.DUMMYFUNCTION("IF(IF(U$1="""","""",REGEXMATCH(LOWER($E380),XLOOKUP(U$1,Metadata!$A$2:$A1000,Metadata!$B$2:$B1000))),U$1,"""")"),"")</f>
        <v/>
      </c>
      <c r="V380" s="34" t="str">
        <f>IFERROR(__xludf.DUMMYFUNCTION("IF(IF(V$1="""","""",REGEXMATCH(LOWER($E380),XLOOKUP(V$1,Metadata!$A$2:$A1000,Metadata!$B$2:$B1000))),V$1,"""")"),"")</f>
        <v/>
      </c>
      <c r="W380" s="34" t="str">
        <f>IFERROR(__xludf.DUMMYFUNCTION("IF(IF(W$1="""","""",REGEXMATCH(LOWER($E380),XLOOKUP(W$1,Metadata!$A$2:$A1000,Metadata!$B$2:$B1000))),W$1,"""")"),"Move")</f>
        <v>Move</v>
      </c>
      <c r="X380" s="34" t="str">
        <f>IFERROR(__xludf.DUMMYFUNCTION("IF(IF(X$1="""","""",REGEXMATCH(LOWER($E380),XLOOKUP(X$1,Metadata!$A$2:$A1000,Metadata!$B$2:$B1000))),X$1,"""")"),"Ambush")</f>
        <v>Ambush</v>
      </c>
      <c r="Y380" s="34" t="str">
        <f>IFERROR(__xludf.DUMMYFUNCTION("IF(IF(Y$1="""","""",REGEXMATCH(LOWER($E380),XLOOKUP(Y$1,Metadata!$A$2:$A1000,Metadata!$B$2:$B1000))),Y$1,"""")"),"")</f>
        <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I381">XLOOKUP($A381,Cards!$A$2:$A1000,Cards!$B$2:$I1000,"")</f>
        <v>Divine</v>
      </c>
      <c r="C381" s="34">
        <v>3.0</v>
      </c>
      <c r="D381" s="34" t="s">
        <v>2086</v>
      </c>
      <c r="E381" s="34" t="s">
        <v>2087</v>
      </c>
      <c r="F381" s="34" t="s">
        <v>2944</v>
      </c>
      <c r="G381" s="34">
        <v>5.0</v>
      </c>
      <c r="H381" s="34" t="s">
        <v>62</v>
      </c>
      <c r="I381" s="34" t="s">
        <v>26</v>
      </c>
      <c r="J381" s="34">
        <f>IFERROR(__xludf.DUMMYFUNCTION("LEN(REGEXREPLACE(XLOOKUP($A381,Cards!$A$2:$A1000,Cards!$H$2:$H1000,""""),"",\s"",""""))"),6.0)</f>
        <v>6</v>
      </c>
      <c r="K381" s="34" t="str">
        <f t="shared" si="1"/>
        <v>               </v>
      </c>
      <c r="L381" s="34" t="str">
        <f>IFERROR(__xludf.DUMMYFUNCTION("IF(IF(L$1="""","""",REGEXMATCH(LOWER($E381),XLOOKUP(L$1,Metadata!$A$2:$A1000,Metadata!$B$2:$B1000))),L$1,"""")"),"")</f>
        <v/>
      </c>
      <c r="M381" s="34" t="str">
        <f>IFERROR(__xludf.DUMMYFUNCTION("IF(IF(M$1="""","""",REGEXMATCH(LOWER($E381),XLOOKUP(M$1,Metadata!$A$2:$A1000,Metadata!$B$2:$B1000))),M$1,"""")"),"")</f>
        <v/>
      </c>
      <c r="N381" s="34" t="str">
        <f>IFERROR(__xludf.DUMMYFUNCTION("IF(IF(N$1="""","""",REGEXMATCH(LOWER($E381),XLOOKUP(N$1,Metadata!$A$2:$A1000,Metadata!$B$2:$B1000))),N$1,"""")"),"")</f>
        <v/>
      </c>
      <c r="O381" s="34" t="str">
        <f>IFERROR(__xludf.DUMMYFUNCTION("IF(IF(O$1="""","""",REGEXMATCH(LOWER($E381),XLOOKUP(O$1,Metadata!$A$2:$A1000,Metadata!$B$2:$B1000))),O$1,"""")"),"")</f>
        <v/>
      </c>
      <c r="P381" s="34" t="str">
        <f>IFERROR(__xludf.DUMMYFUNCTION("IF(IF(P$1="""","""",REGEXMATCH(LOWER($E381),XLOOKUP(P$1,Metadata!$A$2:$A1000,Metadata!$B$2:$B1000))),P$1,"""")"),"")</f>
        <v/>
      </c>
      <c r="Q381" s="34" t="str">
        <f>IFERROR(__xludf.DUMMYFUNCTION("IF(IF(Q$1="""","""",REGEXMATCH(LOWER($E381),XLOOKUP(Q$1,Metadata!$A$2:$A1000,Metadata!$B$2:$B1000))),Q$1,"""")"),"")</f>
        <v/>
      </c>
      <c r="R381" s="34" t="str">
        <f>IFERROR(__xludf.DUMMYFUNCTION("IF(IF(R$1="""","""",REGEXMATCH(LOWER($E381),XLOOKUP(R$1,Metadata!$A$2:$A1000,Metadata!$B$2:$B1000))),R$1,"""")"),"")</f>
        <v/>
      </c>
      <c r="S381" s="34" t="str">
        <f>IFERROR(__xludf.DUMMYFUNCTION("IF(IF(S$1="""","""",REGEXMATCH(LOWER($E381),XLOOKUP(S$1,Metadata!$A$2:$A1000,Metadata!$B$2:$B1000))),S$1,"""")"),"")</f>
        <v/>
      </c>
      <c r="T381" s="34" t="str">
        <f>IFERROR(__xludf.DUMMYFUNCTION("IF(IF(T$1="""","""",REGEXMATCH(LOWER($E381),XLOOKUP(T$1,Metadata!$A$2:$A1000,Metadata!$B$2:$B1000))),T$1,"""")"),"")</f>
        <v/>
      </c>
      <c r="U381" s="34" t="str">
        <f>IFERROR(__xludf.DUMMYFUNCTION("IF(IF(U$1="""","""",REGEXMATCH(LOWER($E381),XLOOKUP(U$1,Metadata!$A$2:$A1000,Metadata!$B$2:$B1000))),U$1,"""")"),"")</f>
        <v/>
      </c>
      <c r="V381" s="34" t="str">
        <f>IFERROR(__xludf.DUMMYFUNCTION("IF(IF(V$1="""","""",REGEXMATCH(LOWER($E381),XLOOKUP(V$1,Metadata!$A$2:$A1000,Metadata!$B$2:$B1000))),V$1,"""")"),"")</f>
        <v/>
      </c>
      <c r="W381" s="34" t="str">
        <f>IFERROR(__xludf.DUMMYFUNCTION("IF(IF(W$1="""","""",REGEXMATCH(LOWER($E381),XLOOKUP(W$1,Metadata!$A$2:$A1000,Metadata!$B$2:$B1000))),W$1,"""")"),"")</f>
        <v/>
      </c>
      <c r="X381" s="34" t="str">
        <f>IFERROR(__xludf.DUMMYFUNCTION("IF(IF(X$1="""","""",REGEXMATCH(LOWER($E381),XLOOKUP(X$1,Metadata!$A$2:$A1000,Metadata!$B$2:$B1000))),X$1,"""")"),"")</f>
        <v/>
      </c>
      <c r="Y381" s="34" t="str">
        <f>IFERROR(__xludf.DUMMYFUNCTION("IF(IF(Y$1="""","""",REGEXMATCH(LOWER($E381),XLOOKUP(Y$1,Metadata!$A$2:$A1000,Metadata!$B$2:$B1000))),Y$1,"""")"),"")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I382">XLOOKUP($A382,Cards!$A$2:$A1000,Cards!$B$2:$I1000,"")</f>
        <v>Divine Void</v>
      </c>
      <c r="C382" s="34">
        <v>3.0</v>
      </c>
      <c r="D382" s="34" t="s">
        <v>1446</v>
      </c>
      <c r="E382" s="34" t="s">
        <v>2089</v>
      </c>
      <c r="F382" s="34" t="s">
        <v>2944</v>
      </c>
      <c r="G382" s="34"/>
      <c r="H382" s="34"/>
      <c r="I382" s="34" t="s">
        <v>70</v>
      </c>
      <c r="J382" s="34">
        <f>IFERROR(__xludf.DUMMYFUNCTION("LEN(REGEXREPLACE(XLOOKUP($A382,Cards!$A$2:$A1000,Cards!$H$2:$H1000,""""),"",\s"",""""))"),0.0)</f>
        <v>0</v>
      </c>
      <c r="K382" s="34" t="str">
        <f t="shared" si="1"/>
        <v>               </v>
      </c>
      <c r="L382" s="34" t="str">
        <f>IFERROR(__xludf.DUMMYFUNCTION("IF(IF(L$1="""","""",REGEXMATCH(LOWER($E382),XLOOKUP(L$1,Metadata!$A$2:$A1000,Metadata!$B$2:$B1000))),L$1,"""")"),"")</f>
        <v/>
      </c>
      <c r="M382" s="34" t="str">
        <f>IFERROR(__xludf.DUMMYFUNCTION("IF(IF(M$1="""","""",REGEXMATCH(LOWER($E382),XLOOKUP(M$1,Metadata!$A$2:$A1000,Metadata!$B$2:$B1000))),M$1,"""")"),"")</f>
        <v/>
      </c>
      <c r="N382" s="34" t="str">
        <f>IFERROR(__xludf.DUMMYFUNCTION("IF(IF(N$1="""","""",REGEXMATCH(LOWER($E382),XLOOKUP(N$1,Metadata!$A$2:$A1000,Metadata!$B$2:$B1000))),N$1,"""")"),"")</f>
        <v/>
      </c>
      <c r="O382" s="34" t="str">
        <f>IFERROR(__xludf.DUMMYFUNCTION("IF(IF(O$1="""","""",REGEXMATCH(LOWER($E382),XLOOKUP(O$1,Metadata!$A$2:$A1000,Metadata!$B$2:$B1000))),O$1,"""")"),"")</f>
        <v/>
      </c>
      <c r="P382" s="34" t="str">
        <f>IFERROR(__xludf.DUMMYFUNCTION("IF(IF(P$1="""","""",REGEXMATCH(LOWER($E382),XLOOKUP(P$1,Metadata!$A$2:$A1000,Metadata!$B$2:$B1000))),P$1,"""")"),"")</f>
        <v/>
      </c>
      <c r="Q382" s="34" t="str">
        <f>IFERROR(__xludf.DUMMYFUNCTION("IF(IF(Q$1="""","""",REGEXMATCH(LOWER($E382),XLOOKUP(Q$1,Metadata!$A$2:$A1000,Metadata!$B$2:$B1000))),Q$1,"""")"),"")</f>
        <v/>
      </c>
      <c r="R382" s="34" t="str">
        <f>IFERROR(__xludf.DUMMYFUNCTION("IF(IF(R$1="""","""",REGEXMATCH(LOWER($E382),XLOOKUP(R$1,Metadata!$A$2:$A1000,Metadata!$B$2:$B1000))),R$1,"""")"),"")</f>
        <v/>
      </c>
      <c r="S382" s="34" t="str">
        <f>IFERROR(__xludf.DUMMYFUNCTION("IF(IF(S$1="""","""",REGEXMATCH(LOWER($E382),XLOOKUP(S$1,Metadata!$A$2:$A1000,Metadata!$B$2:$B1000))),S$1,"""")"),"")</f>
        <v/>
      </c>
      <c r="T382" s="34" t="str">
        <f>IFERROR(__xludf.DUMMYFUNCTION("IF(IF(T$1="""","""",REGEXMATCH(LOWER($E382),XLOOKUP(T$1,Metadata!$A$2:$A1000,Metadata!$B$2:$B1000))),T$1,"""")"),"")</f>
        <v/>
      </c>
      <c r="U382" s="34" t="str">
        <f>IFERROR(__xludf.DUMMYFUNCTION("IF(IF(U$1="""","""",REGEXMATCH(LOWER($E382),XLOOKUP(U$1,Metadata!$A$2:$A1000,Metadata!$B$2:$B1000))),U$1,"""")"),"")</f>
        <v/>
      </c>
      <c r="V382" s="34" t="str">
        <f>IFERROR(__xludf.DUMMYFUNCTION("IF(IF(V$1="""","""",REGEXMATCH(LOWER($E382),XLOOKUP(V$1,Metadata!$A$2:$A1000,Metadata!$B$2:$B1000))),V$1,"""")"),"")</f>
        <v/>
      </c>
      <c r="W382" s="34" t="str">
        <f>IFERROR(__xludf.DUMMYFUNCTION("IF(IF(W$1="""","""",REGEXMATCH(LOWER($E382),XLOOKUP(W$1,Metadata!$A$2:$A1000,Metadata!$B$2:$B1000))),W$1,"""")"),"")</f>
        <v/>
      </c>
      <c r="X382" s="34" t="str">
        <f>IFERROR(__xludf.DUMMYFUNCTION("IF(IF(X$1="""","""",REGEXMATCH(LOWER($E382),XLOOKUP(X$1,Metadata!$A$2:$A1000,Metadata!$B$2:$B1000))),X$1,"""")"),"")</f>
        <v/>
      </c>
      <c r="Y382" s="34" t="str">
        <f>IFERROR(__xludf.DUMMYFUNCTION("IF(IF(Y$1="""","""",REGEXMATCH(LOWER($E382),XLOOKUP(Y$1,Metadata!$A$2:$A1000,Metadata!$B$2:$B1000))),Y$1,"""")"),"")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I383">XLOOKUP($A383,Cards!$A$2:$A1000,Cards!$B$2:$I1000,"")</f>
        <v>Elemental</v>
      </c>
      <c r="C383" s="34">
        <v>3.0</v>
      </c>
      <c r="D383" s="34" t="s">
        <v>433</v>
      </c>
      <c r="E383" s="34" t="s">
        <v>2091</v>
      </c>
      <c r="F383" s="34" t="s">
        <v>2946</v>
      </c>
      <c r="G383" s="34"/>
      <c r="H383" s="34"/>
      <c r="I383" s="34" t="s">
        <v>70</v>
      </c>
      <c r="J383" s="34">
        <f>IFERROR(__xludf.DUMMYFUNCTION("LEN(REGEXREPLACE(XLOOKUP($A383,Cards!$A$2:$A1000,Cards!$H$2:$H1000,""""),"",\s"",""""))"),0.0)</f>
        <v>0</v>
      </c>
      <c r="K383" s="34" t="str">
        <f t="shared" si="1"/>
        <v>      Ramp  Copy       </v>
      </c>
      <c r="L383" s="34" t="str">
        <f>IFERROR(__xludf.DUMMYFUNCTION("IF(IF(L$1="""","""",REGEXMATCH(LOWER($E383),XLOOKUP(L$1,Metadata!$A$2:$A1000,Metadata!$B$2:$B1000))),L$1,"""")"),"")</f>
        <v/>
      </c>
      <c r="M383" s="34" t="str">
        <f>IFERROR(__xludf.DUMMYFUNCTION("IF(IF(M$1="""","""",REGEXMATCH(LOWER($E383),XLOOKUP(M$1,Metadata!$A$2:$A1000,Metadata!$B$2:$B1000))),M$1,"""")"),"")</f>
        <v/>
      </c>
      <c r="N383" s="34" t="str">
        <f>IFERROR(__xludf.DUMMYFUNCTION("IF(IF(N$1="""","""",REGEXMATCH(LOWER($E383),XLOOKUP(N$1,Metadata!$A$2:$A1000,Metadata!$B$2:$B1000))),N$1,"""")"),"")</f>
        <v/>
      </c>
      <c r="O383" s="34" t="str">
        <f>IFERROR(__xludf.DUMMYFUNCTION("IF(IF(O$1="""","""",REGEXMATCH(LOWER($E383),XLOOKUP(O$1,Metadata!$A$2:$A1000,Metadata!$B$2:$B1000))),O$1,"""")"),"")</f>
        <v/>
      </c>
      <c r="P383" s="34" t="str">
        <f>IFERROR(__xludf.DUMMYFUNCTION("IF(IF(P$1="""","""",REGEXMATCH(LOWER($E383),XLOOKUP(P$1,Metadata!$A$2:$A1000,Metadata!$B$2:$B1000))),P$1,"""")"),"")</f>
        <v/>
      </c>
      <c r="Q383" s="34" t="str">
        <f>IFERROR(__xludf.DUMMYFUNCTION("IF(IF(Q$1="""","""",REGEXMATCH(LOWER($E383),XLOOKUP(Q$1,Metadata!$A$2:$A1000,Metadata!$B$2:$B1000))),Q$1,"""")"),"")</f>
        <v/>
      </c>
      <c r="R383" s="34" t="str">
        <f>IFERROR(__xludf.DUMMYFUNCTION("IF(IF(R$1="""","""",REGEXMATCH(LOWER($E383),XLOOKUP(R$1,Metadata!$A$2:$A1000,Metadata!$B$2:$B1000))),R$1,"""")"),"Ramp")</f>
        <v>Ramp</v>
      </c>
      <c r="S383" s="34" t="str">
        <f>IFERROR(__xludf.DUMMYFUNCTION("IF(IF(S$1="""","""",REGEXMATCH(LOWER($E383),XLOOKUP(S$1,Metadata!$A$2:$A1000,Metadata!$B$2:$B1000))),S$1,"""")"),"")</f>
        <v/>
      </c>
      <c r="T383" s="34" t="str">
        <f>IFERROR(__xludf.DUMMYFUNCTION("IF(IF(T$1="""","""",REGEXMATCH(LOWER($E383),XLOOKUP(T$1,Metadata!$A$2:$A1000,Metadata!$B$2:$B1000))),T$1,"""")"),"Copy")</f>
        <v>Copy</v>
      </c>
      <c r="U383" s="34" t="str">
        <f>IFERROR(__xludf.DUMMYFUNCTION("IF(IF(U$1="""","""",REGEXMATCH(LOWER($E383),XLOOKUP(U$1,Metadata!$A$2:$A1000,Metadata!$B$2:$B1000))),U$1,"""")"),"")</f>
        <v/>
      </c>
      <c r="V383" s="34" t="str">
        <f>IFERROR(__xludf.DUMMYFUNCTION("IF(IF(V$1="""","""",REGEXMATCH(LOWER($E383),XLOOKUP(V$1,Metadata!$A$2:$A1000,Metadata!$B$2:$B1000))),V$1,"""")"),"")</f>
        <v/>
      </c>
      <c r="W383" s="34" t="str">
        <f>IFERROR(__xludf.DUMMYFUNCTION("IF(IF(W$1="""","""",REGEXMATCH(LOWER($E383),XLOOKUP(W$1,Metadata!$A$2:$A1000,Metadata!$B$2:$B1000))),W$1,"""")"),"")</f>
        <v/>
      </c>
      <c r="X383" s="34" t="str">
        <f>IFERROR(__xludf.DUMMYFUNCTION("IF(IF(X$1="""","""",REGEXMATCH(LOWER($E383),XLOOKUP(X$1,Metadata!$A$2:$A1000,Metadata!$B$2:$B1000))),X$1,"""")"),"")</f>
        <v/>
      </c>
      <c r="Y383" s="34" t="str">
        <f>IFERROR(__xludf.DUMMYFUNCTION("IF(IF(Y$1="""","""",REGEXMATCH(LOWER($E383),XLOOKUP(Y$1,Metadata!$A$2:$A1000,Metadata!$B$2:$B1000))),Y$1,"""")"),"")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I384">XLOOKUP($A384,Cards!$A$2:$A1000,Cards!$B$2:$I1000,"")</f>
        <v>Divine Mortal</v>
      </c>
      <c r="C384" s="34">
        <v>3.0</v>
      </c>
      <c r="D384" s="34" t="s">
        <v>155</v>
      </c>
      <c r="E384" s="34" t="s">
        <v>2093</v>
      </c>
      <c r="F384" s="34" t="s">
        <v>2947</v>
      </c>
      <c r="G384" s="34"/>
      <c r="H384" s="34"/>
      <c r="I384" s="34" t="s">
        <v>70</v>
      </c>
      <c r="J384" s="34">
        <f>IFERROR(__xludf.DUMMYFUNCTION("LEN(REGEXREPLACE(XLOOKUP($A384,Cards!$A$2:$A1000,Cards!$H$2:$H1000,""""),"",\s"",""""))"),0.0)</f>
        <v>0</v>
      </c>
      <c r="K384" s="34" t="str">
        <f t="shared" si="1"/>
        <v>  Mortal             </v>
      </c>
      <c r="L384" s="34" t="str">
        <f>IFERROR(__xludf.DUMMYFUNCTION("IF(IF(L$1="""","""",REGEXMATCH(LOWER($E384),XLOOKUP(L$1,Metadata!$A$2:$A1000,Metadata!$B$2:$B1000))),L$1,"""")"),"")</f>
        <v/>
      </c>
      <c r="M384" s="34" t="str">
        <f>IFERROR(__xludf.DUMMYFUNCTION("IF(IF(M$1="""","""",REGEXMATCH(LOWER($E384),XLOOKUP(M$1,Metadata!$A$2:$A1000,Metadata!$B$2:$B1000))),M$1,"""")"),"")</f>
        <v/>
      </c>
      <c r="N384" s="34" t="str">
        <f>IFERROR(__xludf.DUMMYFUNCTION("IF(IF(N$1="""","""",REGEXMATCH(LOWER($E384),XLOOKUP(N$1,Metadata!$A$2:$A1000,Metadata!$B$2:$B1000))),N$1,"""")"),"Mortal")</f>
        <v>Mortal</v>
      </c>
      <c r="O384" s="34" t="str">
        <f>IFERROR(__xludf.DUMMYFUNCTION("IF(IF(O$1="""","""",REGEXMATCH(LOWER($E384),XLOOKUP(O$1,Metadata!$A$2:$A1000,Metadata!$B$2:$B1000))),O$1,"""")"),"")</f>
        <v/>
      </c>
      <c r="P384" s="34" t="str">
        <f>IFERROR(__xludf.DUMMYFUNCTION("IF(IF(P$1="""","""",REGEXMATCH(LOWER($E384),XLOOKUP(P$1,Metadata!$A$2:$A1000,Metadata!$B$2:$B1000))),P$1,"""")"),"")</f>
        <v/>
      </c>
      <c r="Q384" s="34" t="str">
        <f>IFERROR(__xludf.DUMMYFUNCTION("IF(IF(Q$1="""","""",REGEXMATCH(LOWER($E384),XLOOKUP(Q$1,Metadata!$A$2:$A1000,Metadata!$B$2:$B1000))),Q$1,"""")"),"")</f>
        <v/>
      </c>
      <c r="R384" s="34" t="str">
        <f>IFERROR(__xludf.DUMMYFUNCTION("IF(IF(R$1="""","""",REGEXMATCH(LOWER($E384),XLOOKUP(R$1,Metadata!$A$2:$A1000,Metadata!$B$2:$B1000))),R$1,"""")"),"")</f>
        <v/>
      </c>
      <c r="S384" s="34" t="str">
        <f>IFERROR(__xludf.DUMMYFUNCTION("IF(IF(S$1="""","""",REGEXMATCH(LOWER($E384),XLOOKUP(S$1,Metadata!$A$2:$A1000,Metadata!$B$2:$B1000))),S$1,"""")"),"")</f>
        <v/>
      </c>
      <c r="T384" s="34" t="str">
        <f>IFERROR(__xludf.DUMMYFUNCTION("IF(IF(T$1="""","""",REGEXMATCH(LOWER($E384),XLOOKUP(T$1,Metadata!$A$2:$A1000,Metadata!$B$2:$B1000))),T$1,"""")"),"")</f>
        <v/>
      </c>
      <c r="U384" s="34" t="str">
        <f>IFERROR(__xludf.DUMMYFUNCTION("IF(IF(U$1="""","""",REGEXMATCH(LOWER($E384),XLOOKUP(U$1,Metadata!$A$2:$A1000,Metadata!$B$2:$B1000))),U$1,"""")"),"")</f>
        <v/>
      </c>
      <c r="V384" s="34" t="str">
        <f>IFERROR(__xludf.DUMMYFUNCTION("IF(IF(V$1="""","""",REGEXMATCH(LOWER($E384),XLOOKUP(V$1,Metadata!$A$2:$A1000,Metadata!$B$2:$B1000))),V$1,"""")"),"")</f>
        <v/>
      </c>
      <c r="W384" s="34" t="str">
        <f>IFERROR(__xludf.DUMMYFUNCTION("IF(IF(W$1="""","""",REGEXMATCH(LOWER($E384),XLOOKUP(W$1,Metadata!$A$2:$A1000,Metadata!$B$2:$B1000))),W$1,"""")"),"")</f>
        <v/>
      </c>
      <c r="X384" s="34" t="str">
        <f>IFERROR(__xludf.DUMMYFUNCTION("IF(IF(X$1="""","""",REGEXMATCH(LOWER($E384),XLOOKUP(X$1,Metadata!$A$2:$A1000,Metadata!$B$2:$B1000))),X$1,"""")"),"")</f>
        <v/>
      </c>
      <c r="Y384" s="34" t="str">
        <f>IFERROR(__xludf.DUMMYFUNCTION("IF(IF(Y$1="""","""",REGEXMATCH(LOWER($E384),XLOOKUP(Y$1,Metadata!$A$2:$A1000,Metadata!$B$2:$B1000))),Y$1,"""")"),"")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XLOOKUP($A385,Cards!$A$2:$A1000,Cards!$B$2:$I1000,"")</f>
        <v/>
      </c>
      <c r="C385" s="34"/>
      <c r="D385" s="34"/>
      <c r="E385" s="34"/>
      <c r="F385" s="34"/>
      <c r="G385" s="34"/>
      <c r="H385" s="34"/>
      <c r="I385" s="34"/>
      <c r="J385" s="34">
        <f>IFERROR(__xludf.DUMMYFUNCTION("LEN(REGEXREPLACE(XLOOKUP($A385,Cards!$A$2:$A1000,Cards!$H$2:$H1000,""""),"",\s"",""""))"),0.0)</f>
        <v>0</v>
      </c>
      <c r="K385" s="34" t="str">
        <f t="shared" si="1"/>
        <v>               </v>
      </c>
      <c r="L385" s="34" t="str">
        <f>IFERROR(__xludf.DUMMYFUNCTION("IF(IF(L$1="""","""",REGEXMATCH(LOWER($E385),XLOOKUP(L$1,Metadata!$A$2:$A1000,Metadata!$B$2:$B1000))),L$1,"""")"),"")</f>
        <v/>
      </c>
      <c r="M385" s="34" t="str">
        <f>IFERROR(__xludf.DUMMYFUNCTION("IF(IF(M$1="""","""",REGEXMATCH(LOWER($E385),XLOOKUP(M$1,Metadata!$A$2:$A1000,Metadata!$B$2:$B1000))),M$1,"""")"),"")</f>
        <v/>
      </c>
      <c r="N385" s="34" t="str">
        <f>IFERROR(__xludf.DUMMYFUNCTION("IF(IF(N$1="""","""",REGEXMATCH(LOWER($E385),XLOOKUP(N$1,Metadata!$A$2:$A1000,Metadata!$B$2:$B1000))),N$1,"""")"),"")</f>
        <v/>
      </c>
      <c r="O385" s="34" t="str">
        <f>IFERROR(__xludf.DUMMYFUNCTION("IF(IF(O$1="""","""",REGEXMATCH(LOWER($E385),XLOOKUP(O$1,Metadata!$A$2:$A1000,Metadata!$B$2:$B1000))),O$1,"""")"),"")</f>
        <v/>
      </c>
      <c r="P385" s="34" t="str">
        <f>IFERROR(__xludf.DUMMYFUNCTION("IF(IF(P$1="""","""",REGEXMATCH(LOWER($E385),XLOOKUP(P$1,Metadata!$A$2:$A1000,Metadata!$B$2:$B1000))),P$1,"""")"),"")</f>
        <v/>
      </c>
      <c r="Q385" s="34" t="str">
        <f>IFERROR(__xludf.DUMMYFUNCTION("IF(IF(Q$1="""","""",REGEXMATCH(LOWER($E385),XLOOKUP(Q$1,Metadata!$A$2:$A1000,Metadata!$B$2:$B1000))),Q$1,"""")"),"")</f>
        <v/>
      </c>
      <c r="R385" s="34" t="str">
        <f>IFERROR(__xludf.DUMMYFUNCTION("IF(IF(R$1="""","""",REGEXMATCH(LOWER($E385),XLOOKUP(R$1,Metadata!$A$2:$A1000,Metadata!$B$2:$B1000))),R$1,"""")"),"")</f>
        <v/>
      </c>
      <c r="S385" s="34" t="str">
        <f>IFERROR(__xludf.DUMMYFUNCTION("IF(IF(S$1="""","""",REGEXMATCH(LOWER($E385),XLOOKUP(S$1,Metadata!$A$2:$A1000,Metadata!$B$2:$B1000))),S$1,"""")"),"")</f>
        <v/>
      </c>
      <c r="T385" s="34" t="str">
        <f>IFERROR(__xludf.DUMMYFUNCTION("IF(IF(T$1="""","""",REGEXMATCH(LOWER($E385),XLOOKUP(T$1,Metadata!$A$2:$A1000,Metadata!$B$2:$B1000))),T$1,"""")"),"")</f>
        <v/>
      </c>
      <c r="U385" s="34" t="str">
        <f>IFERROR(__xludf.DUMMYFUNCTION("IF(IF(U$1="""","""",REGEXMATCH(LOWER($E385),XLOOKUP(U$1,Metadata!$A$2:$A1000,Metadata!$B$2:$B1000))),U$1,"""")"),"")</f>
        <v/>
      </c>
      <c r="V385" s="34" t="str">
        <f>IFERROR(__xludf.DUMMYFUNCTION("IF(IF(V$1="""","""",REGEXMATCH(LOWER($E385),XLOOKUP(V$1,Metadata!$A$2:$A1000,Metadata!$B$2:$B1000))),V$1,"""")"),"")</f>
        <v/>
      </c>
      <c r="W385" s="34" t="str">
        <f>IFERROR(__xludf.DUMMYFUNCTION("IF(IF(W$1="""","""",REGEXMATCH(LOWER($E385),XLOOKUP(W$1,Metadata!$A$2:$A1000,Metadata!$B$2:$B1000))),W$1,"""")"),"")</f>
        <v/>
      </c>
      <c r="X385" s="34" t="str">
        <f>IFERROR(__xludf.DUMMYFUNCTION("IF(IF(X$1="""","""",REGEXMATCH(LOWER($E385),XLOOKUP(X$1,Metadata!$A$2:$A1000,Metadata!$B$2:$B1000))),X$1,"""")"),"")</f>
        <v/>
      </c>
      <c r="Y385" s="34" t="str">
        <f>IFERROR(__xludf.DUMMYFUNCTION("IF(IF(Y$1="""","""",REGEXMATCH(LOWER($E385),XLOOKUP(Y$1,Metadata!$A$2:$A1000,Metadata!$B$2:$B1000))),Y$1,"""")"),"")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I386">XLOOKUP($A386,Cards!$A$2:$A1000,Cards!$B$2:$I1000,"")</f>
        <v>Nature</v>
      </c>
      <c r="C386" s="34">
        <v>3.0</v>
      </c>
      <c r="D386" s="34" t="s">
        <v>37</v>
      </c>
      <c r="E386" s="34" t="s">
        <v>2097</v>
      </c>
      <c r="F386" s="34"/>
      <c r="G386" s="34">
        <v>1.0</v>
      </c>
      <c r="H386" s="34" t="s">
        <v>1691</v>
      </c>
      <c r="I386" s="34" t="s">
        <v>26</v>
      </c>
      <c r="J386" s="34">
        <f>IFERROR(__xludf.DUMMYFUNCTION("LEN(REGEXREPLACE(XLOOKUP($A386,Cards!$A$2:$A1000,Cards!$H$2:$H1000,""""),"",\s"",""""))"),3.0)</f>
        <v>3</v>
      </c>
      <c r="K386" s="34" t="str">
        <f t="shared" si="1"/>
        <v>               </v>
      </c>
      <c r="L386" s="34" t="str">
        <f>IFERROR(__xludf.DUMMYFUNCTION("IF(IF(L$1="""","""",REGEXMATCH(LOWER($E386),XLOOKUP(L$1,Metadata!$A$2:$A1000,Metadata!$B$2:$B1000))),L$1,"""")"),"")</f>
        <v/>
      </c>
      <c r="M386" s="34" t="str">
        <f>IFERROR(__xludf.DUMMYFUNCTION("IF(IF(M$1="""","""",REGEXMATCH(LOWER($E386),XLOOKUP(M$1,Metadata!$A$2:$A1000,Metadata!$B$2:$B1000))),M$1,"""")"),"")</f>
        <v/>
      </c>
      <c r="N386" s="34" t="str">
        <f>IFERROR(__xludf.DUMMYFUNCTION("IF(IF(N$1="""","""",REGEXMATCH(LOWER($E386),XLOOKUP(N$1,Metadata!$A$2:$A1000,Metadata!$B$2:$B1000))),N$1,"""")"),"")</f>
        <v/>
      </c>
      <c r="O386" s="34" t="str">
        <f>IFERROR(__xludf.DUMMYFUNCTION("IF(IF(O$1="""","""",REGEXMATCH(LOWER($E386),XLOOKUP(O$1,Metadata!$A$2:$A1000,Metadata!$B$2:$B1000))),O$1,"""")"),"")</f>
        <v/>
      </c>
      <c r="P386" s="34" t="str">
        <f>IFERROR(__xludf.DUMMYFUNCTION("IF(IF(P$1="""","""",REGEXMATCH(LOWER($E386),XLOOKUP(P$1,Metadata!$A$2:$A1000,Metadata!$B$2:$B1000))),P$1,"""")"),"")</f>
        <v/>
      </c>
      <c r="Q386" s="34" t="str">
        <f>IFERROR(__xludf.DUMMYFUNCTION("IF(IF(Q$1="""","""",REGEXMATCH(LOWER($E386),XLOOKUP(Q$1,Metadata!$A$2:$A1000,Metadata!$B$2:$B1000))),Q$1,"""")"),"")</f>
        <v/>
      </c>
      <c r="R386" s="34" t="str">
        <f>IFERROR(__xludf.DUMMYFUNCTION("IF(IF(R$1="""","""",REGEXMATCH(LOWER($E386),XLOOKUP(R$1,Metadata!$A$2:$A1000,Metadata!$B$2:$B1000))),R$1,"""")"),"")</f>
        <v/>
      </c>
      <c r="S386" s="34" t="str">
        <f>IFERROR(__xludf.DUMMYFUNCTION("IF(IF(S$1="""","""",REGEXMATCH(LOWER($E386),XLOOKUP(S$1,Metadata!$A$2:$A1000,Metadata!$B$2:$B1000))),S$1,"""")"),"")</f>
        <v/>
      </c>
      <c r="T386" s="34" t="str">
        <f>IFERROR(__xludf.DUMMYFUNCTION("IF(IF(T$1="""","""",REGEXMATCH(LOWER($E386),XLOOKUP(T$1,Metadata!$A$2:$A1000,Metadata!$B$2:$B1000))),T$1,"""")"),"")</f>
        <v/>
      </c>
      <c r="U386" s="34" t="str">
        <f>IFERROR(__xludf.DUMMYFUNCTION("IF(IF(U$1="""","""",REGEXMATCH(LOWER($E386),XLOOKUP(U$1,Metadata!$A$2:$A1000,Metadata!$B$2:$B1000))),U$1,"""")"),"")</f>
        <v/>
      </c>
      <c r="V386" s="34" t="str">
        <f>IFERROR(__xludf.DUMMYFUNCTION("IF(IF(V$1="""","""",REGEXMATCH(LOWER($E386),XLOOKUP(V$1,Metadata!$A$2:$A1000,Metadata!$B$2:$B1000))),V$1,"""")"),"")</f>
        <v/>
      </c>
      <c r="W386" s="34" t="str">
        <f>IFERROR(__xludf.DUMMYFUNCTION("IF(IF(W$1="""","""",REGEXMATCH(LOWER($E386),XLOOKUP(W$1,Metadata!$A$2:$A1000,Metadata!$B$2:$B1000))),W$1,"""")"),"")</f>
        <v/>
      </c>
      <c r="X386" s="34" t="str">
        <f>IFERROR(__xludf.DUMMYFUNCTION("IF(IF(X$1="""","""",REGEXMATCH(LOWER($E386),XLOOKUP(X$1,Metadata!$A$2:$A1000,Metadata!$B$2:$B1000))),X$1,"""")"),"")</f>
        <v/>
      </c>
      <c r="Y386" s="34" t="str">
        <f>IFERROR(__xludf.DUMMYFUNCTION("IF(IF(Y$1="""","""",REGEXMATCH(LOWER($E386),XLOOKUP(Y$1,Metadata!$A$2:$A1000,Metadata!$B$2:$B1000))),Y$1,"""")"),"")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I387">XLOOKUP($A387,Cards!$A$2:$A1000,Cards!$B$2:$I1000,"")</f>
        <v>Mortal</v>
      </c>
      <c r="C387" s="34">
        <v>3.0</v>
      </c>
      <c r="D387" s="34" t="s">
        <v>697</v>
      </c>
      <c r="E387" s="34" t="s">
        <v>2100</v>
      </c>
      <c r="F387" s="34"/>
      <c r="G387" s="34"/>
      <c r="H387" s="34"/>
      <c r="I387" s="34"/>
      <c r="J387" s="34">
        <f>IFERROR(__xludf.DUMMYFUNCTION("LEN(REGEXREPLACE(XLOOKUP($A387,Cards!$A$2:$A1000,Cards!$H$2:$H1000,""""),"",\s"",""""))"),0.0)</f>
        <v>0</v>
      </c>
      <c r="K387" s="34" t="str">
        <f t="shared" si="1"/>
        <v>               </v>
      </c>
      <c r="L387" s="34" t="str">
        <f>IFERROR(__xludf.DUMMYFUNCTION("IF(IF(L$1="""","""",REGEXMATCH(LOWER($E387),XLOOKUP(L$1,Metadata!$A$2:$A1000,Metadata!$B$2:$B1000))),L$1,"""")"),"")</f>
        <v/>
      </c>
      <c r="M387" s="34" t="str">
        <f>IFERROR(__xludf.DUMMYFUNCTION("IF(IF(M$1="""","""",REGEXMATCH(LOWER($E387),XLOOKUP(M$1,Metadata!$A$2:$A1000,Metadata!$B$2:$B1000))),M$1,"""")"),"")</f>
        <v/>
      </c>
      <c r="N387" s="34" t="str">
        <f>IFERROR(__xludf.DUMMYFUNCTION("IF(IF(N$1="""","""",REGEXMATCH(LOWER($E387),XLOOKUP(N$1,Metadata!$A$2:$A1000,Metadata!$B$2:$B1000))),N$1,"""")"),"")</f>
        <v/>
      </c>
      <c r="O387" s="34" t="str">
        <f>IFERROR(__xludf.DUMMYFUNCTION("IF(IF(O$1="""","""",REGEXMATCH(LOWER($E387),XLOOKUP(O$1,Metadata!$A$2:$A1000,Metadata!$B$2:$B1000))),O$1,"""")"),"")</f>
        <v/>
      </c>
      <c r="P387" s="34" t="str">
        <f>IFERROR(__xludf.DUMMYFUNCTION("IF(IF(P$1="""","""",REGEXMATCH(LOWER($E387),XLOOKUP(P$1,Metadata!$A$2:$A1000,Metadata!$B$2:$B1000))),P$1,"""")"),"")</f>
        <v/>
      </c>
      <c r="Q387" s="34" t="str">
        <f>IFERROR(__xludf.DUMMYFUNCTION("IF(IF(Q$1="""","""",REGEXMATCH(LOWER($E387),XLOOKUP(Q$1,Metadata!$A$2:$A1000,Metadata!$B$2:$B1000))),Q$1,"""")"),"")</f>
        <v/>
      </c>
      <c r="R387" s="34" t="str">
        <f>IFERROR(__xludf.DUMMYFUNCTION("IF(IF(R$1="""","""",REGEXMATCH(LOWER($E387),XLOOKUP(R$1,Metadata!$A$2:$A1000,Metadata!$B$2:$B1000))),R$1,"""")"),"")</f>
        <v/>
      </c>
      <c r="S387" s="34" t="str">
        <f>IFERROR(__xludf.DUMMYFUNCTION("IF(IF(S$1="""","""",REGEXMATCH(LOWER($E387),XLOOKUP(S$1,Metadata!$A$2:$A1000,Metadata!$B$2:$B1000))),S$1,"""")"),"")</f>
        <v/>
      </c>
      <c r="T387" s="34" t="str">
        <f>IFERROR(__xludf.DUMMYFUNCTION("IF(IF(T$1="""","""",REGEXMATCH(LOWER($E387),XLOOKUP(T$1,Metadata!$A$2:$A1000,Metadata!$B$2:$B1000))),T$1,"""")"),"")</f>
        <v/>
      </c>
      <c r="U387" s="34" t="str">
        <f>IFERROR(__xludf.DUMMYFUNCTION("IF(IF(U$1="""","""",REGEXMATCH(LOWER($E387),XLOOKUP(U$1,Metadata!$A$2:$A1000,Metadata!$B$2:$B1000))),U$1,"""")"),"")</f>
        <v/>
      </c>
      <c r="V387" s="34" t="str">
        <f>IFERROR(__xludf.DUMMYFUNCTION("IF(IF(V$1="""","""",REGEXMATCH(LOWER($E387),XLOOKUP(V$1,Metadata!$A$2:$A1000,Metadata!$B$2:$B1000))),V$1,"""")"),"")</f>
        <v/>
      </c>
      <c r="W387" s="34" t="str">
        <f>IFERROR(__xludf.DUMMYFUNCTION("IF(IF(W$1="""","""",REGEXMATCH(LOWER($E387),XLOOKUP(W$1,Metadata!$A$2:$A1000,Metadata!$B$2:$B1000))),W$1,"""")"),"")</f>
        <v/>
      </c>
      <c r="X387" s="34" t="str">
        <f>IFERROR(__xludf.DUMMYFUNCTION("IF(IF(X$1="""","""",REGEXMATCH(LOWER($E387),XLOOKUP(X$1,Metadata!$A$2:$A1000,Metadata!$B$2:$B1000))),X$1,"""")"),"")</f>
        <v/>
      </c>
      <c r="Y387" s="34" t="str">
        <f>IFERROR(__xludf.DUMMYFUNCTION("IF(IF(Y$1="""","""",REGEXMATCH(LOWER($E387),XLOOKUP(Y$1,Metadata!$A$2:$A1000,Metadata!$B$2:$B1000))),Y$1,"""")"),"")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I388">XLOOKUP($A388,Cards!$A$2:$A1000,Cards!$B$2:$I1000,"")</f>
        <v>Mortal</v>
      </c>
      <c r="C388" s="34">
        <v>3.0</v>
      </c>
      <c r="D388" s="34" t="s">
        <v>335</v>
      </c>
      <c r="E388" s="34"/>
      <c r="F388" s="34" t="s">
        <v>2944</v>
      </c>
      <c r="G388" s="34" t="s">
        <v>26</v>
      </c>
      <c r="H388" s="34"/>
      <c r="I388" s="34" t="s">
        <v>2944</v>
      </c>
      <c r="J388" s="34">
        <f>IFERROR(__xludf.DUMMYFUNCTION("LEN(REGEXREPLACE(XLOOKUP($A388,Cards!$A$2:$A1000,Cards!$H$2:$H1000,""""),"",\s"",""""))"),0.0)</f>
        <v>0</v>
      </c>
      <c r="K388" s="34" t="str">
        <f t="shared" si="1"/>
        <v>               </v>
      </c>
      <c r="L388" s="34" t="str">
        <f>IFERROR(__xludf.DUMMYFUNCTION("IF(IF(L$1="""","""",REGEXMATCH(LOWER($E388),XLOOKUP(L$1,Metadata!$A$2:$A1000,Metadata!$B$2:$B1000))),L$1,"""")"),"")</f>
        <v/>
      </c>
      <c r="M388" s="34" t="str">
        <f>IFERROR(__xludf.DUMMYFUNCTION("IF(IF(M$1="""","""",REGEXMATCH(LOWER($E388),XLOOKUP(M$1,Metadata!$A$2:$A1000,Metadata!$B$2:$B1000))),M$1,"""")"),"")</f>
        <v/>
      </c>
      <c r="N388" s="34" t="str">
        <f>IFERROR(__xludf.DUMMYFUNCTION("IF(IF(N$1="""","""",REGEXMATCH(LOWER($E388),XLOOKUP(N$1,Metadata!$A$2:$A1000,Metadata!$B$2:$B1000))),N$1,"""")"),"")</f>
        <v/>
      </c>
      <c r="O388" s="34" t="str">
        <f>IFERROR(__xludf.DUMMYFUNCTION("IF(IF(O$1="""","""",REGEXMATCH(LOWER($E388),XLOOKUP(O$1,Metadata!$A$2:$A1000,Metadata!$B$2:$B1000))),O$1,"""")"),"")</f>
        <v/>
      </c>
      <c r="P388" s="34" t="str">
        <f>IFERROR(__xludf.DUMMYFUNCTION("IF(IF(P$1="""","""",REGEXMATCH(LOWER($E388),XLOOKUP(P$1,Metadata!$A$2:$A1000,Metadata!$B$2:$B1000))),P$1,"""")"),"")</f>
        <v/>
      </c>
      <c r="Q388" s="34" t="str">
        <f>IFERROR(__xludf.DUMMYFUNCTION("IF(IF(Q$1="""","""",REGEXMATCH(LOWER($E388),XLOOKUP(Q$1,Metadata!$A$2:$A1000,Metadata!$B$2:$B1000))),Q$1,"""")"),"")</f>
        <v/>
      </c>
      <c r="R388" s="34" t="str">
        <f>IFERROR(__xludf.DUMMYFUNCTION("IF(IF(R$1="""","""",REGEXMATCH(LOWER($E388),XLOOKUP(R$1,Metadata!$A$2:$A1000,Metadata!$B$2:$B1000))),R$1,"""")"),"")</f>
        <v/>
      </c>
      <c r="S388" s="34" t="str">
        <f>IFERROR(__xludf.DUMMYFUNCTION("IF(IF(S$1="""","""",REGEXMATCH(LOWER($E388),XLOOKUP(S$1,Metadata!$A$2:$A1000,Metadata!$B$2:$B1000))),S$1,"""")"),"")</f>
        <v/>
      </c>
      <c r="T388" s="34" t="str">
        <f>IFERROR(__xludf.DUMMYFUNCTION("IF(IF(T$1="""","""",REGEXMATCH(LOWER($E388),XLOOKUP(T$1,Metadata!$A$2:$A1000,Metadata!$B$2:$B1000))),T$1,"""")"),"")</f>
        <v/>
      </c>
      <c r="U388" s="34" t="str">
        <f>IFERROR(__xludf.DUMMYFUNCTION("IF(IF(U$1="""","""",REGEXMATCH(LOWER($E388),XLOOKUP(U$1,Metadata!$A$2:$A1000,Metadata!$B$2:$B1000))),U$1,"""")"),"")</f>
        <v/>
      </c>
      <c r="V388" s="34" t="str">
        <f>IFERROR(__xludf.DUMMYFUNCTION("IF(IF(V$1="""","""",REGEXMATCH(LOWER($E388),XLOOKUP(V$1,Metadata!$A$2:$A1000,Metadata!$B$2:$B1000))),V$1,"""")"),"")</f>
        <v/>
      </c>
      <c r="W388" s="34" t="str">
        <f>IFERROR(__xludf.DUMMYFUNCTION("IF(IF(W$1="""","""",REGEXMATCH(LOWER($E388),XLOOKUP(W$1,Metadata!$A$2:$A1000,Metadata!$B$2:$B1000))),W$1,"""")"),"")</f>
        <v/>
      </c>
      <c r="X388" s="34" t="str">
        <f>IFERROR(__xludf.DUMMYFUNCTION("IF(IF(X$1="""","""",REGEXMATCH(LOWER($E388),XLOOKUP(X$1,Metadata!$A$2:$A1000,Metadata!$B$2:$B1000))),X$1,"""")"),"")</f>
        <v/>
      </c>
      <c r="Y388" s="34" t="str">
        <f>IFERROR(__xludf.DUMMYFUNCTION("IF(IF(Y$1="""","""",REGEXMATCH(LOWER($E388),XLOOKUP(Y$1,Metadata!$A$2:$A1000,Metadata!$B$2:$B1000))),Y$1,"""")"),"")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I389">XLOOKUP($A389,Cards!$A$2:$A1000,Cards!$B$2:$I1000,"")</f>
        <v/>
      </c>
      <c r="C389" s="34">
        <v>3.0</v>
      </c>
      <c r="D389" s="34"/>
      <c r="E389" s="34" t="s">
        <v>2103</v>
      </c>
      <c r="F389" s="34"/>
      <c r="G389" s="34"/>
      <c r="H389" s="34"/>
      <c r="I389" s="34"/>
      <c r="J389" s="34">
        <f>IFERROR(__xludf.DUMMYFUNCTION("LEN(REGEXREPLACE(XLOOKUP($A389,Cards!$A$2:$A1000,Cards!$H$2:$H1000,""""),"",\s"",""""))"),0.0)</f>
        <v>0</v>
      </c>
      <c r="K389" s="34" t="str">
        <f t="shared" si="1"/>
        <v>     Unearth       Ambush   </v>
      </c>
      <c r="L389" s="34" t="str">
        <f>IFERROR(__xludf.DUMMYFUNCTION("IF(IF(L$1="""","""",REGEXMATCH(LOWER($E389),XLOOKUP(L$1,Metadata!$A$2:$A1000,Metadata!$B$2:$B1000))),L$1,"""")"),"")</f>
        <v/>
      </c>
      <c r="M389" s="34" t="str">
        <f>IFERROR(__xludf.DUMMYFUNCTION("IF(IF(M$1="""","""",REGEXMATCH(LOWER($E389),XLOOKUP(M$1,Metadata!$A$2:$A1000,Metadata!$B$2:$B1000))),M$1,"""")"),"")</f>
        <v/>
      </c>
      <c r="N389" s="34" t="str">
        <f>IFERROR(__xludf.DUMMYFUNCTION("IF(IF(N$1="""","""",REGEXMATCH(LOWER($E389),XLOOKUP(N$1,Metadata!$A$2:$A1000,Metadata!$B$2:$B1000))),N$1,"""")"),"")</f>
        <v/>
      </c>
      <c r="O389" s="34" t="str">
        <f>IFERROR(__xludf.DUMMYFUNCTION("IF(IF(O$1="""","""",REGEXMATCH(LOWER($E389),XLOOKUP(O$1,Metadata!$A$2:$A1000,Metadata!$B$2:$B1000))),O$1,"""")"),"")</f>
        <v/>
      </c>
      <c r="P389" s="34" t="str">
        <f>IFERROR(__xludf.DUMMYFUNCTION("IF(IF(P$1="""","""",REGEXMATCH(LOWER($E389),XLOOKUP(P$1,Metadata!$A$2:$A1000,Metadata!$B$2:$B1000))),P$1,"""")"),"")</f>
        <v/>
      </c>
      <c r="Q389" s="34" t="str">
        <f>IFERROR(__xludf.DUMMYFUNCTION("IF(IF(Q$1="""","""",REGEXMATCH(LOWER($E389),XLOOKUP(Q$1,Metadata!$A$2:$A1000,Metadata!$B$2:$B1000))),Q$1,"""")"),"Unearth")</f>
        <v>Unearth</v>
      </c>
      <c r="R389" s="34" t="str">
        <f>IFERROR(__xludf.DUMMYFUNCTION("IF(IF(R$1="""","""",REGEXMATCH(LOWER($E389),XLOOKUP(R$1,Metadata!$A$2:$A1000,Metadata!$B$2:$B1000))),R$1,"""")"),"")</f>
        <v/>
      </c>
      <c r="S389" s="34" t="str">
        <f>IFERROR(__xludf.DUMMYFUNCTION("IF(IF(S$1="""","""",REGEXMATCH(LOWER($E389),XLOOKUP(S$1,Metadata!$A$2:$A1000,Metadata!$B$2:$B1000))),S$1,"""")"),"")</f>
        <v/>
      </c>
      <c r="T389" s="34" t="str">
        <f>IFERROR(__xludf.DUMMYFUNCTION("IF(IF(T$1="""","""",REGEXMATCH(LOWER($E389),XLOOKUP(T$1,Metadata!$A$2:$A1000,Metadata!$B$2:$B1000))),T$1,"""")"),"")</f>
        <v/>
      </c>
      <c r="U389" s="34" t="str">
        <f>IFERROR(__xludf.DUMMYFUNCTION("IF(IF(U$1="""","""",REGEXMATCH(LOWER($E389),XLOOKUP(U$1,Metadata!$A$2:$A1000,Metadata!$B$2:$B1000))),U$1,"""")"),"")</f>
        <v/>
      </c>
      <c r="V389" s="34" t="str">
        <f>IFERROR(__xludf.DUMMYFUNCTION("IF(IF(V$1="""","""",REGEXMATCH(LOWER($E389),XLOOKUP(V$1,Metadata!$A$2:$A1000,Metadata!$B$2:$B1000))),V$1,"""")"),"")</f>
        <v/>
      </c>
      <c r="W389" s="34" t="str">
        <f>IFERROR(__xludf.DUMMYFUNCTION("IF(IF(W$1="""","""",REGEXMATCH(LOWER($E389),XLOOKUP(W$1,Metadata!$A$2:$A1000,Metadata!$B$2:$B1000))),W$1,"""")"),"")</f>
        <v/>
      </c>
      <c r="X389" s="34" t="str">
        <f>IFERROR(__xludf.DUMMYFUNCTION("IF(IF(X$1="""","""",REGEXMATCH(LOWER($E389),XLOOKUP(X$1,Metadata!$A$2:$A1000,Metadata!$B$2:$B1000))),X$1,"""")"),"Ambush")</f>
        <v>Ambush</v>
      </c>
      <c r="Y389" s="34" t="str">
        <f>IFERROR(__xludf.DUMMYFUNCTION("IF(IF(Y$1="""","""",REGEXMATCH(LOWER($E389),XLOOKUP(Y$1,Metadata!$A$2:$A1000,Metadata!$B$2:$B1000))),Y$1,"""")"),"")</f>
        <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I390">XLOOKUP($A390,Cards!$A$2:$A1000,Cards!$B$2:$I1000,"")</f>
        <v/>
      </c>
      <c r="C390" s="34">
        <v>3.0</v>
      </c>
      <c r="D390" s="34" t="s">
        <v>2108</v>
      </c>
      <c r="E390" s="34" t="s">
        <v>2109</v>
      </c>
      <c r="F390" s="34"/>
      <c r="G390" s="34"/>
      <c r="H390" s="34"/>
      <c r="I390" s="34"/>
      <c r="J390" s="34">
        <f>IFERROR(__xludf.DUMMYFUNCTION("LEN(REGEXREPLACE(XLOOKUP($A390,Cards!$A$2:$A1000,Cards!$H$2:$H1000,""""),"",\s"",""""))"),0.0)</f>
        <v>0</v>
      </c>
      <c r="K390" s="34" t="str">
        <f t="shared" si="1"/>
        <v>       Control     Ambush   </v>
      </c>
      <c r="L390" s="34" t="str">
        <f>IFERROR(__xludf.DUMMYFUNCTION("IF(IF(L$1="""","""",REGEXMATCH(LOWER($E390),XLOOKUP(L$1,Metadata!$A$2:$A1000,Metadata!$B$2:$B1000))),L$1,"""")"),"")</f>
        <v/>
      </c>
      <c r="M390" s="34" t="str">
        <f>IFERROR(__xludf.DUMMYFUNCTION("IF(IF(M$1="""","""",REGEXMATCH(LOWER($E390),XLOOKUP(M$1,Metadata!$A$2:$A1000,Metadata!$B$2:$B1000))),M$1,"""")"),"")</f>
        <v/>
      </c>
      <c r="N390" s="34" t="str">
        <f>IFERROR(__xludf.DUMMYFUNCTION("IF(IF(N$1="""","""",REGEXMATCH(LOWER($E390),XLOOKUP(N$1,Metadata!$A$2:$A1000,Metadata!$B$2:$B1000))),N$1,"""")"),"")</f>
        <v/>
      </c>
      <c r="O390" s="34" t="str">
        <f>IFERROR(__xludf.DUMMYFUNCTION("IF(IF(O$1="""","""",REGEXMATCH(LOWER($E390),XLOOKUP(O$1,Metadata!$A$2:$A1000,Metadata!$B$2:$B1000))),O$1,"""")"),"")</f>
        <v/>
      </c>
      <c r="P390" s="34" t="str">
        <f>IFERROR(__xludf.DUMMYFUNCTION("IF(IF(P$1="""","""",REGEXMATCH(LOWER($E390),XLOOKUP(P$1,Metadata!$A$2:$A1000,Metadata!$B$2:$B1000))),P$1,"""")"),"")</f>
        <v/>
      </c>
      <c r="Q390" s="34" t="str">
        <f>IFERROR(__xludf.DUMMYFUNCTION("IF(IF(Q$1="""","""",REGEXMATCH(LOWER($E390),XLOOKUP(Q$1,Metadata!$A$2:$A1000,Metadata!$B$2:$B1000))),Q$1,"""")"),"")</f>
        <v/>
      </c>
      <c r="R390" s="34" t="str">
        <f>IFERROR(__xludf.DUMMYFUNCTION("IF(IF(R$1="""","""",REGEXMATCH(LOWER($E390),XLOOKUP(R$1,Metadata!$A$2:$A1000,Metadata!$B$2:$B1000))),R$1,"""")"),"")</f>
        <v/>
      </c>
      <c r="S390" s="34" t="str">
        <f>IFERROR(__xludf.DUMMYFUNCTION("IF(IF(S$1="""","""",REGEXMATCH(LOWER($E390),XLOOKUP(S$1,Metadata!$A$2:$A1000,Metadata!$B$2:$B1000))),S$1,"""")"),"Control")</f>
        <v>Control</v>
      </c>
      <c r="T390" s="34" t="str">
        <f>IFERROR(__xludf.DUMMYFUNCTION("IF(IF(T$1="""","""",REGEXMATCH(LOWER($E390),XLOOKUP(T$1,Metadata!$A$2:$A1000,Metadata!$B$2:$B1000))),T$1,"""")"),"")</f>
        <v/>
      </c>
      <c r="U390" s="34" t="str">
        <f>IFERROR(__xludf.DUMMYFUNCTION("IF(IF(U$1="""","""",REGEXMATCH(LOWER($E390),XLOOKUP(U$1,Metadata!$A$2:$A1000,Metadata!$B$2:$B1000))),U$1,"""")"),"")</f>
        <v/>
      </c>
      <c r="V390" s="34" t="str">
        <f>IFERROR(__xludf.DUMMYFUNCTION("IF(IF(V$1="""","""",REGEXMATCH(LOWER($E390),XLOOKUP(V$1,Metadata!$A$2:$A1000,Metadata!$B$2:$B1000))),V$1,"""")"),"")</f>
        <v/>
      </c>
      <c r="W390" s="34" t="str">
        <f>IFERROR(__xludf.DUMMYFUNCTION("IF(IF(W$1="""","""",REGEXMATCH(LOWER($E390),XLOOKUP(W$1,Metadata!$A$2:$A1000,Metadata!$B$2:$B1000))),W$1,"""")"),"")</f>
        <v/>
      </c>
      <c r="X390" s="34" t="str">
        <f>IFERROR(__xludf.DUMMYFUNCTION("IF(IF(X$1="""","""",REGEXMATCH(LOWER($E390),XLOOKUP(X$1,Metadata!$A$2:$A1000,Metadata!$B$2:$B1000))),X$1,"""")"),"Ambush")</f>
        <v>Ambush</v>
      </c>
      <c r="Y390" s="34" t="str">
        <f>IFERROR(__xludf.DUMMYFUNCTION("IF(IF(Y$1="""","""",REGEXMATCH(LOWER($E390),XLOOKUP(Y$1,Metadata!$A$2:$A1000,Metadata!$B$2:$B1000))),Y$1,"""")"),"")</f>
        <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I391">XLOOKUP($A391,Cards!$A$2:$A1000,Cards!$B$2:$I1000,"")</f>
        <v/>
      </c>
      <c r="C391" s="34">
        <v>3.0</v>
      </c>
      <c r="D391" s="34" t="s">
        <v>2112</v>
      </c>
      <c r="E391" s="34" t="s">
        <v>2113</v>
      </c>
      <c r="F391" s="34"/>
      <c r="G391" s="34"/>
      <c r="H391" s="34"/>
      <c r="I391" s="34"/>
      <c r="J391" s="34">
        <f>IFERROR(__xludf.DUMMYFUNCTION("LEN(REGEXREPLACE(XLOOKUP($A391,Cards!$A$2:$A1000,Cards!$H$2:$H1000,""""),"",\s"",""""))"),0.0)</f>
        <v>0</v>
      </c>
      <c r="K391" s="34" t="str">
        <f t="shared" si="1"/>
        <v>  Mortal     Control   Empty-Crystal  Ambush   </v>
      </c>
      <c r="L391" s="34" t="str">
        <f>IFERROR(__xludf.DUMMYFUNCTION("IF(IF(L$1="""","""",REGEXMATCH(LOWER($E391),XLOOKUP(L$1,Metadata!$A$2:$A1000,Metadata!$B$2:$B1000))),L$1,"""")"),"")</f>
        <v/>
      </c>
      <c r="M391" s="34" t="str">
        <f>IFERROR(__xludf.DUMMYFUNCTION("IF(IF(M$1="""","""",REGEXMATCH(LOWER($E391),XLOOKUP(M$1,Metadata!$A$2:$A1000,Metadata!$B$2:$B1000))),M$1,"""")"),"")</f>
        <v/>
      </c>
      <c r="N391" s="34" t="str">
        <f>IFERROR(__xludf.DUMMYFUNCTION("IF(IF(N$1="""","""",REGEXMATCH(LOWER($E391),XLOOKUP(N$1,Metadata!$A$2:$A1000,Metadata!$B$2:$B1000))),N$1,"""")"),"Mortal")</f>
        <v>Mortal</v>
      </c>
      <c r="O391" s="34" t="str">
        <f>IFERROR(__xludf.DUMMYFUNCTION("IF(IF(O$1="""","""",REGEXMATCH(LOWER($E391),XLOOKUP(O$1,Metadata!$A$2:$A1000,Metadata!$B$2:$B1000))),O$1,"""")"),"")</f>
        <v/>
      </c>
      <c r="P391" s="34" t="str">
        <f>IFERROR(__xludf.DUMMYFUNCTION("IF(IF(P$1="""","""",REGEXMATCH(LOWER($E391),XLOOKUP(P$1,Metadata!$A$2:$A1000,Metadata!$B$2:$B1000))),P$1,"""")"),"")</f>
        <v/>
      </c>
      <c r="Q391" s="34" t="str">
        <f>IFERROR(__xludf.DUMMYFUNCTION("IF(IF(Q$1="""","""",REGEXMATCH(LOWER($E391),XLOOKUP(Q$1,Metadata!$A$2:$A1000,Metadata!$B$2:$B1000))),Q$1,"""")"),"")</f>
        <v/>
      </c>
      <c r="R391" s="34" t="str">
        <f>IFERROR(__xludf.DUMMYFUNCTION("IF(IF(R$1="""","""",REGEXMATCH(LOWER($E391),XLOOKUP(R$1,Metadata!$A$2:$A1000,Metadata!$B$2:$B1000))),R$1,"""")"),"")</f>
        <v/>
      </c>
      <c r="S391" s="34" t="str">
        <f>IFERROR(__xludf.DUMMYFUNCTION("IF(IF(S$1="""","""",REGEXMATCH(LOWER($E391),XLOOKUP(S$1,Metadata!$A$2:$A1000,Metadata!$B$2:$B1000))),S$1,"""")"),"Control")</f>
        <v>Control</v>
      </c>
      <c r="T391" s="34" t="str">
        <f>IFERROR(__xludf.DUMMYFUNCTION("IF(IF(T$1="""","""",REGEXMATCH(LOWER($E391),XLOOKUP(T$1,Metadata!$A$2:$A1000,Metadata!$B$2:$B1000))),T$1,"""")"),"")</f>
        <v/>
      </c>
      <c r="U391" s="34" t="str">
        <f>IFERROR(__xludf.DUMMYFUNCTION("IF(IF(U$1="""","""",REGEXMATCH(LOWER($E391),XLOOKUP(U$1,Metadata!$A$2:$A1000,Metadata!$B$2:$B1000))),U$1,"""")"),"")</f>
        <v/>
      </c>
      <c r="V391" s="34" t="str">
        <f>IFERROR(__xludf.DUMMYFUNCTION("IF(IF(V$1="""","""",REGEXMATCH(LOWER($E391),XLOOKUP(V$1,Metadata!$A$2:$A1000,Metadata!$B$2:$B1000))),V$1,"""")"),"Empty-Crystal")</f>
        <v>Empty-Crystal</v>
      </c>
      <c r="W391" s="34" t="str">
        <f>IFERROR(__xludf.DUMMYFUNCTION("IF(IF(W$1="""","""",REGEXMATCH(LOWER($E391),XLOOKUP(W$1,Metadata!$A$2:$A1000,Metadata!$B$2:$B1000))),W$1,"""")"),"")</f>
        <v/>
      </c>
      <c r="X391" s="34" t="str">
        <f>IFERROR(__xludf.DUMMYFUNCTION("IF(IF(X$1="""","""",REGEXMATCH(LOWER($E391),XLOOKUP(X$1,Metadata!$A$2:$A1000,Metadata!$B$2:$B1000))),X$1,"""")"),"Ambush")</f>
        <v>Ambush</v>
      </c>
      <c r="Y391" s="34" t="str">
        <f>IFERROR(__xludf.DUMMYFUNCTION("IF(IF(Y$1="""","""",REGEXMATCH(LOWER($E391),XLOOKUP(Y$1,Metadata!$A$2:$A1000,Metadata!$B$2:$B1000))),Y$1,"""")"),"")</f>
        <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I392">XLOOKUP($A392,Cards!$A$2:$A1000,Cards!$B$2:$I1000,"")</f>
        <v/>
      </c>
      <c r="C392" s="34">
        <v>3.0</v>
      </c>
      <c r="D392" s="34" t="s">
        <v>2112</v>
      </c>
      <c r="E392" s="34" t="s">
        <v>2115</v>
      </c>
      <c r="F392" s="34"/>
      <c r="G392" s="34"/>
      <c r="H392" s="34"/>
      <c r="I392" s="34"/>
      <c r="J392" s="34">
        <f>IFERROR(__xludf.DUMMYFUNCTION("LEN(REGEXREPLACE(XLOOKUP($A392,Cards!$A$2:$A1000,Cards!$H$2:$H1000,""""),"",\s"",""""))"),0.0)</f>
        <v>0</v>
      </c>
      <c r="K392" s="34" t="str">
        <f t="shared" si="1"/>
        <v>   Nature    Control   Empty-Crystal  Ambush   </v>
      </c>
      <c r="L392" s="34" t="str">
        <f>IFERROR(__xludf.DUMMYFUNCTION("IF(IF(L$1="""","""",REGEXMATCH(LOWER($E392),XLOOKUP(L$1,Metadata!$A$2:$A1000,Metadata!$B$2:$B1000))),L$1,"""")"),"")</f>
        <v/>
      </c>
      <c r="M392" s="34" t="str">
        <f>IFERROR(__xludf.DUMMYFUNCTION("IF(IF(M$1="""","""",REGEXMATCH(LOWER($E392),XLOOKUP(M$1,Metadata!$A$2:$A1000,Metadata!$B$2:$B1000))),M$1,"""")"),"")</f>
        <v/>
      </c>
      <c r="N392" s="34" t="str">
        <f>IFERROR(__xludf.DUMMYFUNCTION("IF(IF(N$1="""","""",REGEXMATCH(LOWER($E392),XLOOKUP(N$1,Metadata!$A$2:$A1000,Metadata!$B$2:$B1000))),N$1,"""")"),"")</f>
        <v/>
      </c>
      <c r="O392" s="34" t="str">
        <f>IFERROR(__xludf.DUMMYFUNCTION("IF(IF(O$1="""","""",REGEXMATCH(LOWER($E392),XLOOKUP(O$1,Metadata!$A$2:$A1000,Metadata!$B$2:$B1000))),O$1,"""")"),"Nature")</f>
        <v>Nature</v>
      </c>
      <c r="P392" s="34" t="str">
        <f>IFERROR(__xludf.DUMMYFUNCTION("IF(IF(P$1="""","""",REGEXMATCH(LOWER($E392),XLOOKUP(P$1,Metadata!$A$2:$A1000,Metadata!$B$2:$B1000))),P$1,"""")"),"")</f>
        <v/>
      </c>
      <c r="Q392" s="34" t="str">
        <f>IFERROR(__xludf.DUMMYFUNCTION("IF(IF(Q$1="""","""",REGEXMATCH(LOWER($E392),XLOOKUP(Q$1,Metadata!$A$2:$A1000,Metadata!$B$2:$B1000))),Q$1,"""")"),"")</f>
        <v/>
      </c>
      <c r="R392" s="34" t="str">
        <f>IFERROR(__xludf.DUMMYFUNCTION("IF(IF(R$1="""","""",REGEXMATCH(LOWER($E392),XLOOKUP(R$1,Metadata!$A$2:$A1000,Metadata!$B$2:$B1000))),R$1,"""")"),"")</f>
        <v/>
      </c>
      <c r="S392" s="34" t="str">
        <f>IFERROR(__xludf.DUMMYFUNCTION("IF(IF(S$1="""","""",REGEXMATCH(LOWER($E392),XLOOKUP(S$1,Metadata!$A$2:$A1000,Metadata!$B$2:$B1000))),S$1,"""")"),"Control")</f>
        <v>Control</v>
      </c>
      <c r="T392" s="34" t="str">
        <f>IFERROR(__xludf.DUMMYFUNCTION("IF(IF(T$1="""","""",REGEXMATCH(LOWER($E392),XLOOKUP(T$1,Metadata!$A$2:$A1000,Metadata!$B$2:$B1000))),T$1,"""")"),"")</f>
        <v/>
      </c>
      <c r="U392" s="34" t="str">
        <f>IFERROR(__xludf.DUMMYFUNCTION("IF(IF(U$1="""","""",REGEXMATCH(LOWER($E392),XLOOKUP(U$1,Metadata!$A$2:$A1000,Metadata!$B$2:$B1000))),U$1,"""")"),"")</f>
        <v/>
      </c>
      <c r="V392" s="34" t="str">
        <f>IFERROR(__xludf.DUMMYFUNCTION("IF(IF(V$1="""","""",REGEXMATCH(LOWER($E392),XLOOKUP(V$1,Metadata!$A$2:$A1000,Metadata!$B$2:$B1000))),V$1,"""")"),"Empty-Crystal")</f>
        <v>Empty-Crystal</v>
      </c>
      <c r="W392" s="34" t="str">
        <f>IFERROR(__xludf.DUMMYFUNCTION("IF(IF(W$1="""","""",REGEXMATCH(LOWER($E392),XLOOKUP(W$1,Metadata!$A$2:$A1000,Metadata!$B$2:$B1000))),W$1,"""")"),"")</f>
        <v/>
      </c>
      <c r="X392" s="34" t="str">
        <f>IFERROR(__xludf.DUMMYFUNCTION("IF(IF(X$1="""","""",REGEXMATCH(LOWER($E392),XLOOKUP(X$1,Metadata!$A$2:$A1000,Metadata!$B$2:$B1000))),X$1,"""")"),"Ambush")</f>
        <v>Ambush</v>
      </c>
      <c r="Y392" s="34" t="str">
        <f>IFERROR(__xludf.DUMMYFUNCTION("IF(IF(Y$1="""","""",REGEXMATCH(LOWER($E392),XLOOKUP(Y$1,Metadata!$A$2:$A1000,Metadata!$B$2:$B1000))),Y$1,"""")"),"")</f>
        <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I393">XLOOKUP($A393,Cards!$A$2:$A1000,Cards!$B$2:$I1000,"")</f>
        <v/>
      </c>
      <c r="C393" s="34">
        <v>3.0</v>
      </c>
      <c r="D393" s="34" t="s">
        <v>2112</v>
      </c>
      <c r="E393" s="34" t="s">
        <v>2117</v>
      </c>
      <c r="F393" s="34"/>
      <c r="G393" s="34"/>
      <c r="H393" s="34"/>
      <c r="I393" s="34"/>
      <c r="J393" s="34">
        <f>IFERROR(__xludf.DUMMYFUNCTION("LEN(REGEXREPLACE(XLOOKUP($A393,Cards!$A$2:$A1000,Cards!$H$2:$H1000,""""),"",\s"",""""))"),0.0)</f>
        <v>0</v>
      </c>
      <c r="K393" s="34" t="str">
        <f t="shared" si="1"/>
        <v>Divine       Control   Empty-Crystal  Ambush   </v>
      </c>
      <c r="L393" s="34" t="str">
        <f>IFERROR(__xludf.DUMMYFUNCTION("IF(IF(L$1="""","""",REGEXMATCH(LOWER($E393),XLOOKUP(L$1,Metadata!$A$2:$A1000,Metadata!$B$2:$B1000))),L$1,"""")"),"Divine")</f>
        <v>Divine</v>
      </c>
      <c r="M393" s="34" t="str">
        <f>IFERROR(__xludf.DUMMYFUNCTION("IF(IF(M$1="""","""",REGEXMATCH(LOWER($E393),XLOOKUP(M$1,Metadata!$A$2:$A1000,Metadata!$B$2:$B1000))),M$1,"""")"),"")</f>
        <v/>
      </c>
      <c r="N393" s="34" t="str">
        <f>IFERROR(__xludf.DUMMYFUNCTION("IF(IF(N$1="""","""",REGEXMATCH(LOWER($E393),XLOOKUP(N$1,Metadata!$A$2:$A1000,Metadata!$B$2:$B1000))),N$1,"""")"),"")</f>
        <v/>
      </c>
      <c r="O393" s="34" t="str">
        <f>IFERROR(__xludf.DUMMYFUNCTION("IF(IF(O$1="""","""",REGEXMATCH(LOWER($E393),XLOOKUP(O$1,Metadata!$A$2:$A1000,Metadata!$B$2:$B1000))),O$1,"""")"),"")</f>
        <v/>
      </c>
      <c r="P393" s="34" t="str">
        <f>IFERROR(__xludf.DUMMYFUNCTION("IF(IF(P$1="""","""",REGEXMATCH(LOWER($E393),XLOOKUP(P$1,Metadata!$A$2:$A1000,Metadata!$B$2:$B1000))),P$1,"""")"),"")</f>
        <v/>
      </c>
      <c r="Q393" s="34" t="str">
        <f>IFERROR(__xludf.DUMMYFUNCTION("IF(IF(Q$1="""","""",REGEXMATCH(LOWER($E393),XLOOKUP(Q$1,Metadata!$A$2:$A1000,Metadata!$B$2:$B1000))),Q$1,"""")"),"")</f>
        <v/>
      </c>
      <c r="R393" s="34" t="str">
        <f>IFERROR(__xludf.DUMMYFUNCTION("IF(IF(R$1="""","""",REGEXMATCH(LOWER($E393),XLOOKUP(R$1,Metadata!$A$2:$A1000,Metadata!$B$2:$B1000))),R$1,"""")"),"")</f>
        <v/>
      </c>
      <c r="S393" s="34" t="str">
        <f>IFERROR(__xludf.DUMMYFUNCTION("IF(IF(S$1="""","""",REGEXMATCH(LOWER($E393),XLOOKUP(S$1,Metadata!$A$2:$A1000,Metadata!$B$2:$B1000))),S$1,"""")"),"Control")</f>
        <v>Control</v>
      </c>
      <c r="T393" s="34" t="str">
        <f>IFERROR(__xludf.DUMMYFUNCTION("IF(IF(T$1="""","""",REGEXMATCH(LOWER($E393),XLOOKUP(T$1,Metadata!$A$2:$A1000,Metadata!$B$2:$B1000))),T$1,"""")"),"")</f>
        <v/>
      </c>
      <c r="U393" s="34" t="str">
        <f>IFERROR(__xludf.DUMMYFUNCTION("IF(IF(U$1="""","""",REGEXMATCH(LOWER($E393),XLOOKUP(U$1,Metadata!$A$2:$A1000,Metadata!$B$2:$B1000))),U$1,"""")"),"")</f>
        <v/>
      </c>
      <c r="V393" s="34" t="str">
        <f>IFERROR(__xludf.DUMMYFUNCTION("IF(IF(V$1="""","""",REGEXMATCH(LOWER($E393),XLOOKUP(V$1,Metadata!$A$2:$A1000,Metadata!$B$2:$B1000))),V$1,"""")"),"Empty-Crystal")</f>
        <v>Empty-Crystal</v>
      </c>
      <c r="W393" s="34" t="str">
        <f>IFERROR(__xludf.DUMMYFUNCTION("IF(IF(W$1="""","""",REGEXMATCH(LOWER($E393),XLOOKUP(W$1,Metadata!$A$2:$A1000,Metadata!$B$2:$B1000))),W$1,"""")"),"")</f>
        <v/>
      </c>
      <c r="X393" s="34" t="str">
        <f>IFERROR(__xludf.DUMMYFUNCTION("IF(IF(X$1="""","""",REGEXMATCH(LOWER($E393),XLOOKUP(X$1,Metadata!$A$2:$A1000,Metadata!$B$2:$B1000))),X$1,"""")"),"Ambush")</f>
        <v>Ambush</v>
      </c>
      <c r="Y393" s="34" t="str">
        <f>IFERROR(__xludf.DUMMYFUNCTION("IF(IF(Y$1="""","""",REGEXMATCH(LOWER($E393),XLOOKUP(Y$1,Metadata!$A$2:$A1000,Metadata!$B$2:$B1000))),Y$1,"""")"),"")</f>
        <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I394">XLOOKUP($A394,Cards!$A$2:$A1000,Cards!$B$2:$I1000,"")</f>
        <v/>
      </c>
      <c r="C394" s="34">
        <v>3.0</v>
      </c>
      <c r="D394" s="34" t="s">
        <v>2112</v>
      </c>
      <c r="E394" s="34" t="s">
        <v>2119</v>
      </c>
      <c r="F394" s="34"/>
      <c r="G394" s="34"/>
      <c r="H394" s="34"/>
      <c r="I394" s="34"/>
      <c r="J394" s="34">
        <f>IFERROR(__xludf.DUMMYFUNCTION("LEN(REGEXREPLACE(XLOOKUP($A394,Cards!$A$2:$A1000,Cards!$H$2:$H1000,""""),"",\s"",""""))"),0.0)</f>
        <v>0</v>
      </c>
      <c r="K394" s="34" t="str">
        <f t="shared" si="1"/>
        <v>    Void   Control   Empty-Crystal  Ambush   </v>
      </c>
      <c r="L394" s="34" t="str">
        <f>IFERROR(__xludf.DUMMYFUNCTION("IF(IF(L$1="""","""",REGEXMATCH(LOWER($E394),XLOOKUP(L$1,Metadata!$A$2:$A1000,Metadata!$B$2:$B1000))),L$1,"""")"),"")</f>
        <v/>
      </c>
      <c r="M394" s="34" t="str">
        <f>IFERROR(__xludf.DUMMYFUNCTION("IF(IF(M$1="""","""",REGEXMATCH(LOWER($E394),XLOOKUP(M$1,Metadata!$A$2:$A1000,Metadata!$B$2:$B1000))),M$1,"""")"),"")</f>
        <v/>
      </c>
      <c r="N394" s="34" t="str">
        <f>IFERROR(__xludf.DUMMYFUNCTION("IF(IF(N$1="""","""",REGEXMATCH(LOWER($E394),XLOOKUP(N$1,Metadata!$A$2:$A1000,Metadata!$B$2:$B1000))),N$1,"""")"),"")</f>
        <v/>
      </c>
      <c r="O394" s="34" t="str">
        <f>IFERROR(__xludf.DUMMYFUNCTION("IF(IF(O$1="""","""",REGEXMATCH(LOWER($E394),XLOOKUP(O$1,Metadata!$A$2:$A1000,Metadata!$B$2:$B1000))),O$1,"""")"),"")</f>
        <v/>
      </c>
      <c r="P394" s="34" t="str">
        <f>IFERROR(__xludf.DUMMYFUNCTION("IF(IF(P$1="""","""",REGEXMATCH(LOWER($E394),XLOOKUP(P$1,Metadata!$A$2:$A1000,Metadata!$B$2:$B1000))),P$1,"""")"),"Void")</f>
        <v>Void</v>
      </c>
      <c r="Q394" s="34" t="str">
        <f>IFERROR(__xludf.DUMMYFUNCTION("IF(IF(Q$1="""","""",REGEXMATCH(LOWER($E394),XLOOKUP(Q$1,Metadata!$A$2:$A1000,Metadata!$B$2:$B1000))),Q$1,"""")"),"")</f>
        <v/>
      </c>
      <c r="R394" s="34" t="str">
        <f>IFERROR(__xludf.DUMMYFUNCTION("IF(IF(R$1="""","""",REGEXMATCH(LOWER($E394),XLOOKUP(R$1,Metadata!$A$2:$A1000,Metadata!$B$2:$B1000))),R$1,"""")"),"")</f>
        <v/>
      </c>
      <c r="S394" s="34" t="str">
        <f>IFERROR(__xludf.DUMMYFUNCTION("IF(IF(S$1="""","""",REGEXMATCH(LOWER($E394),XLOOKUP(S$1,Metadata!$A$2:$A1000,Metadata!$B$2:$B1000))),S$1,"""")"),"Control")</f>
        <v>Control</v>
      </c>
      <c r="T394" s="34" t="str">
        <f>IFERROR(__xludf.DUMMYFUNCTION("IF(IF(T$1="""","""",REGEXMATCH(LOWER($E394),XLOOKUP(T$1,Metadata!$A$2:$A1000,Metadata!$B$2:$B1000))),T$1,"""")"),"")</f>
        <v/>
      </c>
      <c r="U394" s="34" t="str">
        <f>IFERROR(__xludf.DUMMYFUNCTION("IF(IF(U$1="""","""",REGEXMATCH(LOWER($E394),XLOOKUP(U$1,Metadata!$A$2:$A1000,Metadata!$B$2:$B1000))),U$1,"""")"),"")</f>
        <v/>
      </c>
      <c r="V394" s="34" t="str">
        <f>IFERROR(__xludf.DUMMYFUNCTION("IF(IF(V$1="""","""",REGEXMATCH(LOWER($E394),XLOOKUP(V$1,Metadata!$A$2:$A1000,Metadata!$B$2:$B1000))),V$1,"""")"),"Empty-Crystal")</f>
        <v>Empty-Crystal</v>
      </c>
      <c r="W394" s="34" t="str">
        <f>IFERROR(__xludf.DUMMYFUNCTION("IF(IF(W$1="""","""",REGEXMATCH(LOWER($E394),XLOOKUP(W$1,Metadata!$A$2:$A1000,Metadata!$B$2:$B1000))),W$1,"""")"),"")</f>
        <v/>
      </c>
      <c r="X394" s="34" t="str">
        <f>IFERROR(__xludf.DUMMYFUNCTION("IF(IF(X$1="""","""",REGEXMATCH(LOWER($E394),XLOOKUP(X$1,Metadata!$A$2:$A1000,Metadata!$B$2:$B1000))),X$1,"""")"),"Ambush")</f>
        <v>Ambush</v>
      </c>
      <c r="Y394" s="34" t="str">
        <f>IFERROR(__xludf.DUMMYFUNCTION("IF(IF(Y$1="""","""",REGEXMATCH(LOWER($E394),XLOOKUP(Y$1,Metadata!$A$2:$A1000,Metadata!$B$2:$B1000))),Y$1,"""")"),"")</f>
        <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I395">XLOOKUP($A395,Cards!$A$2:$A1000,Cards!$B$2:$I1000,"")</f>
        <v/>
      </c>
      <c r="C395" s="34">
        <v>3.0</v>
      </c>
      <c r="D395" s="34" t="s">
        <v>2112</v>
      </c>
      <c r="E395" s="34" t="s">
        <v>2121</v>
      </c>
      <c r="F395" s="34"/>
      <c r="G395" s="34"/>
      <c r="H395" s="34"/>
      <c r="I395" s="34"/>
      <c r="J395" s="34">
        <f>IFERROR(__xludf.DUMMYFUNCTION("LEN(REGEXREPLACE(XLOOKUP($A395,Cards!$A$2:$A1000,Cards!$H$2:$H1000,""""),"",\s"",""""))"),0.0)</f>
        <v>0</v>
      </c>
      <c r="K395" s="34" t="str">
        <f t="shared" si="1"/>
        <v> Elemental      Control   Empty-Crystal  Ambush   </v>
      </c>
      <c r="L395" s="34" t="str">
        <f>IFERROR(__xludf.DUMMYFUNCTION("IF(IF(L$1="""","""",REGEXMATCH(LOWER($E395),XLOOKUP(L$1,Metadata!$A$2:$A1000,Metadata!$B$2:$B1000))),L$1,"""")"),"")</f>
        <v/>
      </c>
      <c r="M395" s="34" t="str">
        <f>IFERROR(__xludf.DUMMYFUNCTION("IF(IF(M$1="""","""",REGEXMATCH(LOWER($E395),XLOOKUP(M$1,Metadata!$A$2:$A1000,Metadata!$B$2:$B1000))),M$1,"""")"),"Elemental")</f>
        <v>Elemental</v>
      </c>
      <c r="N395" s="34" t="str">
        <f>IFERROR(__xludf.DUMMYFUNCTION("IF(IF(N$1="""","""",REGEXMATCH(LOWER($E395),XLOOKUP(N$1,Metadata!$A$2:$A1000,Metadata!$B$2:$B1000))),N$1,"""")"),"")</f>
        <v/>
      </c>
      <c r="O395" s="34" t="str">
        <f>IFERROR(__xludf.DUMMYFUNCTION("IF(IF(O$1="""","""",REGEXMATCH(LOWER($E395),XLOOKUP(O$1,Metadata!$A$2:$A1000,Metadata!$B$2:$B1000))),O$1,"""")"),"")</f>
        <v/>
      </c>
      <c r="P395" s="34" t="str">
        <f>IFERROR(__xludf.DUMMYFUNCTION("IF(IF(P$1="""","""",REGEXMATCH(LOWER($E395),XLOOKUP(P$1,Metadata!$A$2:$A1000,Metadata!$B$2:$B1000))),P$1,"""")"),"")</f>
        <v/>
      </c>
      <c r="Q395" s="34" t="str">
        <f>IFERROR(__xludf.DUMMYFUNCTION("IF(IF(Q$1="""","""",REGEXMATCH(LOWER($E395),XLOOKUP(Q$1,Metadata!$A$2:$A1000,Metadata!$B$2:$B1000))),Q$1,"""")"),"")</f>
        <v/>
      </c>
      <c r="R395" s="34" t="str">
        <f>IFERROR(__xludf.DUMMYFUNCTION("IF(IF(R$1="""","""",REGEXMATCH(LOWER($E395),XLOOKUP(R$1,Metadata!$A$2:$A1000,Metadata!$B$2:$B1000))),R$1,"""")"),"")</f>
        <v/>
      </c>
      <c r="S395" s="34" t="str">
        <f>IFERROR(__xludf.DUMMYFUNCTION("IF(IF(S$1="""","""",REGEXMATCH(LOWER($E395),XLOOKUP(S$1,Metadata!$A$2:$A1000,Metadata!$B$2:$B1000))),S$1,"""")"),"Control")</f>
        <v>Control</v>
      </c>
      <c r="T395" s="34" t="str">
        <f>IFERROR(__xludf.DUMMYFUNCTION("IF(IF(T$1="""","""",REGEXMATCH(LOWER($E395),XLOOKUP(T$1,Metadata!$A$2:$A1000,Metadata!$B$2:$B1000))),T$1,"""")"),"")</f>
        <v/>
      </c>
      <c r="U395" s="34" t="str">
        <f>IFERROR(__xludf.DUMMYFUNCTION("IF(IF(U$1="""","""",REGEXMATCH(LOWER($E395),XLOOKUP(U$1,Metadata!$A$2:$A1000,Metadata!$B$2:$B1000))),U$1,"""")"),"")</f>
        <v/>
      </c>
      <c r="V395" s="34" t="str">
        <f>IFERROR(__xludf.DUMMYFUNCTION("IF(IF(V$1="""","""",REGEXMATCH(LOWER($E395),XLOOKUP(V$1,Metadata!$A$2:$A1000,Metadata!$B$2:$B1000))),V$1,"""")"),"Empty-Crystal")</f>
        <v>Empty-Crystal</v>
      </c>
      <c r="W395" s="34" t="str">
        <f>IFERROR(__xludf.DUMMYFUNCTION("IF(IF(W$1="""","""",REGEXMATCH(LOWER($E395),XLOOKUP(W$1,Metadata!$A$2:$A1000,Metadata!$B$2:$B1000))),W$1,"""")"),"")</f>
        <v/>
      </c>
      <c r="X395" s="34" t="str">
        <f>IFERROR(__xludf.DUMMYFUNCTION("IF(IF(X$1="""","""",REGEXMATCH(LOWER($E395),XLOOKUP(X$1,Metadata!$A$2:$A1000,Metadata!$B$2:$B1000))),X$1,"""")"),"Ambush")</f>
        <v>Ambush</v>
      </c>
      <c r="Y395" s="34" t="str">
        <f>IFERROR(__xludf.DUMMYFUNCTION("IF(IF(Y$1="""","""",REGEXMATCH(LOWER($E395),XLOOKUP(Y$1,Metadata!$A$2:$A1000,Metadata!$B$2:$B1000))),Y$1,"""")"),"")</f>
        <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I396">XLOOKUP($A396,Cards!$A$2:$A1000,Cards!$B$2:$I1000,"")</f>
        <v>Divine Void</v>
      </c>
      <c r="C396" s="34">
        <v>3.0</v>
      </c>
      <c r="D396" s="34"/>
      <c r="E396" s="34" t="s">
        <v>2123</v>
      </c>
      <c r="F396" s="34"/>
      <c r="G396" s="34"/>
      <c r="H396" s="34" t="s">
        <v>475</v>
      </c>
      <c r="I396" s="34" t="s">
        <v>70</v>
      </c>
      <c r="J396" s="34">
        <f>IFERROR(__xludf.DUMMYFUNCTION("LEN(REGEXREPLACE(XLOOKUP($A396,Cards!$A$2:$A1000,Cards!$H$2:$H1000,""""),"",\s"",""""))"),3.0)</f>
        <v>3</v>
      </c>
      <c r="K396" s="34" t="str">
        <f t="shared" si="1"/>
        <v>               </v>
      </c>
      <c r="L396" s="34" t="str">
        <f>IFERROR(__xludf.DUMMYFUNCTION("IF(IF(L$1="""","""",REGEXMATCH(LOWER($E396),XLOOKUP(L$1,Metadata!$A$2:$A1000,Metadata!$B$2:$B1000))),L$1,"""")"),"")</f>
        <v/>
      </c>
      <c r="M396" s="34" t="str">
        <f>IFERROR(__xludf.DUMMYFUNCTION("IF(IF(M$1="""","""",REGEXMATCH(LOWER($E396),XLOOKUP(M$1,Metadata!$A$2:$A1000,Metadata!$B$2:$B1000))),M$1,"""")"),"")</f>
        <v/>
      </c>
      <c r="N396" s="34" t="str">
        <f>IFERROR(__xludf.DUMMYFUNCTION("IF(IF(N$1="""","""",REGEXMATCH(LOWER($E396),XLOOKUP(N$1,Metadata!$A$2:$A1000,Metadata!$B$2:$B1000))),N$1,"""")"),"")</f>
        <v/>
      </c>
      <c r="O396" s="34" t="str">
        <f>IFERROR(__xludf.DUMMYFUNCTION("IF(IF(O$1="""","""",REGEXMATCH(LOWER($E396),XLOOKUP(O$1,Metadata!$A$2:$A1000,Metadata!$B$2:$B1000))),O$1,"""")"),"")</f>
        <v/>
      </c>
      <c r="P396" s="34" t="str">
        <f>IFERROR(__xludf.DUMMYFUNCTION("IF(IF(P$1="""","""",REGEXMATCH(LOWER($E396),XLOOKUP(P$1,Metadata!$A$2:$A1000,Metadata!$B$2:$B1000))),P$1,"""")"),"")</f>
        <v/>
      </c>
      <c r="Q396" s="34" t="str">
        <f>IFERROR(__xludf.DUMMYFUNCTION("IF(IF(Q$1="""","""",REGEXMATCH(LOWER($E396),XLOOKUP(Q$1,Metadata!$A$2:$A1000,Metadata!$B$2:$B1000))),Q$1,"""")"),"")</f>
        <v/>
      </c>
      <c r="R396" s="34" t="str">
        <f>IFERROR(__xludf.DUMMYFUNCTION("IF(IF(R$1="""","""",REGEXMATCH(LOWER($E396),XLOOKUP(R$1,Metadata!$A$2:$A1000,Metadata!$B$2:$B1000))),R$1,"""")"),"")</f>
        <v/>
      </c>
      <c r="S396" s="34" t="str">
        <f>IFERROR(__xludf.DUMMYFUNCTION("IF(IF(S$1="""","""",REGEXMATCH(LOWER($E396),XLOOKUP(S$1,Metadata!$A$2:$A1000,Metadata!$B$2:$B1000))),S$1,"""")"),"")</f>
        <v/>
      </c>
      <c r="T396" s="34" t="str">
        <f>IFERROR(__xludf.DUMMYFUNCTION("IF(IF(T$1="""","""",REGEXMATCH(LOWER($E396),XLOOKUP(T$1,Metadata!$A$2:$A1000,Metadata!$B$2:$B1000))),T$1,"""")"),"")</f>
        <v/>
      </c>
      <c r="U396" s="34" t="str">
        <f>IFERROR(__xludf.DUMMYFUNCTION("IF(IF(U$1="""","""",REGEXMATCH(LOWER($E396),XLOOKUP(U$1,Metadata!$A$2:$A1000,Metadata!$B$2:$B1000))),U$1,"""")"),"")</f>
        <v/>
      </c>
      <c r="V396" s="34" t="str">
        <f>IFERROR(__xludf.DUMMYFUNCTION("IF(IF(V$1="""","""",REGEXMATCH(LOWER($E396),XLOOKUP(V$1,Metadata!$A$2:$A1000,Metadata!$B$2:$B1000))),V$1,"""")"),"")</f>
        <v/>
      </c>
      <c r="W396" s="34" t="str">
        <f>IFERROR(__xludf.DUMMYFUNCTION("IF(IF(W$1="""","""",REGEXMATCH(LOWER($E396),XLOOKUP(W$1,Metadata!$A$2:$A1000,Metadata!$B$2:$B1000))),W$1,"""")"),"")</f>
        <v/>
      </c>
      <c r="X396" s="34" t="str">
        <f>IFERROR(__xludf.DUMMYFUNCTION("IF(IF(X$1="""","""",REGEXMATCH(LOWER($E396),XLOOKUP(X$1,Metadata!$A$2:$A1000,Metadata!$B$2:$B1000))),X$1,"""")"),"")</f>
        <v/>
      </c>
      <c r="Y396" s="34" t="str">
        <f>IFERROR(__xludf.DUMMYFUNCTION("IF(IF(Y$1="""","""",REGEXMATCH(LOWER($E396),XLOOKUP(Y$1,Metadata!$A$2:$A1000,Metadata!$B$2:$B1000))),Y$1,"""")"),"")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I397">XLOOKUP($A397,Cards!$A$2:$A1000,Cards!$B$2:$I1000,"")</f>
        <v>Elemental</v>
      </c>
      <c r="C397" s="34">
        <v>3.0</v>
      </c>
      <c r="D397" s="34"/>
      <c r="E397" s="34" t="s">
        <v>2126</v>
      </c>
      <c r="F397" s="34"/>
      <c r="G397" s="34"/>
      <c r="H397" s="34"/>
      <c r="I397" s="34"/>
      <c r="J397" s="34">
        <f>IFERROR(__xludf.DUMMYFUNCTION("LEN(REGEXREPLACE(XLOOKUP($A397,Cards!$A$2:$A1000,Cards!$H$2:$H1000,""""),"",\s"",""""))"),0.0)</f>
        <v>0</v>
      </c>
      <c r="K397" s="34" t="str">
        <f t="shared" si="1"/>
        <v>         Aggro      </v>
      </c>
      <c r="L397" s="34" t="str">
        <f>IFERROR(__xludf.DUMMYFUNCTION("IF(IF(L$1="""","""",REGEXMATCH(LOWER($E397),XLOOKUP(L$1,Metadata!$A$2:$A1000,Metadata!$B$2:$B1000))),L$1,"""")"),"")</f>
        <v/>
      </c>
      <c r="M397" s="34" t="str">
        <f>IFERROR(__xludf.DUMMYFUNCTION("IF(IF(M$1="""","""",REGEXMATCH(LOWER($E397),XLOOKUP(M$1,Metadata!$A$2:$A1000,Metadata!$B$2:$B1000))),M$1,"""")"),"")</f>
        <v/>
      </c>
      <c r="N397" s="34" t="str">
        <f>IFERROR(__xludf.DUMMYFUNCTION("IF(IF(N$1="""","""",REGEXMATCH(LOWER($E397),XLOOKUP(N$1,Metadata!$A$2:$A1000,Metadata!$B$2:$B1000))),N$1,"""")"),"")</f>
        <v/>
      </c>
      <c r="O397" s="34" t="str">
        <f>IFERROR(__xludf.DUMMYFUNCTION("IF(IF(O$1="""","""",REGEXMATCH(LOWER($E397),XLOOKUP(O$1,Metadata!$A$2:$A1000,Metadata!$B$2:$B1000))),O$1,"""")"),"")</f>
        <v/>
      </c>
      <c r="P397" s="34" t="str">
        <f>IFERROR(__xludf.DUMMYFUNCTION("IF(IF(P$1="""","""",REGEXMATCH(LOWER($E397),XLOOKUP(P$1,Metadata!$A$2:$A1000,Metadata!$B$2:$B1000))),P$1,"""")"),"")</f>
        <v/>
      </c>
      <c r="Q397" s="34" t="str">
        <f>IFERROR(__xludf.DUMMYFUNCTION("IF(IF(Q$1="""","""",REGEXMATCH(LOWER($E397),XLOOKUP(Q$1,Metadata!$A$2:$A1000,Metadata!$B$2:$B1000))),Q$1,"""")"),"")</f>
        <v/>
      </c>
      <c r="R397" s="34" t="str">
        <f>IFERROR(__xludf.DUMMYFUNCTION("IF(IF(R$1="""","""",REGEXMATCH(LOWER($E397),XLOOKUP(R$1,Metadata!$A$2:$A1000,Metadata!$B$2:$B1000))),R$1,"""")"),"")</f>
        <v/>
      </c>
      <c r="S397" s="34" t="str">
        <f>IFERROR(__xludf.DUMMYFUNCTION("IF(IF(S$1="""","""",REGEXMATCH(LOWER($E397),XLOOKUP(S$1,Metadata!$A$2:$A1000,Metadata!$B$2:$B1000))),S$1,"""")"),"")</f>
        <v/>
      </c>
      <c r="T397" s="34" t="str">
        <f>IFERROR(__xludf.DUMMYFUNCTION("IF(IF(T$1="""","""",REGEXMATCH(LOWER($E397),XLOOKUP(T$1,Metadata!$A$2:$A1000,Metadata!$B$2:$B1000))),T$1,"""")"),"")</f>
        <v/>
      </c>
      <c r="U397" s="34" t="str">
        <f>IFERROR(__xludf.DUMMYFUNCTION("IF(IF(U$1="""","""",REGEXMATCH(LOWER($E397),XLOOKUP(U$1,Metadata!$A$2:$A1000,Metadata!$B$2:$B1000))),U$1,"""")"),"Aggro")</f>
        <v>Aggro</v>
      </c>
      <c r="V397" s="34" t="str">
        <f>IFERROR(__xludf.DUMMYFUNCTION("IF(IF(V$1="""","""",REGEXMATCH(LOWER($E397),XLOOKUP(V$1,Metadata!$A$2:$A1000,Metadata!$B$2:$B1000))),V$1,"""")"),"")</f>
        <v/>
      </c>
      <c r="W397" s="34" t="str">
        <f>IFERROR(__xludf.DUMMYFUNCTION("IF(IF(W$1="""","""",REGEXMATCH(LOWER($E397),XLOOKUP(W$1,Metadata!$A$2:$A1000,Metadata!$B$2:$B1000))),W$1,"""")"),"")</f>
        <v/>
      </c>
      <c r="X397" s="34" t="str">
        <f>IFERROR(__xludf.DUMMYFUNCTION("IF(IF(X$1="""","""",REGEXMATCH(LOWER($E397),XLOOKUP(X$1,Metadata!$A$2:$A1000,Metadata!$B$2:$B1000))),X$1,"""")"),"")</f>
        <v/>
      </c>
      <c r="Y397" s="34" t="str">
        <f>IFERROR(__xludf.DUMMYFUNCTION("IF(IF(Y$1="""","""",REGEXMATCH(LOWER($E397),XLOOKUP(Y$1,Metadata!$A$2:$A1000,Metadata!$B$2:$B1000))),Y$1,"""")"),"")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I398">XLOOKUP($A398,Cards!$A$2:$A1000,Cards!$B$2:$I1000,"")</f>
        <v>Void</v>
      </c>
      <c r="C398" s="34">
        <v>1.0</v>
      </c>
      <c r="D398" s="34" t="s">
        <v>1748</v>
      </c>
      <c r="E398" s="34" t="s">
        <v>2128</v>
      </c>
      <c r="F398" s="34" t="s">
        <v>2129</v>
      </c>
      <c r="G398" s="34">
        <v>1.0</v>
      </c>
      <c r="H398" s="34" t="s">
        <v>1795</v>
      </c>
      <c r="I398" s="34" t="s">
        <v>26</v>
      </c>
      <c r="J398" s="34">
        <f>IFERROR(__xludf.DUMMYFUNCTION("LEN(REGEXREPLACE(XLOOKUP($A398,Cards!$A$2:$A1000,Cards!$H$2:$H1000,""""),"",\s"",""""))"),2.0)</f>
        <v>2</v>
      </c>
      <c r="K398" s="34" t="str">
        <f t="shared" si="1"/>
        <v>    Void           </v>
      </c>
      <c r="L398" s="34" t="str">
        <f>IFERROR(__xludf.DUMMYFUNCTION("IF(IF(L$1="""","""",REGEXMATCH(LOWER($E398),XLOOKUP(L$1,Metadata!$A$2:$A1000,Metadata!$B$2:$B1000))),L$1,"""")"),"")</f>
        <v/>
      </c>
      <c r="M398" s="34" t="str">
        <f>IFERROR(__xludf.DUMMYFUNCTION("IF(IF(M$1="""","""",REGEXMATCH(LOWER($E398),XLOOKUP(M$1,Metadata!$A$2:$A1000,Metadata!$B$2:$B1000))),M$1,"""")"),"")</f>
        <v/>
      </c>
      <c r="N398" s="34" t="str">
        <f>IFERROR(__xludf.DUMMYFUNCTION("IF(IF(N$1="""","""",REGEXMATCH(LOWER($E398),XLOOKUP(N$1,Metadata!$A$2:$A1000,Metadata!$B$2:$B1000))),N$1,"""")"),"")</f>
        <v/>
      </c>
      <c r="O398" s="34" t="str">
        <f>IFERROR(__xludf.DUMMYFUNCTION("IF(IF(O$1="""","""",REGEXMATCH(LOWER($E398),XLOOKUP(O$1,Metadata!$A$2:$A1000,Metadata!$B$2:$B1000))),O$1,"""")"),"")</f>
        <v/>
      </c>
      <c r="P398" s="34" t="str">
        <f>IFERROR(__xludf.DUMMYFUNCTION("IF(IF(P$1="""","""",REGEXMATCH(LOWER($E398),XLOOKUP(P$1,Metadata!$A$2:$A1000,Metadata!$B$2:$B1000))),P$1,"""")"),"Void")</f>
        <v>Void</v>
      </c>
      <c r="Q398" s="34" t="str">
        <f>IFERROR(__xludf.DUMMYFUNCTION("IF(IF(Q$1="""","""",REGEXMATCH(LOWER($E398),XLOOKUP(Q$1,Metadata!$A$2:$A1000,Metadata!$B$2:$B1000))),Q$1,"""")"),"")</f>
        <v/>
      </c>
      <c r="R398" s="34" t="str">
        <f>IFERROR(__xludf.DUMMYFUNCTION("IF(IF(R$1="""","""",REGEXMATCH(LOWER($E398),XLOOKUP(R$1,Metadata!$A$2:$A1000,Metadata!$B$2:$B1000))),R$1,"""")"),"")</f>
        <v/>
      </c>
      <c r="S398" s="34" t="str">
        <f>IFERROR(__xludf.DUMMYFUNCTION("IF(IF(S$1="""","""",REGEXMATCH(LOWER($E398),XLOOKUP(S$1,Metadata!$A$2:$A1000,Metadata!$B$2:$B1000))),S$1,"""")"),"")</f>
        <v/>
      </c>
      <c r="T398" s="34" t="str">
        <f>IFERROR(__xludf.DUMMYFUNCTION("IF(IF(T$1="""","""",REGEXMATCH(LOWER($E398),XLOOKUP(T$1,Metadata!$A$2:$A1000,Metadata!$B$2:$B1000))),T$1,"""")"),"")</f>
        <v/>
      </c>
      <c r="U398" s="34" t="str">
        <f>IFERROR(__xludf.DUMMYFUNCTION("IF(IF(U$1="""","""",REGEXMATCH(LOWER($E398),XLOOKUP(U$1,Metadata!$A$2:$A1000,Metadata!$B$2:$B1000))),U$1,"""")"),"")</f>
        <v/>
      </c>
      <c r="V398" s="34" t="str">
        <f>IFERROR(__xludf.DUMMYFUNCTION("IF(IF(V$1="""","""",REGEXMATCH(LOWER($E398),XLOOKUP(V$1,Metadata!$A$2:$A1000,Metadata!$B$2:$B1000))),V$1,"""")"),"")</f>
        <v/>
      </c>
      <c r="W398" s="34" t="str">
        <f>IFERROR(__xludf.DUMMYFUNCTION("IF(IF(W$1="""","""",REGEXMATCH(LOWER($E398),XLOOKUP(W$1,Metadata!$A$2:$A1000,Metadata!$B$2:$B1000))),W$1,"""")"),"")</f>
        <v/>
      </c>
      <c r="X398" s="34" t="str">
        <f>IFERROR(__xludf.DUMMYFUNCTION("IF(IF(X$1="""","""",REGEXMATCH(LOWER($E398),XLOOKUP(X$1,Metadata!$A$2:$A1000,Metadata!$B$2:$B1000))),X$1,"""")"),"")</f>
        <v/>
      </c>
      <c r="Y398" s="34" t="str">
        <f>IFERROR(__xludf.DUMMYFUNCTION("IF(IF(Y$1="""","""",REGEXMATCH(LOWER($E398),XLOOKUP(Y$1,Metadata!$A$2:$A1000,Metadata!$B$2:$B1000))),Y$1,"""")"),"")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I399">XLOOKUP($A399,Cards!$A$2:$A1000,Cards!$B$2:$I1000,"")</f>
        <v>Void</v>
      </c>
      <c r="C399" s="34">
        <v>1.0</v>
      </c>
      <c r="D399" s="34" t="s">
        <v>979</v>
      </c>
      <c r="E399" s="34" t="s">
        <v>636</v>
      </c>
      <c r="F399" s="34" t="s">
        <v>2131</v>
      </c>
      <c r="G399" s="34">
        <v>3.0</v>
      </c>
      <c r="H399" s="34" t="s">
        <v>1791</v>
      </c>
      <c r="I399" s="34" t="s">
        <v>26</v>
      </c>
      <c r="J399" s="34">
        <f>IFERROR(__xludf.DUMMYFUNCTION("LEN(REGEXREPLACE(XLOOKUP($A399,Cards!$A$2:$A1000,Cards!$H$2:$H1000,""""),"",\s"",""""))"),3.0)</f>
        <v>3</v>
      </c>
      <c r="K399" s="34" t="str">
        <f t="shared" si="1"/>
        <v>               </v>
      </c>
      <c r="L399" s="34" t="str">
        <f>IFERROR(__xludf.DUMMYFUNCTION("IF(IF(L$1="""","""",REGEXMATCH(LOWER($E399),XLOOKUP(L$1,Metadata!$A$2:$A1000,Metadata!$B$2:$B1000))),L$1,"""")"),"")</f>
        <v/>
      </c>
      <c r="M399" s="34" t="str">
        <f>IFERROR(__xludf.DUMMYFUNCTION("IF(IF(M$1="""","""",REGEXMATCH(LOWER($E399),XLOOKUP(M$1,Metadata!$A$2:$A1000,Metadata!$B$2:$B1000))),M$1,"""")"),"")</f>
        <v/>
      </c>
      <c r="N399" s="34" t="str">
        <f>IFERROR(__xludf.DUMMYFUNCTION("IF(IF(N$1="""","""",REGEXMATCH(LOWER($E399),XLOOKUP(N$1,Metadata!$A$2:$A1000,Metadata!$B$2:$B1000))),N$1,"""")"),"")</f>
        <v/>
      </c>
      <c r="O399" s="34" t="str">
        <f>IFERROR(__xludf.DUMMYFUNCTION("IF(IF(O$1="""","""",REGEXMATCH(LOWER($E399),XLOOKUP(O$1,Metadata!$A$2:$A1000,Metadata!$B$2:$B1000))),O$1,"""")"),"")</f>
        <v/>
      </c>
      <c r="P399" s="34" t="str">
        <f>IFERROR(__xludf.DUMMYFUNCTION("IF(IF(P$1="""","""",REGEXMATCH(LOWER($E399),XLOOKUP(P$1,Metadata!$A$2:$A1000,Metadata!$B$2:$B1000))),P$1,"""")"),"")</f>
        <v/>
      </c>
      <c r="Q399" s="34" t="str">
        <f>IFERROR(__xludf.DUMMYFUNCTION("IF(IF(Q$1="""","""",REGEXMATCH(LOWER($E399),XLOOKUP(Q$1,Metadata!$A$2:$A1000,Metadata!$B$2:$B1000))),Q$1,"""")"),"")</f>
        <v/>
      </c>
      <c r="R399" s="34" t="str">
        <f>IFERROR(__xludf.DUMMYFUNCTION("IF(IF(R$1="""","""",REGEXMATCH(LOWER($E399),XLOOKUP(R$1,Metadata!$A$2:$A1000,Metadata!$B$2:$B1000))),R$1,"""")"),"")</f>
        <v/>
      </c>
      <c r="S399" s="34" t="str">
        <f>IFERROR(__xludf.DUMMYFUNCTION("IF(IF(S$1="""","""",REGEXMATCH(LOWER($E399),XLOOKUP(S$1,Metadata!$A$2:$A1000,Metadata!$B$2:$B1000))),S$1,"""")"),"")</f>
        <v/>
      </c>
      <c r="T399" s="34" t="str">
        <f>IFERROR(__xludf.DUMMYFUNCTION("IF(IF(T$1="""","""",REGEXMATCH(LOWER($E399),XLOOKUP(T$1,Metadata!$A$2:$A1000,Metadata!$B$2:$B1000))),T$1,"""")"),"")</f>
        <v/>
      </c>
      <c r="U399" s="34" t="str">
        <f>IFERROR(__xludf.DUMMYFUNCTION("IF(IF(U$1="""","""",REGEXMATCH(LOWER($E399),XLOOKUP(U$1,Metadata!$A$2:$A1000,Metadata!$B$2:$B1000))),U$1,"""")"),"")</f>
        <v/>
      </c>
      <c r="V399" s="34" t="str">
        <f>IFERROR(__xludf.DUMMYFUNCTION("IF(IF(V$1="""","""",REGEXMATCH(LOWER($E399),XLOOKUP(V$1,Metadata!$A$2:$A1000,Metadata!$B$2:$B1000))),V$1,"""")"),"")</f>
        <v/>
      </c>
      <c r="W399" s="34" t="str">
        <f>IFERROR(__xludf.DUMMYFUNCTION("IF(IF(W$1="""","""",REGEXMATCH(LOWER($E399),XLOOKUP(W$1,Metadata!$A$2:$A1000,Metadata!$B$2:$B1000))),W$1,"""")"),"")</f>
        <v/>
      </c>
      <c r="X399" s="34" t="str">
        <f>IFERROR(__xludf.DUMMYFUNCTION("IF(IF(X$1="""","""",REGEXMATCH(LOWER($E399),XLOOKUP(X$1,Metadata!$A$2:$A1000,Metadata!$B$2:$B1000))),X$1,"""")"),"")</f>
        <v/>
      </c>
      <c r="Y399" s="34" t="str">
        <f>IFERROR(__xludf.DUMMYFUNCTION("IF(IF(Y$1="""","""",REGEXMATCH(LOWER($E399),XLOOKUP(Y$1,Metadata!$A$2:$A1000,Metadata!$B$2:$B1000))),Y$1,"""")"),"")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I400">XLOOKUP($A400,Cards!$A$2:$A1000,Cards!$B$2:$I1000,"")</f>
        <v>Void</v>
      </c>
      <c r="C400" s="34">
        <v>1.0</v>
      </c>
      <c r="D400" s="34" t="s">
        <v>979</v>
      </c>
      <c r="E400" s="34" t="s">
        <v>2133</v>
      </c>
      <c r="F400" s="34" t="s">
        <v>2134</v>
      </c>
      <c r="G400" s="34">
        <v>4.0</v>
      </c>
      <c r="H400" s="34" t="s">
        <v>1841</v>
      </c>
      <c r="I400" s="34" t="s">
        <v>26</v>
      </c>
      <c r="J400" s="34">
        <f>IFERROR(__xludf.DUMMYFUNCTION("LEN(REGEXREPLACE(XLOOKUP($A400,Cards!$A$2:$A1000,Cards!$H$2:$H1000,""""),"",\s"",""""))"),4.0)</f>
        <v>4</v>
      </c>
      <c r="K400" s="34" t="str">
        <f t="shared" si="1"/>
        <v>     Unearth       Ambush   </v>
      </c>
      <c r="L400" s="34" t="str">
        <f>IFERROR(__xludf.DUMMYFUNCTION("IF(IF(L$1="""","""",REGEXMATCH(LOWER($E400),XLOOKUP(L$1,Metadata!$A$2:$A1000,Metadata!$B$2:$B1000))),L$1,"""")"),"")</f>
        <v/>
      </c>
      <c r="M400" s="34" t="str">
        <f>IFERROR(__xludf.DUMMYFUNCTION("IF(IF(M$1="""","""",REGEXMATCH(LOWER($E400),XLOOKUP(M$1,Metadata!$A$2:$A1000,Metadata!$B$2:$B1000))),M$1,"""")"),"")</f>
        <v/>
      </c>
      <c r="N400" s="34" t="str">
        <f>IFERROR(__xludf.DUMMYFUNCTION("IF(IF(N$1="""","""",REGEXMATCH(LOWER($E400),XLOOKUP(N$1,Metadata!$A$2:$A1000,Metadata!$B$2:$B1000))),N$1,"""")"),"")</f>
        <v/>
      </c>
      <c r="O400" s="34" t="str">
        <f>IFERROR(__xludf.DUMMYFUNCTION("IF(IF(O$1="""","""",REGEXMATCH(LOWER($E400),XLOOKUP(O$1,Metadata!$A$2:$A1000,Metadata!$B$2:$B1000))),O$1,"""")"),"")</f>
        <v/>
      </c>
      <c r="P400" s="34" t="str">
        <f>IFERROR(__xludf.DUMMYFUNCTION("IF(IF(P$1="""","""",REGEXMATCH(LOWER($E400),XLOOKUP(P$1,Metadata!$A$2:$A1000,Metadata!$B$2:$B1000))),P$1,"""")"),"")</f>
        <v/>
      </c>
      <c r="Q400" s="34" t="str">
        <f>IFERROR(__xludf.DUMMYFUNCTION("IF(IF(Q$1="""","""",REGEXMATCH(LOWER($E400),XLOOKUP(Q$1,Metadata!$A$2:$A1000,Metadata!$B$2:$B1000))),Q$1,"""")"),"Unearth")</f>
        <v>Unearth</v>
      </c>
      <c r="R400" s="34" t="str">
        <f>IFERROR(__xludf.DUMMYFUNCTION("IF(IF(R$1="""","""",REGEXMATCH(LOWER($E400),XLOOKUP(R$1,Metadata!$A$2:$A1000,Metadata!$B$2:$B1000))),R$1,"""")"),"")</f>
        <v/>
      </c>
      <c r="S400" s="34" t="str">
        <f>IFERROR(__xludf.DUMMYFUNCTION("IF(IF(S$1="""","""",REGEXMATCH(LOWER($E400),XLOOKUP(S$1,Metadata!$A$2:$A1000,Metadata!$B$2:$B1000))),S$1,"""")"),"")</f>
        <v/>
      </c>
      <c r="T400" s="34" t="str">
        <f>IFERROR(__xludf.DUMMYFUNCTION("IF(IF(T$1="""","""",REGEXMATCH(LOWER($E400),XLOOKUP(T$1,Metadata!$A$2:$A1000,Metadata!$B$2:$B1000))),T$1,"""")"),"")</f>
        <v/>
      </c>
      <c r="U400" s="34" t="str">
        <f>IFERROR(__xludf.DUMMYFUNCTION("IF(IF(U$1="""","""",REGEXMATCH(LOWER($E400),XLOOKUP(U$1,Metadata!$A$2:$A1000,Metadata!$B$2:$B1000))),U$1,"""")"),"")</f>
        <v/>
      </c>
      <c r="V400" s="34" t="str">
        <f>IFERROR(__xludf.DUMMYFUNCTION("IF(IF(V$1="""","""",REGEXMATCH(LOWER($E400),XLOOKUP(V$1,Metadata!$A$2:$A1000,Metadata!$B$2:$B1000))),V$1,"""")"),"")</f>
        <v/>
      </c>
      <c r="W400" s="34" t="str">
        <f>IFERROR(__xludf.DUMMYFUNCTION("IF(IF(W$1="""","""",REGEXMATCH(LOWER($E400),XLOOKUP(W$1,Metadata!$A$2:$A1000,Metadata!$B$2:$B1000))),W$1,"""")"),"")</f>
        <v/>
      </c>
      <c r="X400" s="34" t="str">
        <f>IFERROR(__xludf.DUMMYFUNCTION("IF(IF(X$1="""","""",REGEXMATCH(LOWER($E400),XLOOKUP(X$1,Metadata!$A$2:$A1000,Metadata!$B$2:$B1000))),X$1,"""")"),"Ambush")</f>
        <v>Ambush</v>
      </c>
      <c r="Y400" s="34" t="str">
        <f>IFERROR(__xludf.DUMMYFUNCTION("IF(IF(Y$1="""","""",REGEXMATCH(LOWER($E400),XLOOKUP(Y$1,Metadata!$A$2:$A1000,Metadata!$B$2:$B1000))),Y$1,"""")"),"")</f>
        <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I401">XLOOKUP($A401,Cards!$A$2:$A1000,Cards!$B$2:$I1000,"")</f>
        <v>Void</v>
      </c>
      <c r="C401" s="34">
        <v>1.0</v>
      </c>
      <c r="D401" s="34" t="s">
        <v>1778</v>
      </c>
      <c r="E401" s="34" t="s">
        <v>2136</v>
      </c>
      <c r="F401" s="34" t="s">
        <v>2137</v>
      </c>
      <c r="G401" s="34">
        <v>4.0</v>
      </c>
      <c r="H401" s="34" t="s">
        <v>1841</v>
      </c>
      <c r="I401" s="34" t="s">
        <v>26</v>
      </c>
      <c r="J401" s="34">
        <f>IFERROR(__xludf.DUMMYFUNCTION("LEN(REGEXREPLACE(XLOOKUP($A401,Cards!$A$2:$A1000,Cards!$H$2:$H1000,""""),"",\s"",""""))"),4.0)</f>
        <v>4</v>
      </c>
      <c r="K401" s="34" t="str">
        <f t="shared" si="1"/>
        <v>     Unearth       Ambush   </v>
      </c>
      <c r="L401" s="34" t="str">
        <f>IFERROR(__xludf.DUMMYFUNCTION("IF(IF(L$1="""","""",REGEXMATCH(LOWER($E401),XLOOKUP(L$1,Metadata!$A$2:$A1000,Metadata!$B$2:$B1000))),L$1,"""")"),"")</f>
        <v/>
      </c>
      <c r="M401" s="34" t="str">
        <f>IFERROR(__xludf.DUMMYFUNCTION("IF(IF(M$1="""","""",REGEXMATCH(LOWER($E401),XLOOKUP(M$1,Metadata!$A$2:$A1000,Metadata!$B$2:$B1000))),M$1,"""")"),"")</f>
        <v/>
      </c>
      <c r="N401" s="34" t="str">
        <f>IFERROR(__xludf.DUMMYFUNCTION("IF(IF(N$1="""","""",REGEXMATCH(LOWER($E401),XLOOKUP(N$1,Metadata!$A$2:$A1000,Metadata!$B$2:$B1000))),N$1,"""")"),"")</f>
        <v/>
      </c>
      <c r="O401" s="34" t="str">
        <f>IFERROR(__xludf.DUMMYFUNCTION("IF(IF(O$1="""","""",REGEXMATCH(LOWER($E401),XLOOKUP(O$1,Metadata!$A$2:$A1000,Metadata!$B$2:$B1000))),O$1,"""")"),"")</f>
        <v/>
      </c>
      <c r="P401" s="34" t="str">
        <f>IFERROR(__xludf.DUMMYFUNCTION("IF(IF(P$1="""","""",REGEXMATCH(LOWER($E401),XLOOKUP(P$1,Metadata!$A$2:$A1000,Metadata!$B$2:$B1000))),P$1,"""")"),"")</f>
        <v/>
      </c>
      <c r="Q401" s="34" t="str">
        <f>IFERROR(__xludf.DUMMYFUNCTION("IF(IF(Q$1="""","""",REGEXMATCH(LOWER($E401),XLOOKUP(Q$1,Metadata!$A$2:$A1000,Metadata!$B$2:$B1000))),Q$1,"""")"),"Unearth")</f>
        <v>Unearth</v>
      </c>
      <c r="R401" s="34" t="str">
        <f>IFERROR(__xludf.DUMMYFUNCTION("IF(IF(R$1="""","""",REGEXMATCH(LOWER($E401),XLOOKUP(R$1,Metadata!$A$2:$A1000,Metadata!$B$2:$B1000))),R$1,"""")"),"")</f>
        <v/>
      </c>
      <c r="S401" s="34" t="str">
        <f>IFERROR(__xludf.DUMMYFUNCTION("IF(IF(S$1="""","""",REGEXMATCH(LOWER($E401),XLOOKUP(S$1,Metadata!$A$2:$A1000,Metadata!$B$2:$B1000))),S$1,"""")"),"")</f>
        <v/>
      </c>
      <c r="T401" s="34" t="str">
        <f>IFERROR(__xludf.DUMMYFUNCTION("IF(IF(T$1="""","""",REGEXMATCH(LOWER($E401),XLOOKUP(T$1,Metadata!$A$2:$A1000,Metadata!$B$2:$B1000))),T$1,"""")"),"")</f>
        <v/>
      </c>
      <c r="U401" s="34" t="str">
        <f>IFERROR(__xludf.DUMMYFUNCTION("IF(IF(U$1="""","""",REGEXMATCH(LOWER($E401),XLOOKUP(U$1,Metadata!$A$2:$A1000,Metadata!$B$2:$B1000))),U$1,"""")"),"")</f>
        <v/>
      </c>
      <c r="V401" s="34" t="str">
        <f>IFERROR(__xludf.DUMMYFUNCTION("IF(IF(V$1="""","""",REGEXMATCH(LOWER($E401),XLOOKUP(V$1,Metadata!$A$2:$A1000,Metadata!$B$2:$B1000))),V$1,"""")"),"")</f>
        <v/>
      </c>
      <c r="W401" s="34" t="str">
        <f>IFERROR(__xludf.DUMMYFUNCTION("IF(IF(W$1="""","""",REGEXMATCH(LOWER($E401),XLOOKUP(W$1,Metadata!$A$2:$A1000,Metadata!$B$2:$B1000))),W$1,"""")"),"")</f>
        <v/>
      </c>
      <c r="X401" s="34" t="str">
        <f>IFERROR(__xludf.DUMMYFUNCTION("IF(IF(X$1="""","""",REGEXMATCH(LOWER($E401),XLOOKUP(X$1,Metadata!$A$2:$A1000,Metadata!$B$2:$B1000))),X$1,"""")"),"Ambush")</f>
        <v>Ambush</v>
      </c>
      <c r="Y401" s="34" t="str">
        <f>IFERROR(__xludf.DUMMYFUNCTION("IF(IF(Y$1="""","""",REGEXMATCH(LOWER($E401),XLOOKUP(Y$1,Metadata!$A$2:$A1000,Metadata!$B$2:$B1000))),Y$1,"""")"),"")</f>
        <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I402">XLOOKUP($A402,Cards!$A$2:$A1000,Cards!$B$2:$I1000,"")</f>
        <v>Void</v>
      </c>
      <c r="C402" s="34">
        <v>1.0</v>
      </c>
      <c r="D402" s="34" t="s">
        <v>201</v>
      </c>
      <c r="E402" s="34" t="s">
        <v>2139</v>
      </c>
      <c r="F402" s="34" t="s">
        <v>2140</v>
      </c>
      <c r="G402" s="34">
        <v>5.0</v>
      </c>
      <c r="H402" s="34" t="s">
        <v>1781</v>
      </c>
      <c r="I402" s="34" t="s">
        <v>70</v>
      </c>
      <c r="J402" s="34">
        <f>IFERROR(__xludf.DUMMYFUNCTION("LEN(REGEXREPLACE(XLOOKUP($A402,Cards!$A$2:$A1000,Cards!$H$2:$H1000,""""),"",\s"",""""))"),5.0)</f>
        <v>5</v>
      </c>
      <c r="K402" s="34" t="str">
        <f t="shared" si="1"/>
        <v>    Void           </v>
      </c>
      <c r="L402" s="34" t="str">
        <f>IFERROR(__xludf.DUMMYFUNCTION("IF(IF(L$1="""","""",REGEXMATCH(LOWER($E402),XLOOKUP(L$1,Metadata!$A$2:$A1000,Metadata!$B$2:$B1000))),L$1,"""")"),"")</f>
        <v/>
      </c>
      <c r="M402" s="34" t="str">
        <f>IFERROR(__xludf.DUMMYFUNCTION("IF(IF(M$1="""","""",REGEXMATCH(LOWER($E402),XLOOKUP(M$1,Metadata!$A$2:$A1000,Metadata!$B$2:$B1000))),M$1,"""")"),"")</f>
        <v/>
      </c>
      <c r="N402" s="34" t="str">
        <f>IFERROR(__xludf.DUMMYFUNCTION("IF(IF(N$1="""","""",REGEXMATCH(LOWER($E402),XLOOKUP(N$1,Metadata!$A$2:$A1000,Metadata!$B$2:$B1000))),N$1,"""")"),"")</f>
        <v/>
      </c>
      <c r="O402" s="34" t="str">
        <f>IFERROR(__xludf.DUMMYFUNCTION("IF(IF(O$1="""","""",REGEXMATCH(LOWER($E402),XLOOKUP(O$1,Metadata!$A$2:$A1000,Metadata!$B$2:$B1000))),O$1,"""")"),"")</f>
        <v/>
      </c>
      <c r="P402" s="34" t="str">
        <f>IFERROR(__xludf.DUMMYFUNCTION("IF(IF(P$1="""","""",REGEXMATCH(LOWER($E402),XLOOKUP(P$1,Metadata!$A$2:$A1000,Metadata!$B$2:$B1000))),P$1,"""")"),"Void")</f>
        <v>Void</v>
      </c>
      <c r="Q402" s="34" t="str">
        <f>IFERROR(__xludf.DUMMYFUNCTION("IF(IF(Q$1="""","""",REGEXMATCH(LOWER($E402),XLOOKUP(Q$1,Metadata!$A$2:$A1000,Metadata!$B$2:$B1000))),Q$1,"""")"),"")</f>
        <v/>
      </c>
      <c r="R402" s="34" t="str">
        <f>IFERROR(__xludf.DUMMYFUNCTION("IF(IF(R$1="""","""",REGEXMATCH(LOWER($E402),XLOOKUP(R$1,Metadata!$A$2:$A1000,Metadata!$B$2:$B1000))),R$1,"""")"),"")</f>
        <v/>
      </c>
      <c r="S402" s="34" t="str">
        <f>IFERROR(__xludf.DUMMYFUNCTION("IF(IF(S$1="""","""",REGEXMATCH(LOWER($E402),XLOOKUP(S$1,Metadata!$A$2:$A1000,Metadata!$B$2:$B1000))),S$1,"""")"),"")</f>
        <v/>
      </c>
      <c r="T402" s="34" t="str">
        <f>IFERROR(__xludf.DUMMYFUNCTION("IF(IF(T$1="""","""",REGEXMATCH(LOWER($E402),XLOOKUP(T$1,Metadata!$A$2:$A1000,Metadata!$B$2:$B1000))),T$1,"""")"),"")</f>
        <v/>
      </c>
      <c r="U402" s="34" t="str">
        <f>IFERROR(__xludf.DUMMYFUNCTION("IF(IF(U$1="""","""",REGEXMATCH(LOWER($E402),XLOOKUP(U$1,Metadata!$A$2:$A1000,Metadata!$B$2:$B1000))),U$1,"""")"),"")</f>
        <v/>
      </c>
      <c r="V402" s="34" t="str">
        <f>IFERROR(__xludf.DUMMYFUNCTION("IF(IF(V$1="""","""",REGEXMATCH(LOWER($E402),XLOOKUP(V$1,Metadata!$A$2:$A1000,Metadata!$B$2:$B1000))),V$1,"""")"),"")</f>
        <v/>
      </c>
      <c r="W402" s="34" t="str">
        <f>IFERROR(__xludf.DUMMYFUNCTION("IF(IF(W$1="""","""",REGEXMATCH(LOWER($E402),XLOOKUP(W$1,Metadata!$A$2:$A1000,Metadata!$B$2:$B1000))),W$1,"""")"),"")</f>
        <v/>
      </c>
      <c r="X402" s="34" t="str">
        <f>IFERROR(__xludf.DUMMYFUNCTION("IF(IF(X$1="""","""",REGEXMATCH(LOWER($E402),XLOOKUP(X$1,Metadata!$A$2:$A1000,Metadata!$B$2:$B1000))),X$1,"""")"),"")</f>
        <v/>
      </c>
      <c r="Y402" s="34" t="str">
        <f>IFERROR(__xludf.DUMMYFUNCTION("IF(IF(Y$1="""","""",REGEXMATCH(LOWER($E402),XLOOKUP(Y$1,Metadata!$A$2:$A1000,Metadata!$B$2:$B1000))),Y$1,"""")"),"")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I403">XLOOKUP($A403,Cards!$A$2:$A1000,Cards!$B$2:$I1000,"")</f>
        <v>Void</v>
      </c>
      <c r="C403" s="34">
        <v>1.0</v>
      </c>
      <c r="D403" s="34" t="s">
        <v>124</v>
      </c>
      <c r="E403" s="34" t="s">
        <v>2143</v>
      </c>
      <c r="F403" s="34" t="s">
        <v>2144</v>
      </c>
      <c r="G403" s="34">
        <v>1.0</v>
      </c>
      <c r="H403" s="34" t="s">
        <v>1791</v>
      </c>
      <c r="I403" s="34" t="s">
        <v>70</v>
      </c>
      <c r="J403" s="34">
        <f>IFERROR(__xludf.DUMMYFUNCTION("LEN(REGEXREPLACE(XLOOKUP($A403,Cards!$A$2:$A1000,Cards!$H$2:$H1000,""""),"",\s"",""""))"),3.0)</f>
        <v>3</v>
      </c>
      <c r="K403" s="34" t="str">
        <f t="shared" si="1"/>
        <v>               </v>
      </c>
      <c r="L403" s="34" t="str">
        <f>IFERROR(__xludf.DUMMYFUNCTION("IF(IF(L$1="""","""",REGEXMATCH(LOWER($E403),XLOOKUP(L$1,Metadata!$A$2:$A1000,Metadata!$B$2:$B1000))),L$1,"""")"),"")</f>
        <v/>
      </c>
      <c r="M403" s="34" t="str">
        <f>IFERROR(__xludf.DUMMYFUNCTION("IF(IF(M$1="""","""",REGEXMATCH(LOWER($E403),XLOOKUP(M$1,Metadata!$A$2:$A1000,Metadata!$B$2:$B1000))),M$1,"""")"),"")</f>
        <v/>
      </c>
      <c r="N403" s="34" t="str">
        <f>IFERROR(__xludf.DUMMYFUNCTION("IF(IF(N$1="""","""",REGEXMATCH(LOWER($E403),XLOOKUP(N$1,Metadata!$A$2:$A1000,Metadata!$B$2:$B1000))),N$1,"""")"),"")</f>
        <v/>
      </c>
      <c r="O403" s="34" t="str">
        <f>IFERROR(__xludf.DUMMYFUNCTION("IF(IF(O$1="""","""",REGEXMATCH(LOWER($E403),XLOOKUP(O$1,Metadata!$A$2:$A1000,Metadata!$B$2:$B1000))),O$1,"""")"),"")</f>
        <v/>
      </c>
      <c r="P403" s="34" t="str">
        <f>IFERROR(__xludf.DUMMYFUNCTION("IF(IF(P$1="""","""",REGEXMATCH(LOWER($E403),XLOOKUP(P$1,Metadata!$A$2:$A1000,Metadata!$B$2:$B1000))),P$1,"""")"),"")</f>
        <v/>
      </c>
      <c r="Q403" s="34" t="str">
        <f>IFERROR(__xludf.DUMMYFUNCTION("IF(IF(Q$1="""","""",REGEXMATCH(LOWER($E403),XLOOKUP(Q$1,Metadata!$A$2:$A1000,Metadata!$B$2:$B1000))),Q$1,"""")"),"")</f>
        <v/>
      </c>
      <c r="R403" s="34" t="str">
        <f>IFERROR(__xludf.DUMMYFUNCTION("IF(IF(R$1="""","""",REGEXMATCH(LOWER($E403),XLOOKUP(R$1,Metadata!$A$2:$A1000,Metadata!$B$2:$B1000))),R$1,"""")"),"")</f>
        <v/>
      </c>
      <c r="S403" s="34" t="str">
        <f>IFERROR(__xludf.DUMMYFUNCTION("IF(IF(S$1="""","""",REGEXMATCH(LOWER($E403),XLOOKUP(S$1,Metadata!$A$2:$A1000,Metadata!$B$2:$B1000))),S$1,"""")"),"")</f>
        <v/>
      </c>
      <c r="T403" s="34" t="str">
        <f>IFERROR(__xludf.DUMMYFUNCTION("IF(IF(T$1="""","""",REGEXMATCH(LOWER($E403),XLOOKUP(T$1,Metadata!$A$2:$A1000,Metadata!$B$2:$B1000))),T$1,"""")"),"")</f>
        <v/>
      </c>
      <c r="U403" s="34" t="str">
        <f>IFERROR(__xludf.DUMMYFUNCTION("IF(IF(U$1="""","""",REGEXMATCH(LOWER($E403),XLOOKUP(U$1,Metadata!$A$2:$A1000,Metadata!$B$2:$B1000))),U$1,"""")"),"")</f>
        <v/>
      </c>
      <c r="V403" s="34" t="str">
        <f>IFERROR(__xludf.DUMMYFUNCTION("IF(IF(V$1="""","""",REGEXMATCH(LOWER($E403),XLOOKUP(V$1,Metadata!$A$2:$A1000,Metadata!$B$2:$B1000))),V$1,"""")"),"")</f>
        <v/>
      </c>
      <c r="W403" s="34" t="str">
        <f>IFERROR(__xludf.DUMMYFUNCTION("IF(IF(W$1="""","""",REGEXMATCH(LOWER($E403),XLOOKUP(W$1,Metadata!$A$2:$A1000,Metadata!$B$2:$B1000))),W$1,"""")"),"")</f>
        <v/>
      </c>
      <c r="X403" s="34" t="str">
        <f>IFERROR(__xludf.DUMMYFUNCTION("IF(IF(X$1="""","""",REGEXMATCH(LOWER($E403),XLOOKUP(X$1,Metadata!$A$2:$A1000,Metadata!$B$2:$B1000))),X$1,"""")"),"")</f>
        <v/>
      </c>
      <c r="Y403" s="34" t="str">
        <f>IFERROR(__xludf.DUMMYFUNCTION("IF(IF(Y$1="""","""",REGEXMATCH(LOWER($E403),XLOOKUP(Y$1,Metadata!$A$2:$A1000,Metadata!$B$2:$B1000))),Y$1,"""")"),"")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I404">XLOOKUP($A404,Cards!$A$2:$A1000,Cards!$B$2:$I1000,"")</f>
        <v>Void</v>
      </c>
      <c r="C404" s="34">
        <v>1.0</v>
      </c>
      <c r="D404" s="34" t="s">
        <v>2146</v>
      </c>
      <c r="E404" s="34" t="s">
        <v>2147</v>
      </c>
      <c r="F404" s="34" t="s">
        <v>2148</v>
      </c>
      <c r="G404" s="34">
        <v>2.0</v>
      </c>
      <c r="H404" s="34" t="s">
        <v>1795</v>
      </c>
      <c r="I404" s="34" t="s">
        <v>26</v>
      </c>
      <c r="J404" s="34">
        <f>IFERROR(__xludf.DUMMYFUNCTION("LEN(REGEXREPLACE(XLOOKUP($A404,Cards!$A$2:$A1000,Cards!$H$2:$H1000,""""),"",\s"",""""))"),2.0)</f>
        <v>2</v>
      </c>
      <c r="K404" s="34" t="str">
        <f t="shared" si="1"/>
        <v>    Void           </v>
      </c>
      <c r="L404" s="34" t="str">
        <f>IFERROR(__xludf.DUMMYFUNCTION("IF(IF(L$1="""","""",REGEXMATCH(LOWER($E404),XLOOKUP(L$1,Metadata!$A$2:$A1000,Metadata!$B$2:$B1000))),L$1,"""")"),"")</f>
        <v/>
      </c>
      <c r="M404" s="34" t="str">
        <f>IFERROR(__xludf.DUMMYFUNCTION("IF(IF(M$1="""","""",REGEXMATCH(LOWER($E404),XLOOKUP(M$1,Metadata!$A$2:$A1000,Metadata!$B$2:$B1000))),M$1,"""")"),"")</f>
        <v/>
      </c>
      <c r="N404" s="34" t="str">
        <f>IFERROR(__xludf.DUMMYFUNCTION("IF(IF(N$1="""","""",REGEXMATCH(LOWER($E404),XLOOKUP(N$1,Metadata!$A$2:$A1000,Metadata!$B$2:$B1000))),N$1,"""")"),"")</f>
        <v/>
      </c>
      <c r="O404" s="34" t="str">
        <f>IFERROR(__xludf.DUMMYFUNCTION("IF(IF(O$1="""","""",REGEXMATCH(LOWER($E404),XLOOKUP(O$1,Metadata!$A$2:$A1000,Metadata!$B$2:$B1000))),O$1,"""")"),"")</f>
        <v/>
      </c>
      <c r="P404" s="34" t="str">
        <f>IFERROR(__xludf.DUMMYFUNCTION("IF(IF(P$1="""","""",REGEXMATCH(LOWER($E404),XLOOKUP(P$1,Metadata!$A$2:$A1000,Metadata!$B$2:$B1000))),P$1,"""")"),"Void")</f>
        <v>Void</v>
      </c>
      <c r="Q404" s="34" t="str">
        <f>IFERROR(__xludf.DUMMYFUNCTION("IF(IF(Q$1="""","""",REGEXMATCH(LOWER($E404),XLOOKUP(Q$1,Metadata!$A$2:$A1000,Metadata!$B$2:$B1000))),Q$1,"""")"),"")</f>
        <v/>
      </c>
      <c r="R404" s="34" t="str">
        <f>IFERROR(__xludf.DUMMYFUNCTION("IF(IF(R$1="""","""",REGEXMATCH(LOWER($E404),XLOOKUP(R$1,Metadata!$A$2:$A1000,Metadata!$B$2:$B1000))),R$1,"""")"),"")</f>
        <v/>
      </c>
      <c r="S404" s="34" t="str">
        <f>IFERROR(__xludf.DUMMYFUNCTION("IF(IF(S$1="""","""",REGEXMATCH(LOWER($E404),XLOOKUP(S$1,Metadata!$A$2:$A1000,Metadata!$B$2:$B1000))),S$1,"""")"),"")</f>
        <v/>
      </c>
      <c r="T404" s="34" t="str">
        <f>IFERROR(__xludf.DUMMYFUNCTION("IF(IF(T$1="""","""",REGEXMATCH(LOWER($E404),XLOOKUP(T$1,Metadata!$A$2:$A1000,Metadata!$B$2:$B1000))),T$1,"""")"),"")</f>
        <v/>
      </c>
      <c r="U404" s="34" t="str">
        <f>IFERROR(__xludf.DUMMYFUNCTION("IF(IF(U$1="""","""",REGEXMATCH(LOWER($E404),XLOOKUP(U$1,Metadata!$A$2:$A1000,Metadata!$B$2:$B1000))),U$1,"""")"),"")</f>
        <v/>
      </c>
      <c r="V404" s="34" t="str">
        <f>IFERROR(__xludf.DUMMYFUNCTION("IF(IF(V$1="""","""",REGEXMATCH(LOWER($E404),XLOOKUP(V$1,Metadata!$A$2:$A1000,Metadata!$B$2:$B1000))),V$1,"""")"),"")</f>
        <v/>
      </c>
      <c r="W404" s="34" t="str">
        <f>IFERROR(__xludf.DUMMYFUNCTION("IF(IF(W$1="""","""",REGEXMATCH(LOWER($E404),XLOOKUP(W$1,Metadata!$A$2:$A1000,Metadata!$B$2:$B1000))),W$1,"""")"),"")</f>
        <v/>
      </c>
      <c r="X404" s="34" t="str">
        <f>IFERROR(__xludf.DUMMYFUNCTION("IF(IF(X$1="""","""",REGEXMATCH(LOWER($E404),XLOOKUP(X$1,Metadata!$A$2:$A1000,Metadata!$B$2:$B1000))),X$1,"""")"),"")</f>
        <v/>
      </c>
      <c r="Y404" s="34" t="str">
        <f>IFERROR(__xludf.DUMMYFUNCTION("IF(IF(Y$1="""","""",REGEXMATCH(LOWER($E404),XLOOKUP(Y$1,Metadata!$A$2:$A1000,Metadata!$B$2:$B1000))),Y$1,"""")"),"")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I405">XLOOKUP($A405,Cards!$A$2:$A1000,Cards!$B$2:$I1000,"")</f>
        <v>Void</v>
      </c>
      <c r="C405" s="34">
        <v>1.0</v>
      </c>
      <c r="D405" s="34" t="s">
        <v>651</v>
      </c>
      <c r="E405" s="34" t="s">
        <v>2150</v>
      </c>
      <c r="F405" s="34" t="s">
        <v>2151</v>
      </c>
      <c r="G405" s="34">
        <v>10.0</v>
      </c>
      <c r="H405" s="34" t="s">
        <v>1841</v>
      </c>
      <c r="I405" s="34" t="s">
        <v>32</v>
      </c>
      <c r="J405" s="34">
        <f>IFERROR(__xludf.DUMMYFUNCTION("LEN(REGEXREPLACE(XLOOKUP($A405,Cards!$A$2:$A1000,Cards!$H$2:$H1000,""""),"",\s"",""""))"),4.0)</f>
        <v>4</v>
      </c>
      <c r="K405" s="34" t="str">
        <f t="shared" si="1"/>
        <v>       Control   Empty-Crystal  Ambush   </v>
      </c>
      <c r="L405" s="34" t="str">
        <f>IFERROR(__xludf.DUMMYFUNCTION("IF(IF(L$1="""","""",REGEXMATCH(LOWER($E405),XLOOKUP(L$1,Metadata!$A$2:$A1000,Metadata!$B$2:$B1000))),L$1,"""")"),"")</f>
        <v/>
      </c>
      <c r="M405" s="34" t="str">
        <f>IFERROR(__xludf.DUMMYFUNCTION("IF(IF(M$1="""","""",REGEXMATCH(LOWER($E405),XLOOKUP(M$1,Metadata!$A$2:$A1000,Metadata!$B$2:$B1000))),M$1,"""")"),"")</f>
        <v/>
      </c>
      <c r="N405" s="34" t="str">
        <f>IFERROR(__xludf.DUMMYFUNCTION("IF(IF(N$1="""","""",REGEXMATCH(LOWER($E405),XLOOKUP(N$1,Metadata!$A$2:$A1000,Metadata!$B$2:$B1000))),N$1,"""")"),"")</f>
        <v/>
      </c>
      <c r="O405" s="34" t="str">
        <f>IFERROR(__xludf.DUMMYFUNCTION("IF(IF(O$1="""","""",REGEXMATCH(LOWER($E405),XLOOKUP(O$1,Metadata!$A$2:$A1000,Metadata!$B$2:$B1000))),O$1,"""")"),"")</f>
        <v/>
      </c>
      <c r="P405" s="34" t="str">
        <f>IFERROR(__xludf.DUMMYFUNCTION("IF(IF(P$1="""","""",REGEXMATCH(LOWER($E405),XLOOKUP(P$1,Metadata!$A$2:$A1000,Metadata!$B$2:$B1000))),P$1,"""")"),"")</f>
        <v/>
      </c>
      <c r="Q405" s="34" t="str">
        <f>IFERROR(__xludf.DUMMYFUNCTION("IF(IF(Q$1="""","""",REGEXMATCH(LOWER($E405),XLOOKUP(Q$1,Metadata!$A$2:$A1000,Metadata!$B$2:$B1000))),Q$1,"""")"),"")</f>
        <v/>
      </c>
      <c r="R405" s="34" t="str">
        <f>IFERROR(__xludf.DUMMYFUNCTION("IF(IF(R$1="""","""",REGEXMATCH(LOWER($E405),XLOOKUP(R$1,Metadata!$A$2:$A1000,Metadata!$B$2:$B1000))),R$1,"""")"),"")</f>
        <v/>
      </c>
      <c r="S405" s="34" t="str">
        <f>IFERROR(__xludf.DUMMYFUNCTION("IF(IF(S$1="""","""",REGEXMATCH(LOWER($E405),XLOOKUP(S$1,Metadata!$A$2:$A1000,Metadata!$B$2:$B1000))),S$1,"""")"),"Control")</f>
        <v>Control</v>
      </c>
      <c r="T405" s="34" t="str">
        <f>IFERROR(__xludf.DUMMYFUNCTION("IF(IF(T$1="""","""",REGEXMATCH(LOWER($E405),XLOOKUP(T$1,Metadata!$A$2:$A1000,Metadata!$B$2:$B1000))),T$1,"""")"),"")</f>
        <v/>
      </c>
      <c r="U405" s="34" t="str">
        <f>IFERROR(__xludf.DUMMYFUNCTION("IF(IF(U$1="""","""",REGEXMATCH(LOWER($E405),XLOOKUP(U$1,Metadata!$A$2:$A1000,Metadata!$B$2:$B1000))),U$1,"""")"),"")</f>
        <v/>
      </c>
      <c r="V405" s="34" t="str">
        <f>IFERROR(__xludf.DUMMYFUNCTION("IF(IF(V$1="""","""",REGEXMATCH(LOWER($E405),XLOOKUP(V$1,Metadata!$A$2:$A1000,Metadata!$B$2:$B1000))),V$1,"""")"),"Empty-Crystal")</f>
        <v>Empty-Crystal</v>
      </c>
      <c r="W405" s="34" t="str">
        <f>IFERROR(__xludf.DUMMYFUNCTION("IF(IF(W$1="""","""",REGEXMATCH(LOWER($E405),XLOOKUP(W$1,Metadata!$A$2:$A1000,Metadata!$B$2:$B1000))),W$1,"""")"),"")</f>
        <v/>
      </c>
      <c r="X405" s="34" t="str">
        <f>IFERROR(__xludf.DUMMYFUNCTION("IF(IF(X$1="""","""",REGEXMATCH(LOWER($E405),XLOOKUP(X$1,Metadata!$A$2:$A1000,Metadata!$B$2:$B1000))),X$1,"""")"),"Ambush")</f>
        <v>Ambush</v>
      </c>
      <c r="Y405" s="34" t="str">
        <f>IFERROR(__xludf.DUMMYFUNCTION("IF(IF(Y$1="""","""",REGEXMATCH(LOWER($E405),XLOOKUP(Y$1,Metadata!$A$2:$A1000,Metadata!$B$2:$B1000))),Y$1,"""")"),"")</f>
        <v/>
      </c>
      <c r="Z405" s="34" t="str">
        <f>IFERROR(__xludf.DUMMYFUNCTION("IF(IF(Z$1="""","""",REGEXMATCH(LOWER($E405),XLOOKUP(Z$1,Metadata!$A$2:$A1000,Metadata!$B$2:$B1000))),Z$1,"""")"),"")</f>
        <v/>
      </c>
    </row>
    <row r="406">
      <c r="A406" s="34" t="str">
        <f>IFERROR(__xludf.DUMMYFUNCTION("""COMPUTED_VALUE"""),"The Forsaken King")</f>
        <v>The Forsaken King</v>
      </c>
      <c r="B406" s="34" t="str">
        <f t="array" ref="B406:I406">XLOOKUP($A406,Cards!$A$2:$A1000,Cards!$B$2:$I1000,"")</f>
        <v>Void</v>
      </c>
      <c r="C406" s="34">
        <v>1.0</v>
      </c>
      <c r="D406" s="34" t="s">
        <v>2153</v>
      </c>
      <c r="E406" s="34" t="s">
        <v>2154</v>
      </c>
      <c r="F406" s="34" t="s">
        <v>2155</v>
      </c>
      <c r="G406" s="34">
        <v>6.0</v>
      </c>
      <c r="H406" s="34" t="s">
        <v>1835</v>
      </c>
      <c r="I406" s="34" t="s">
        <v>32</v>
      </c>
      <c r="J406" s="34">
        <f>IFERROR(__xludf.DUMMYFUNCTION("LEN(REGEXREPLACE(XLOOKUP($A406,Cards!$A$2:$A1000,Cards!$H$2:$H1000,""""),"",\s"",""""))"),6.0)</f>
        <v>6</v>
      </c>
      <c r="K406" s="34" t="str">
        <f t="shared" si="1"/>
        <v>               </v>
      </c>
      <c r="L406" s="34" t="str">
        <f>IFERROR(__xludf.DUMMYFUNCTION("IF(IF(L$1="""","""",REGEXMATCH(LOWER($E406),XLOOKUP(L$1,Metadata!$A$2:$A1000,Metadata!$B$2:$B1000))),L$1,"""")"),"")</f>
        <v/>
      </c>
      <c r="M406" s="34" t="str">
        <f>IFERROR(__xludf.DUMMYFUNCTION("IF(IF(M$1="""","""",REGEXMATCH(LOWER($E406),XLOOKUP(M$1,Metadata!$A$2:$A1000,Metadata!$B$2:$B1000))),M$1,"""")"),"")</f>
        <v/>
      </c>
      <c r="N406" s="34" t="str">
        <f>IFERROR(__xludf.DUMMYFUNCTION("IF(IF(N$1="""","""",REGEXMATCH(LOWER($E406),XLOOKUP(N$1,Metadata!$A$2:$A1000,Metadata!$B$2:$B1000))),N$1,"""")"),"")</f>
        <v/>
      </c>
      <c r="O406" s="34" t="str">
        <f>IFERROR(__xludf.DUMMYFUNCTION("IF(IF(O$1="""","""",REGEXMATCH(LOWER($E406),XLOOKUP(O$1,Metadata!$A$2:$A1000,Metadata!$B$2:$B1000))),O$1,"""")"),"")</f>
        <v/>
      </c>
      <c r="P406" s="34" t="str">
        <f>IFERROR(__xludf.DUMMYFUNCTION("IF(IF(P$1="""","""",REGEXMATCH(LOWER($E406),XLOOKUP(P$1,Metadata!$A$2:$A1000,Metadata!$B$2:$B1000))),P$1,"""")"),"")</f>
        <v/>
      </c>
      <c r="Q406" s="34" t="str">
        <f>IFERROR(__xludf.DUMMYFUNCTION("IF(IF(Q$1="""","""",REGEXMATCH(LOWER($E406),XLOOKUP(Q$1,Metadata!$A$2:$A1000,Metadata!$B$2:$B1000))),Q$1,"""")"),"")</f>
        <v/>
      </c>
      <c r="R406" s="34" t="str">
        <f>IFERROR(__xludf.DUMMYFUNCTION("IF(IF(R$1="""","""",REGEXMATCH(LOWER($E406),XLOOKUP(R$1,Metadata!$A$2:$A1000,Metadata!$B$2:$B1000))),R$1,"""")"),"")</f>
        <v/>
      </c>
      <c r="S406" s="34" t="str">
        <f>IFERROR(__xludf.DUMMYFUNCTION("IF(IF(S$1="""","""",REGEXMATCH(LOWER($E406),XLOOKUP(S$1,Metadata!$A$2:$A1000,Metadata!$B$2:$B1000))),S$1,"""")"),"")</f>
        <v/>
      </c>
      <c r="T406" s="34" t="str">
        <f>IFERROR(__xludf.DUMMYFUNCTION("IF(IF(T$1="""","""",REGEXMATCH(LOWER($E406),XLOOKUP(T$1,Metadata!$A$2:$A1000,Metadata!$B$2:$B1000))),T$1,"""")"),"")</f>
        <v/>
      </c>
      <c r="U406" s="34" t="str">
        <f>IFERROR(__xludf.DUMMYFUNCTION("IF(IF(U$1="""","""",REGEXMATCH(LOWER($E406),XLOOKUP(U$1,Metadata!$A$2:$A1000,Metadata!$B$2:$B1000))),U$1,"""")"),"")</f>
        <v/>
      </c>
      <c r="V406" s="34" t="str">
        <f>IFERROR(__xludf.DUMMYFUNCTION("IF(IF(V$1="""","""",REGEXMATCH(LOWER($E406),XLOOKUP(V$1,Metadata!$A$2:$A1000,Metadata!$B$2:$B1000))),V$1,"""")"),"")</f>
        <v/>
      </c>
      <c r="W406" s="34" t="str">
        <f>IFERROR(__xludf.DUMMYFUNCTION("IF(IF(W$1="""","""",REGEXMATCH(LOWER($E406),XLOOKUP(W$1,Metadata!$A$2:$A1000,Metadata!$B$2:$B1000))),W$1,"""")"),"")</f>
        <v/>
      </c>
      <c r="X406" s="34" t="str">
        <f>IFERROR(__xludf.DUMMYFUNCTION("IF(IF(X$1="""","""",REGEXMATCH(LOWER($E406),XLOOKUP(X$1,Metadata!$A$2:$A1000,Metadata!$B$2:$B1000))),X$1,"""")"),"")</f>
        <v/>
      </c>
      <c r="Y406" s="34" t="str">
        <f>IFERROR(__xludf.DUMMYFUNCTION("IF(IF(Y$1="""","""",REGEXMATCH(LOWER($E406),XLOOKUP(Y$1,Metadata!$A$2:$A1000,Metadata!$B$2:$B1000))),Y$1,"""")"),"")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I407">XLOOKUP($A407,Cards!$A$2:$A1000,Cards!$B$2:$I1000,"")</f>
        <v>Void</v>
      </c>
      <c r="C407" s="34">
        <v>1.0</v>
      </c>
      <c r="D407" s="34" t="s">
        <v>1935</v>
      </c>
      <c r="E407" s="34" t="s">
        <v>2157</v>
      </c>
      <c r="F407" s="34"/>
      <c r="G407" s="34">
        <v>6.0</v>
      </c>
      <c r="H407" s="34" t="s">
        <v>1786</v>
      </c>
      <c r="I407" s="34" t="s">
        <v>32</v>
      </c>
      <c r="J407" s="34">
        <f>IFERROR(__xludf.DUMMYFUNCTION("LEN(REGEXREPLACE(XLOOKUP($A407,Cards!$A$2:$A1000,Cards!$H$2:$H1000,""""),"",\s"",""""))"),7.0)</f>
        <v>7</v>
      </c>
      <c r="K407" s="34" t="str">
        <f t="shared" si="1"/>
        <v>      Ramp         </v>
      </c>
      <c r="L407" s="34" t="str">
        <f>IFERROR(__xludf.DUMMYFUNCTION("IF(IF(L$1="""","""",REGEXMATCH(LOWER($E407),XLOOKUP(L$1,Metadata!$A$2:$A1000,Metadata!$B$2:$B1000))),L$1,"""")"),"")</f>
        <v/>
      </c>
      <c r="M407" s="34" t="str">
        <f>IFERROR(__xludf.DUMMYFUNCTION("IF(IF(M$1="""","""",REGEXMATCH(LOWER($E407),XLOOKUP(M$1,Metadata!$A$2:$A1000,Metadata!$B$2:$B1000))),M$1,"""")"),"")</f>
        <v/>
      </c>
      <c r="N407" s="34" t="str">
        <f>IFERROR(__xludf.DUMMYFUNCTION("IF(IF(N$1="""","""",REGEXMATCH(LOWER($E407),XLOOKUP(N$1,Metadata!$A$2:$A1000,Metadata!$B$2:$B1000))),N$1,"""")"),"")</f>
        <v/>
      </c>
      <c r="O407" s="34" t="str">
        <f>IFERROR(__xludf.DUMMYFUNCTION("IF(IF(O$1="""","""",REGEXMATCH(LOWER($E407),XLOOKUP(O$1,Metadata!$A$2:$A1000,Metadata!$B$2:$B1000))),O$1,"""")"),"")</f>
        <v/>
      </c>
      <c r="P407" s="34" t="str">
        <f>IFERROR(__xludf.DUMMYFUNCTION("IF(IF(P$1="""","""",REGEXMATCH(LOWER($E407),XLOOKUP(P$1,Metadata!$A$2:$A1000,Metadata!$B$2:$B1000))),P$1,"""")"),"")</f>
        <v/>
      </c>
      <c r="Q407" s="34" t="str">
        <f>IFERROR(__xludf.DUMMYFUNCTION("IF(IF(Q$1="""","""",REGEXMATCH(LOWER($E407),XLOOKUP(Q$1,Metadata!$A$2:$A1000,Metadata!$B$2:$B1000))),Q$1,"""")"),"")</f>
        <v/>
      </c>
      <c r="R407" s="34" t="str">
        <f>IFERROR(__xludf.DUMMYFUNCTION("IF(IF(R$1="""","""",REGEXMATCH(LOWER($E407),XLOOKUP(R$1,Metadata!$A$2:$A1000,Metadata!$B$2:$B1000))),R$1,"""")"),"Ramp")</f>
        <v>Ramp</v>
      </c>
      <c r="S407" s="34" t="str">
        <f>IFERROR(__xludf.DUMMYFUNCTION("IF(IF(S$1="""","""",REGEXMATCH(LOWER($E407),XLOOKUP(S$1,Metadata!$A$2:$A1000,Metadata!$B$2:$B1000))),S$1,"""")"),"")</f>
        <v/>
      </c>
      <c r="T407" s="34" t="str">
        <f>IFERROR(__xludf.DUMMYFUNCTION("IF(IF(T$1="""","""",REGEXMATCH(LOWER($E407),XLOOKUP(T$1,Metadata!$A$2:$A1000,Metadata!$B$2:$B1000))),T$1,"""")"),"")</f>
        <v/>
      </c>
      <c r="U407" s="34" t="str">
        <f>IFERROR(__xludf.DUMMYFUNCTION("IF(IF(U$1="""","""",REGEXMATCH(LOWER($E407),XLOOKUP(U$1,Metadata!$A$2:$A1000,Metadata!$B$2:$B1000))),U$1,"""")"),"")</f>
        <v/>
      </c>
      <c r="V407" s="34" t="str">
        <f>IFERROR(__xludf.DUMMYFUNCTION("IF(IF(V$1="""","""",REGEXMATCH(LOWER($E407),XLOOKUP(V$1,Metadata!$A$2:$A1000,Metadata!$B$2:$B1000))),V$1,"""")"),"")</f>
        <v/>
      </c>
      <c r="W407" s="34" t="str">
        <f>IFERROR(__xludf.DUMMYFUNCTION("IF(IF(W$1="""","""",REGEXMATCH(LOWER($E407),XLOOKUP(W$1,Metadata!$A$2:$A1000,Metadata!$B$2:$B1000))),W$1,"""")"),"")</f>
        <v/>
      </c>
      <c r="X407" s="34" t="str">
        <f>IFERROR(__xludf.DUMMYFUNCTION("IF(IF(X$1="""","""",REGEXMATCH(LOWER($E407),XLOOKUP(X$1,Metadata!$A$2:$A1000,Metadata!$B$2:$B1000))),X$1,"""")"),"")</f>
        <v/>
      </c>
      <c r="Y407" s="34" t="str">
        <f>IFERROR(__xludf.DUMMYFUNCTION("IF(IF(Y$1="""","""",REGEXMATCH(LOWER($E407),XLOOKUP(Y$1,Metadata!$A$2:$A1000,Metadata!$B$2:$B1000))),Y$1,"""")"),"")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I408">XLOOKUP($A408,Cards!$A$2:$A1000,Cards!$B$2:$I1000,"")</f>
        <v>Void</v>
      </c>
      <c r="C408" s="34">
        <v>1.0</v>
      </c>
      <c r="D408" s="34" t="s">
        <v>1446</v>
      </c>
      <c r="E408" s="34"/>
      <c r="F408" s="34" t="s">
        <v>2159</v>
      </c>
      <c r="G408" s="34">
        <v>1.0</v>
      </c>
      <c r="H408" s="34" t="s">
        <v>1773</v>
      </c>
      <c r="I408" s="34" t="s">
        <v>26</v>
      </c>
      <c r="J408" s="34">
        <f>IFERROR(__xludf.DUMMYFUNCTION("LEN(REGEXREPLACE(XLOOKUP($A408,Cards!$A$2:$A1000,Cards!$H$2:$H1000,""""),"",\s"",""""))"),1.0)</f>
        <v>1</v>
      </c>
      <c r="K408" s="34" t="str">
        <f t="shared" si="1"/>
        <v>               </v>
      </c>
      <c r="L408" s="34" t="str">
        <f>IFERROR(__xludf.DUMMYFUNCTION("IF(IF(L$1="""","""",REGEXMATCH(LOWER($E408),XLOOKUP(L$1,Metadata!$A$2:$A1000,Metadata!$B$2:$B1000))),L$1,"""")"),"")</f>
        <v/>
      </c>
      <c r="M408" s="34" t="str">
        <f>IFERROR(__xludf.DUMMYFUNCTION("IF(IF(M$1="""","""",REGEXMATCH(LOWER($E408),XLOOKUP(M$1,Metadata!$A$2:$A1000,Metadata!$B$2:$B1000))),M$1,"""")"),"")</f>
        <v/>
      </c>
      <c r="N408" s="34" t="str">
        <f>IFERROR(__xludf.DUMMYFUNCTION("IF(IF(N$1="""","""",REGEXMATCH(LOWER($E408),XLOOKUP(N$1,Metadata!$A$2:$A1000,Metadata!$B$2:$B1000))),N$1,"""")"),"")</f>
        <v/>
      </c>
      <c r="O408" s="34" t="str">
        <f>IFERROR(__xludf.DUMMYFUNCTION("IF(IF(O$1="""","""",REGEXMATCH(LOWER($E408),XLOOKUP(O$1,Metadata!$A$2:$A1000,Metadata!$B$2:$B1000))),O$1,"""")"),"")</f>
        <v/>
      </c>
      <c r="P408" s="34" t="str">
        <f>IFERROR(__xludf.DUMMYFUNCTION("IF(IF(P$1="""","""",REGEXMATCH(LOWER($E408),XLOOKUP(P$1,Metadata!$A$2:$A1000,Metadata!$B$2:$B1000))),P$1,"""")"),"")</f>
        <v/>
      </c>
      <c r="Q408" s="34" t="str">
        <f>IFERROR(__xludf.DUMMYFUNCTION("IF(IF(Q$1="""","""",REGEXMATCH(LOWER($E408),XLOOKUP(Q$1,Metadata!$A$2:$A1000,Metadata!$B$2:$B1000))),Q$1,"""")"),"")</f>
        <v/>
      </c>
      <c r="R408" s="34" t="str">
        <f>IFERROR(__xludf.DUMMYFUNCTION("IF(IF(R$1="""","""",REGEXMATCH(LOWER($E408),XLOOKUP(R$1,Metadata!$A$2:$A1000,Metadata!$B$2:$B1000))),R$1,"""")"),"")</f>
        <v/>
      </c>
      <c r="S408" s="34" t="str">
        <f>IFERROR(__xludf.DUMMYFUNCTION("IF(IF(S$1="""","""",REGEXMATCH(LOWER($E408),XLOOKUP(S$1,Metadata!$A$2:$A1000,Metadata!$B$2:$B1000))),S$1,"""")"),"")</f>
        <v/>
      </c>
      <c r="T408" s="34" t="str">
        <f>IFERROR(__xludf.DUMMYFUNCTION("IF(IF(T$1="""","""",REGEXMATCH(LOWER($E408),XLOOKUP(T$1,Metadata!$A$2:$A1000,Metadata!$B$2:$B1000))),T$1,"""")"),"")</f>
        <v/>
      </c>
      <c r="U408" s="34" t="str">
        <f>IFERROR(__xludf.DUMMYFUNCTION("IF(IF(U$1="""","""",REGEXMATCH(LOWER($E408),XLOOKUP(U$1,Metadata!$A$2:$A1000,Metadata!$B$2:$B1000))),U$1,"""")"),"")</f>
        <v/>
      </c>
      <c r="V408" s="34" t="str">
        <f>IFERROR(__xludf.DUMMYFUNCTION("IF(IF(V$1="""","""",REGEXMATCH(LOWER($E408),XLOOKUP(V$1,Metadata!$A$2:$A1000,Metadata!$B$2:$B1000))),V$1,"""")"),"")</f>
        <v/>
      </c>
      <c r="W408" s="34" t="str">
        <f>IFERROR(__xludf.DUMMYFUNCTION("IF(IF(W$1="""","""",REGEXMATCH(LOWER($E408),XLOOKUP(W$1,Metadata!$A$2:$A1000,Metadata!$B$2:$B1000))),W$1,"""")"),"")</f>
        <v/>
      </c>
      <c r="X408" s="34" t="str">
        <f>IFERROR(__xludf.DUMMYFUNCTION("IF(IF(X$1="""","""",REGEXMATCH(LOWER($E408),XLOOKUP(X$1,Metadata!$A$2:$A1000,Metadata!$B$2:$B1000))),X$1,"""")"),"")</f>
        <v/>
      </c>
      <c r="Y408" s="34" t="str">
        <f>IFERROR(__xludf.DUMMYFUNCTION("IF(IF(Y$1="""","""",REGEXMATCH(LOWER($E408),XLOOKUP(Y$1,Metadata!$A$2:$A1000,Metadata!$B$2:$B1000))),Y$1,"""")"),"")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I409">XLOOKUP($A409,Cards!$A$2:$A1000,Cards!$B$2:$I1000,"")</f>
        <v>Void</v>
      </c>
      <c r="C409" s="34">
        <v>1.0</v>
      </c>
      <c r="D409" s="34" t="s">
        <v>1524</v>
      </c>
      <c r="E409" s="34"/>
      <c r="F409" s="34"/>
      <c r="G409" s="34">
        <v>2.0</v>
      </c>
      <c r="H409" s="34" t="s">
        <v>1795</v>
      </c>
      <c r="I409" s="34" t="s">
        <v>26</v>
      </c>
      <c r="J409" s="34">
        <f>IFERROR(__xludf.DUMMYFUNCTION("LEN(REGEXREPLACE(XLOOKUP($A409,Cards!$A$2:$A1000,Cards!$H$2:$H1000,""""),"",\s"",""""))"),2.0)</f>
        <v>2</v>
      </c>
      <c r="K409" s="34" t="str">
        <f t="shared" si="1"/>
        <v>               </v>
      </c>
      <c r="L409" s="34" t="str">
        <f>IFERROR(__xludf.DUMMYFUNCTION("IF(IF(L$1="""","""",REGEXMATCH(LOWER($E409),XLOOKUP(L$1,Metadata!$A$2:$A1000,Metadata!$B$2:$B1000))),L$1,"""")"),"")</f>
        <v/>
      </c>
      <c r="M409" s="34" t="str">
        <f>IFERROR(__xludf.DUMMYFUNCTION("IF(IF(M$1="""","""",REGEXMATCH(LOWER($E409),XLOOKUP(M$1,Metadata!$A$2:$A1000,Metadata!$B$2:$B1000))),M$1,"""")"),"")</f>
        <v/>
      </c>
      <c r="N409" s="34" t="str">
        <f>IFERROR(__xludf.DUMMYFUNCTION("IF(IF(N$1="""","""",REGEXMATCH(LOWER($E409),XLOOKUP(N$1,Metadata!$A$2:$A1000,Metadata!$B$2:$B1000))),N$1,"""")"),"")</f>
        <v/>
      </c>
      <c r="O409" s="34" t="str">
        <f>IFERROR(__xludf.DUMMYFUNCTION("IF(IF(O$1="""","""",REGEXMATCH(LOWER($E409),XLOOKUP(O$1,Metadata!$A$2:$A1000,Metadata!$B$2:$B1000))),O$1,"""")"),"")</f>
        <v/>
      </c>
      <c r="P409" s="34" t="str">
        <f>IFERROR(__xludf.DUMMYFUNCTION("IF(IF(P$1="""","""",REGEXMATCH(LOWER($E409),XLOOKUP(P$1,Metadata!$A$2:$A1000,Metadata!$B$2:$B1000))),P$1,"""")"),"")</f>
        <v/>
      </c>
      <c r="Q409" s="34" t="str">
        <f>IFERROR(__xludf.DUMMYFUNCTION("IF(IF(Q$1="""","""",REGEXMATCH(LOWER($E409),XLOOKUP(Q$1,Metadata!$A$2:$A1000,Metadata!$B$2:$B1000))),Q$1,"""")"),"")</f>
        <v/>
      </c>
      <c r="R409" s="34" t="str">
        <f>IFERROR(__xludf.DUMMYFUNCTION("IF(IF(R$1="""","""",REGEXMATCH(LOWER($E409),XLOOKUP(R$1,Metadata!$A$2:$A1000,Metadata!$B$2:$B1000))),R$1,"""")"),"")</f>
        <v/>
      </c>
      <c r="S409" s="34" t="str">
        <f>IFERROR(__xludf.DUMMYFUNCTION("IF(IF(S$1="""","""",REGEXMATCH(LOWER($E409),XLOOKUP(S$1,Metadata!$A$2:$A1000,Metadata!$B$2:$B1000))),S$1,"""")"),"")</f>
        <v/>
      </c>
      <c r="T409" s="34" t="str">
        <f>IFERROR(__xludf.DUMMYFUNCTION("IF(IF(T$1="""","""",REGEXMATCH(LOWER($E409),XLOOKUP(T$1,Metadata!$A$2:$A1000,Metadata!$B$2:$B1000))),T$1,"""")"),"")</f>
        <v/>
      </c>
      <c r="U409" s="34" t="str">
        <f>IFERROR(__xludf.DUMMYFUNCTION("IF(IF(U$1="""","""",REGEXMATCH(LOWER($E409),XLOOKUP(U$1,Metadata!$A$2:$A1000,Metadata!$B$2:$B1000))),U$1,"""")"),"")</f>
        <v/>
      </c>
      <c r="V409" s="34" t="str">
        <f>IFERROR(__xludf.DUMMYFUNCTION("IF(IF(V$1="""","""",REGEXMATCH(LOWER($E409),XLOOKUP(V$1,Metadata!$A$2:$A1000,Metadata!$B$2:$B1000))),V$1,"""")"),"")</f>
        <v/>
      </c>
      <c r="W409" s="34" t="str">
        <f>IFERROR(__xludf.DUMMYFUNCTION("IF(IF(W$1="""","""",REGEXMATCH(LOWER($E409),XLOOKUP(W$1,Metadata!$A$2:$A1000,Metadata!$B$2:$B1000))),W$1,"""")"),"")</f>
        <v/>
      </c>
      <c r="X409" s="34" t="str">
        <f>IFERROR(__xludf.DUMMYFUNCTION("IF(IF(X$1="""","""",REGEXMATCH(LOWER($E409),XLOOKUP(X$1,Metadata!$A$2:$A1000,Metadata!$B$2:$B1000))),X$1,"""")"),"")</f>
        <v/>
      </c>
      <c r="Y409" s="34" t="str">
        <f>IFERROR(__xludf.DUMMYFUNCTION("IF(IF(Y$1="""","""",REGEXMATCH(LOWER($E409),XLOOKUP(Y$1,Metadata!$A$2:$A1000,Metadata!$B$2:$B1000))),Y$1,"""")"),"")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I410">XLOOKUP($A410,Cards!$A$2:$A1000,Cards!$B$2:$I1000,"")</f>
        <v>Void</v>
      </c>
      <c r="C410" s="34">
        <v>1.0</v>
      </c>
      <c r="D410" s="34" t="s">
        <v>1931</v>
      </c>
      <c r="E410" s="34"/>
      <c r="F410" s="34" t="s">
        <v>2162</v>
      </c>
      <c r="G410" s="34">
        <v>5.0</v>
      </c>
      <c r="H410" s="34" t="s">
        <v>1841</v>
      </c>
      <c r="I410" s="34" t="s">
        <v>26</v>
      </c>
      <c r="J410" s="34">
        <f>IFERROR(__xludf.DUMMYFUNCTION("LEN(REGEXREPLACE(XLOOKUP($A410,Cards!$A$2:$A1000,Cards!$H$2:$H1000,""""),"",\s"",""""))"),4.0)</f>
        <v>4</v>
      </c>
      <c r="K410" s="34" t="str">
        <f t="shared" si="1"/>
        <v>               </v>
      </c>
      <c r="L410" s="34" t="str">
        <f>IFERROR(__xludf.DUMMYFUNCTION("IF(IF(L$1="""","""",REGEXMATCH(LOWER($E410),XLOOKUP(L$1,Metadata!$A$2:$A1000,Metadata!$B$2:$B1000))),L$1,"""")"),"")</f>
        <v/>
      </c>
      <c r="M410" s="34" t="str">
        <f>IFERROR(__xludf.DUMMYFUNCTION("IF(IF(M$1="""","""",REGEXMATCH(LOWER($E410),XLOOKUP(M$1,Metadata!$A$2:$A1000,Metadata!$B$2:$B1000))),M$1,"""")"),"")</f>
        <v/>
      </c>
      <c r="N410" s="34" t="str">
        <f>IFERROR(__xludf.DUMMYFUNCTION("IF(IF(N$1="""","""",REGEXMATCH(LOWER($E410),XLOOKUP(N$1,Metadata!$A$2:$A1000,Metadata!$B$2:$B1000))),N$1,"""")"),"")</f>
        <v/>
      </c>
      <c r="O410" s="34" t="str">
        <f>IFERROR(__xludf.DUMMYFUNCTION("IF(IF(O$1="""","""",REGEXMATCH(LOWER($E410),XLOOKUP(O$1,Metadata!$A$2:$A1000,Metadata!$B$2:$B1000))),O$1,"""")"),"")</f>
        <v/>
      </c>
      <c r="P410" s="34" t="str">
        <f>IFERROR(__xludf.DUMMYFUNCTION("IF(IF(P$1="""","""",REGEXMATCH(LOWER($E410),XLOOKUP(P$1,Metadata!$A$2:$A1000,Metadata!$B$2:$B1000))),P$1,"""")"),"")</f>
        <v/>
      </c>
      <c r="Q410" s="34" t="str">
        <f>IFERROR(__xludf.DUMMYFUNCTION("IF(IF(Q$1="""","""",REGEXMATCH(LOWER($E410),XLOOKUP(Q$1,Metadata!$A$2:$A1000,Metadata!$B$2:$B1000))),Q$1,"""")"),"")</f>
        <v/>
      </c>
      <c r="R410" s="34" t="str">
        <f>IFERROR(__xludf.DUMMYFUNCTION("IF(IF(R$1="""","""",REGEXMATCH(LOWER($E410),XLOOKUP(R$1,Metadata!$A$2:$A1000,Metadata!$B$2:$B1000))),R$1,"""")"),"")</f>
        <v/>
      </c>
      <c r="S410" s="34" t="str">
        <f>IFERROR(__xludf.DUMMYFUNCTION("IF(IF(S$1="""","""",REGEXMATCH(LOWER($E410),XLOOKUP(S$1,Metadata!$A$2:$A1000,Metadata!$B$2:$B1000))),S$1,"""")"),"")</f>
        <v/>
      </c>
      <c r="T410" s="34" t="str">
        <f>IFERROR(__xludf.DUMMYFUNCTION("IF(IF(T$1="""","""",REGEXMATCH(LOWER($E410),XLOOKUP(T$1,Metadata!$A$2:$A1000,Metadata!$B$2:$B1000))),T$1,"""")"),"")</f>
        <v/>
      </c>
      <c r="U410" s="34" t="str">
        <f>IFERROR(__xludf.DUMMYFUNCTION("IF(IF(U$1="""","""",REGEXMATCH(LOWER($E410),XLOOKUP(U$1,Metadata!$A$2:$A1000,Metadata!$B$2:$B1000))),U$1,"""")"),"")</f>
        <v/>
      </c>
      <c r="V410" s="34" t="str">
        <f>IFERROR(__xludf.DUMMYFUNCTION("IF(IF(V$1="""","""",REGEXMATCH(LOWER($E410),XLOOKUP(V$1,Metadata!$A$2:$A1000,Metadata!$B$2:$B1000))),V$1,"""")"),"")</f>
        <v/>
      </c>
      <c r="W410" s="34" t="str">
        <f>IFERROR(__xludf.DUMMYFUNCTION("IF(IF(W$1="""","""",REGEXMATCH(LOWER($E410),XLOOKUP(W$1,Metadata!$A$2:$A1000,Metadata!$B$2:$B1000))),W$1,"""")"),"")</f>
        <v/>
      </c>
      <c r="X410" s="34" t="str">
        <f>IFERROR(__xludf.DUMMYFUNCTION("IF(IF(X$1="""","""",REGEXMATCH(LOWER($E410),XLOOKUP(X$1,Metadata!$A$2:$A1000,Metadata!$B$2:$B1000))),X$1,"""")"),"")</f>
        <v/>
      </c>
      <c r="Y410" s="34" t="str">
        <f>IFERROR(__xludf.DUMMYFUNCTION("IF(IF(Y$1="""","""",REGEXMATCH(LOWER($E410),XLOOKUP(Y$1,Metadata!$A$2:$A1000,Metadata!$B$2:$B1000))),Y$1,"""")"),"")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I411">XLOOKUP($A411,Cards!$A$2:$A1000,Cards!$B$2:$I1000,"")</f>
        <v>Void</v>
      </c>
      <c r="C411" s="34">
        <v>1.0</v>
      </c>
      <c r="D411" s="34" t="s">
        <v>1783</v>
      </c>
      <c r="E411" s="34"/>
      <c r="F411" s="34" t="s">
        <v>2164</v>
      </c>
      <c r="G411" s="34">
        <v>6.0</v>
      </c>
      <c r="H411" s="34" t="s">
        <v>1781</v>
      </c>
      <c r="I411" s="34" t="s">
        <v>26</v>
      </c>
      <c r="J411" s="34">
        <f>IFERROR(__xludf.DUMMYFUNCTION("LEN(REGEXREPLACE(XLOOKUP($A411,Cards!$A$2:$A1000,Cards!$H$2:$H1000,""""),"",\s"",""""))"),5.0)</f>
        <v>5</v>
      </c>
      <c r="K411" s="34" t="str">
        <f t="shared" si="1"/>
        <v>               </v>
      </c>
      <c r="L411" s="34" t="str">
        <f>IFERROR(__xludf.DUMMYFUNCTION("IF(IF(L$1="""","""",REGEXMATCH(LOWER($E411),XLOOKUP(L$1,Metadata!$A$2:$A1000,Metadata!$B$2:$B1000))),L$1,"""")"),"")</f>
        <v/>
      </c>
      <c r="M411" s="34" t="str">
        <f>IFERROR(__xludf.DUMMYFUNCTION("IF(IF(M$1="""","""",REGEXMATCH(LOWER($E411),XLOOKUP(M$1,Metadata!$A$2:$A1000,Metadata!$B$2:$B1000))),M$1,"""")"),"")</f>
        <v/>
      </c>
      <c r="N411" s="34" t="str">
        <f>IFERROR(__xludf.DUMMYFUNCTION("IF(IF(N$1="""","""",REGEXMATCH(LOWER($E411),XLOOKUP(N$1,Metadata!$A$2:$A1000,Metadata!$B$2:$B1000))),N$1,"""")"),"")</f>
        <v/>
      </c>
      <c r="O411" s="34" t="str">
        <f>IFERROR(__xludf.DUMMYFUNCTION("IF(IF(O$1="""","""",REGEXMATCH(LOWER($E411),XLOOKUP(O$1,Metadata!$A$2:$A1000,Metadata!$B$2:$B1000))),O$1,"""")"),"")</f>
        <v/>
      </c>
      <c r="P411" s="34" t="str">
        <f>IFERROR(__xludf.DUMMYFUNCTION("IF(IF(P$1="""","""",REGEXMATCH(LOWER($E411),XLOOKUP(P$1,Metadata!$A$2:$A1000,Metadata!$B$2:$B1000))),P$1,"""")"),"")</f>
        <v/>
      </c>
      <c r="Q411" s="34" t="str">
        <f>IFERROR(__xludf.DUMMYFUNCTION("IF(IF(Q$1="""","""",REGEXMATCH(LOWER($E411),XLOOKUP(Q$1,Metadata!$A$2:$A1000,Metadata!$B$2:$B1000))),Q$1,"""")"),"")</f>
        <v/>
      </c>
      <c r="R411" s="34" t="str">
        <f>IFERROR(__xludf.DUMMYFUNCTION("IF(IF(R$1="""","""",REGEXMATCH(LOWER($E411),XLOOKUP(R$1,Metadata!$A$2:$A1000,Metadata!$B$2:$B1000))),R$1,"""")"),"")</f>
        <v/>
      </c>
      <c r="S411" s="34" t="str">
        <f>IFERROR(__xludf.DUMMYFUNCTION("IF(IF(S$1="""","""",REGEXMATCH(LOWER($E411),XLOOKUP(S$1,Metadata!$A$2:$A1000,Metadata!$B$2:$B1000))),S$1,"""")"),"")</f>
        <v/>
      </c>
      <c r="T411" s="34" t="str">
        <f>IFERROR(__xludf.DUMMYFUNCTION("IF(IF(T$1="""","""",REGEXMATCH(LOWER($E411),XLOOKUP(T$1,Metadata!$A$2:$A1000,Metadata!$B$2:$B1000))),T$1,"""")"),"")</f>
        <v/>
      </c>
      <c r="U411" s="34" t="str">
        <f>IFERROR(__xludf.DUMMYFUNCTION("IF(IF(U$1="""","""",REGEXMATCH(LOWER($E411),XLOOKUP(U$1,Metadata!$A$2:$A1000,Metadata!$B$2:$B1000))),U$1,"""")"),"")</f>
        <v/>
      </c>
      <c r="V411" s="34" t="str">
        <f>IFERROR(__xludf.DUMMYFUNCTION("IF(IF(V$1="""","""",REGEXMATCH(LOWER($E411),XLOOKUP(V$1,Metadata!$A$2:$A1000,Metadata!$B$2:$B1000))),V$1,"""")"),"")</f>
        <v/>
      </c>
      <c r="W411" s="34" t="str">
        <f>IFERROR(__xludf.DUMMYFUNCTION("IF(IF(W$1="""","""",REGEXMATCH(LOWER($E411),XLOOKUP(W$1,Metadata!$A$2:$A1000,Metadata!$B$2:$B1000))),W$1,"""")"),"")</f>
        <v/>
      </c>
      <c r="X411" s="34" t="str">
        <f>IFERROR(__xludf.DUMMYFUNCTION("IF(IF(X$1="""","""",REGEXMATCH(LOWER($E411),XLOOKUP(X$1,Metadata!$A$2:$A1000,Metadata!$B$2:$B1000))),X$1,"""")"),"")</f>
        <v/>
      </c>
      <c r="Y411" s="34" t="str">
        <f>IFERROR(__xludf.DUMMYFUNCTION("IF(IF(Y$1="""","""",REGEXMATCH(LOWER($E411),XLOOKUP(Y$1,Metadata!$A$2:$A1000,Metadata!$B$2:$B1000))),Y$1,"""")"),"")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I412">XLOOKUP($A412,Cards!$A$2:$A1000,Cards!$B$2:$I1000,"")</f>
        <v>Void</v>
      </c>
      <c r="C412" s="34">
        <v>1.0</v>
      </c>
      <c r="D412" s="34" t="s">
        <v>266</v>
      </c>
      <c r="E412" s="34"/>
      <c r="F412" s="34" t="s">
        <v>2166</v>
      </c>
      <c r="G412" s="34">
        <v>4.0</v>
      </c>
      <c r="H412" s="34" t="s">
        <v>1892</v>
      </c>
      <c r="I412" s="34" t="s">
        <v>26</v>
      </c>
      <c r="J412" s="34">
        <f>IFERROR(__xludf.DUMMYFUNCTION("LEN(REGEXREPLACE(XLOOKUP($A412,Cards!$A$2:$A1000,Cards!$H$2:$H1000,""""),"",\s"",""""))"),4.0)</f>
        <v>4</v>
      </c>
      <c r="K412" s="34" t="str">
        <f t="shared" si="1"/>
        <v>               </v>
      </c>
      <c r="L412" s="34" t="str">
        <f>IFERROR(__xludf.DUMMYFUNCTION("IF(IF(L$1="""","""",REGEXMATCH(LOWER($E412),XLOOKUP(L$1,Metadata!$A$2:$A1000,Metadata!$B$2:$B1000))),L$1,"""")"),"")</f>
        <v/>
      </c>
      <c r="M412" s="34" t="str">
        <f>IFERROR(__xludf.DUMMYFUNCTION("IF(IF(M$1="""","""",REGEXMATCH(LOWER($E412),XLOOKUP(M$1,Metadata!$A$2:$A1000,Metadata!$B$2:$B1000))),M$1,"""")"),"")</f>
        <v/>
      </c>
      <c r="N412" s="34" t="str">
        <f>IFERROR(__xludf.DUMMYFUNCTION("IF(IF(N$1="""","""",REGEXMATCH(LOWER($E412),XLOOKUP(N$1,Metadata!$A$2:$A1000,Metadata!$B$2:$B1000))),N$1,"""")"),"")</f>
        <v/>
      </c>
      <c r="O412" s="34" t="str">
        <f>IFERROR(__xludf.DUMMYFUNCTION("IF(IF(O$1="""","""",REGEXMATCH(LOWER($E412),XLOOKUP(O$1,Metadata!$A$2:$A1000,Metadata!$B$2:$B1000))),O$1,"""")"),"")</f>
        <v/>
      </c>
      <c r="P412" s="34" t="str">
        <f>IFERROR(__xludf.DUMMYFUNCTION("IF(IF(P$1="""","""",REGEXMATCH(LOWER($E412),XLOOKUP(P$1,Metadata!$A$2:$A1000,Metadata!$B$2:$B1000))),P$1,"""")"),"")</f>
        <v/>
      </c>
      <c r="Q412" s="34" t="str">
        <f>IFERROR(__xludf.DUMMYFUNCTION("IF(IF(Q$1="""","""",REGEXMATCH(LOWER($E412),XLOOKUP(Q$1,Metadata!$A$2:$A1000,Metadata!$B$2:$B1000))),Q$1,"""")"),"")</f>
        <v/>
      </c>
      <c r="R412" s="34" t="str">
        <f>IFERROR(__xludf.DUMMYFUNCTION("IF(IF(R$1="""","""",REGEXMATCH(LOWER($E412),XLOOKUP(R$1,Metadata!$A$2:$A1000,Metadata!$B$2:$B1000))),R$1,"""")"),"")</f>
        <v/>
      </c>
      <c r="S412" s="34" t="str">
        <f>IFERROR(__xludf.DUMMYFUNCTION("IF(IF(S$1="""","""",REGEXMATCH(LOWER($E412),XLOOKUP(S$1,Metadata!$A$2:$A1000,Metadata!$B$2:$B1000))),S$1,"""")"),"")</f>
        <v/>
      </c>
      <c r="T412" s="34" t="str">
        <f>IFERROR(__xludf.DUMMYFUNCTION("IF(IF(T$1="""","""",REGEXMATCH(LOWER($E412),XLOOKUP(T$1,Metadata!$A$2:$A1000,Metadata!$B$2:$B1000))),T$1,"""")"),"")</f>
        <v/>
      </c>
      <c r="U412" s="34" t="str">
        <f>IFERROR(__xludf.DUMMYFUNCTION("IF(IF(U$1="""","""",REGEXMATCH(LOWER($E412),XLOOKUP(U$1,Metadata!$A$2:$A1000,Metadata!$B$2:$B1000))),U$1,"""")"),"")</f>
        <v/>
      </c>
      <c r="V412" s="34" t="str">
        <f>IFERROR(__xludf.DUMMYFUNCTION("IF(IF(V$1="""","""",REGEXMATCH(LOWER($E412),XLOOKUP(V$1,Metadata!$A$2:$A1000,Metadata!$B$2:$B1000))),V$1,"""")"),"")</f>
        <v/>
      </c>
      <c r="W412" s="34" t="str">
        <f>IFERROR(__xludf.DUMMYFUNCTION("IF(IF(W$1="""","""",REGEXMATCH(LOWER($E412),XLOOKUP(W$1,Metadata!$A$2:$A1000,Metadata!$B$2:$B1000))),W$1,"""")"),"")</f>
        <v/>
      </c>
      <c r="X412" s="34" t="str">
        <f>IFERROR(__xludf.DUMMYFUNCTION("IF(IF(X$1="""","""",REGEXMATCH(LOWER($E412),XLOOKUP(X$1,Metadata!$A$2:$A1000,Metadata!$B$2:$B1000))),X$1,"""")"),"")</f>
        <v/>
      </c>
      <c r="Y412" s="34" t="str">
        <f>IFERROR(__xludf.DUMMYFUNCTION("IF(IF(Y$1="""","""",REGEXMATCH(LOWER($E412),XLOOKUP(Y$1,Metadata!$A$2:$A1000,Metadata!$B$2:$B1000))),Y$1,"""")"),"")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I413">XLOOKUP($A413,Cards!$A$2:$A1000,Cards!$B$2:$I1000,"")</f>
        <v>Void</v>
      </c>
      <c r="C413" s="34">
        <v>1.0</v>
      </c>
      <c r="D413" s="34" t="s">
        <v>302</v>
      </c>
      <c r="E413" s="34"/>
      <c r="F413" s="34"/>
      <c r="G413" s="34">
        <v>3.0</v>
      </c>
      <c r="H413" s="34" t="s">
        <v>1791</v>
      </c>
      <c r="I413" s="34" t="s">
        <v>26</v>
      </c>
      <c r="J413" s="34">
        <f>IFERROR(__xludf.DUMMYFUNCTION("LEN(REGEXREPLACE(XLOOKUP($A413,Cards!$A$2:$A1000,Cards!$H$2:$H1000,""""),"",\s"",""""))"),3.0)</f>
        <v>3</v>
      </c>
      <c r="K413" s="34" t="str">
        <f t="shared" si="1"/>
        <v>               </v>
      </c>
      <c r="L413" s="34" t="str">
        <f>IFERROR(__xludf.DUMMYFUNCTION("IF(IF(L$1="""","""",REGEXMATCH(LOWER($E413),XLOOKUP(L$1,Metadata!$A$2:$A1000,Metadata!$B$2:$B1000))),L$1,"""")"),"")</f>
        <v/>
      </c>
      <c r="M413" s="34" t="str">
        <f>IFERROR(__xludf.DUMMYFUNCTION("IF(IF(M$1="""","""",REGEXMATCH(LOWER($E413),XLOOKUP(M$1,Metadata!$A$2:$A1000,Metadata!$B$2:$B1000))),M$1,"""")"),"")</f>
        <v/>
      </c>
      <c r="N413" s="34" t="str">
        <f>IFERROR(__xludf.DUMMYFUNCTION("IF(IF(N$1="""","""",REGEXMATCH(LOWER($E413),XLOOKUP(N$1,Metadata!$A$2:$A1000,Metadata!$B$2:$B1000))),N$1,"""")"),"")</f>
        <v/>
      </c>
      <c r="O413" s="34" t="str">
        <f>IFERROR(__xludf.DUMMYFUNCTION("IF(IF(O$1="""","""",REGEXMATCH(LOWER($E413),XLOOKUP(O$1,Metadata!$A$2:$A1000,Metadata!$B$2:$B1000))),O$1,"""")"),"")</f>
        <v/>
      </c>
      <c r="P413" s="34" t="str">
        <f>IFERROR(__xludf.DUMMYFUNCTION("IF(IF(P$1="""","""",REGEXMATCH(LOWER($E413),XLOOKUP(P$1,Metadata!$A$2:$A1000,Metadata!$B$2:$B1000))),P$1,"""")"),"")</f>
        <v/>
      </c>
      <c r="Q413" s="34" t="str">
        <f>IFERROR(__xludf.DUMMYFUNCTION("IF(IF(Q$1="""","""",REGEXMATCH(LOWER($E413),XLOOKUP(Q$1,Metadata!$A$2:$A1000,Metadata!$B$2:$B1000))),Q$1,"""")"),"")</f>
        <v/>
      </c>
      <c r="R413" s="34" t="str">
        <f>IFERROR(__xludf.DUMMYFUNCTION("IF(IF(R$1="""","""",REGEXMATCH(LOWER($E413),XLOOKUP(R$1,Metadata!$A$2:$A1000,Metadata!$B$2:$B1000))),R$1,"""")"),"")</f>
        <v/>
      </c>
      <c r="S413" s="34" t="str">
        <f>IFERROR(__xludf.DUMMYFUNCTION("IF(IF(S$1="""","""",REGEXMATCH(LOWER($E413),XLOOKUP(S$1,Metadata!$A$2:$A1000,Metadata!$B$2:$B1000))),S$1,"""")"),"")</f>
        <v/>
      </c>
      <c r="T413" s="34" t="str">
        <f>IFERROR(__xludf.DUMMYFUNCTION("IF(IF(T$1="""","""",REGEXMATCH(LOWER($E413),XLOOKUP(T$1,Metadata!$A$2:$A1000,Metadata!$B$2:$B1000))),T$1,"""")"),"")</f>
        <v/>
      </c>
      <c r="U413" s="34" t="str">
        <f>IFERROR(__xludf.DUMMYFUNCTION("IF(IF(U$1="""","""",REGEXMATCH(LOWER($E413),XLOOKUP(U$1,Metadata!$A$2:$A1000,Metadata!$B$2:$B1000))),U$1,"""")"),"")</f>
        <v/>
      </c>
      <c r="V413" s="34" t="str">
        <f>IFERROR(__xludf.DUMMYFUNCTION("IF(IF(V$1="""","""",REGEXMATCH(LOWER($E413),XLOOKUP(V$1,Metadata!$A$2:$A1000,Metadata!$B$2:$B1000))),V$1,"""")"),"")</f>
        <v/>
      </c>
      <c r="W413" s="34" t="str">
        <f>IFERROR(__xludf.DUMMYFUNCTION("IF(IF(W$1="""","""",REGEXMATCH(LOWER($E413),XLOOKUP(W$1,Metadata!$A$2:$A1000,Metadata!$B$2:$B1000))),W$1,"""")"),"")</f>
        <v/>
      </c>
      <c r="X413" s="34" t="str">
        <f>IFERROR(__xludf.DUMMYFUNCTION("IF(IF(X$1="""","""",REGEXMATCH(LOWER($E413),XLOOKUP(X$1,Metadata!$A$2:$A1000,Metadata!$B$2:$B1000))),X$1,"""")"),"")</f>
        <v/>
      </c>
      <c r="Y413" s="34" t="str">
        <f>IFERROR(__xludf.DUMMYFUNCTION("IF(IF(Y$1="""","""",REGEXMATCH(LOWER($E413),XLOOKUP(Y$1,Metadata!$A$2:$A1000,Metadata!$B$2:$B1000))),Y$1,"""")"),"")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I414">XLOOKUP($A414,Cards!$A$2:$A1000,Cards!$B$2:$I1000,"")</f>
        <v>Void</v>
      </c>
      <c r="C414" s="34">
        <v>1.0</v>
      </c>
      <c r="D414" s="34" t="s">
        <v>2169</v>
      </c>
      <c r="E414" s="34" t="s">
        <v>60</v>
      </c>
      <c r="F414" s="34"/>
      <c r="G414" s="34">
        <v>5.0</v>
      </c>
      <c r="H414" s="34" t="s">
        <v>2170</v>
      </c>
      <c r="I414" s="34" t="s">
        <v>26</v>
      </c>
      <c r="J414" s="34">
        <f>IFERROR(__xludf.DUMMYFUNCTION("LEN(REGEXREPLACE(XLOOKUP($A414,Cards!$A$2:$A1000,Cards!$H$2:$H1000,""""),"",\s"",""""))"),7.0)</f>
        <v>7</v>
      </c>
      <c r="K414" s="34" t="str">
        <f t="shared" si="1"/>
        <v>               </v>
      </c>
      <c r="L414" s="34" t="str">
        <f>IFERROR(__xludf.DUMMYFUNCTION("IF(IF(L$1="""","""",REGEXMATCH(LOWER($E414),XLOOKUP(L$1,Metadata!$A$2:$A1000,Metadata!$B$2:$B1000))),L$1,"""")"),"")</f>
        <v/>
      </c>
      <c r="M414" s="34" t="str">
        <f>IFERROR(__xludf.DUMMYFUNCTION("IF(IF(M$1="""","""",REGEXMATCH(LOWER($E414),XLOOKUP(M$1,Metadata!$A$2:$A1000,Metadata!$B$2:$B1000))),M$1,"""")"),"")</f>
        <v/>
      </c>
      <c r="N414" s="34" t="str">
        <f>IFERROR(__xludf.DUMMYFUNCTION("IF(IF(N$1="""","""",REGEXMATCH(LOWER($E414),XLOOKUP(N$1,Metadata!$A$2:$A1000,Metadata!$B$2:$B1000))),N$1,"""")"),"")</f>
        <v/>
      </c>
      <c r="O414" s="34" t="str">
        <f>IFERROR(__xludf.DUMMYFUNCTION("IF(IF(O$1="""","""",REGEXMATCH(LOWER($E414),XLOOKUP(O$1,Metadata!$A$2:$A1000,Metadata!$B$2:$B1000))),O$1,"""")"),"")</f>
        <v/>
      </c>
      <c r="P414" s="34" t="str">
        <f>IFERROR(__xludf.DUMMYFUNCTION("IF(IF(P$1="""","""",REGEXMATCH(LOWER($E414),XLOOKUP(P$1,Metadata!$A$2:$A1000,Metadata!$B$2:$B1000))),P$1,"""")"),"")</f>
        <v/>
      </c>
      <c r="Q414" s="34" t="str">
        <f>IFERROR(__xludf.DUMMYFUNCTION("IF(IF(Q$1="""","""",REGEXMATCH(LOWER($E414),XLOOKUP(Q$1,Metadata!$A$2:$A1000,Metadata!$B$2:$B1000))),Q$1,"""")"),"")</f>
        <v/>
      </c>
      <c r="R414" s="34" t="str">
        <f>IFERROR(__xludf.DUMMYFUNCTION("IF(IF(R$1="""","""",REGEXMATCH(LOWER($E414),XLOOKUP(R$1,Metadata!$A$2:$A1000,Metadata!$B$2:$B1000))),R$1,"""")"),"")</f>
        <v/>
      </c>
      <c r="S414" s="34" t="str">
        <f>IFERROR(__xludf.DUMMYFUNCTION("IF(IF(S$1="""","""",REGEXMATCH(LOWER($E414),XLOOKUP(S$1,Metadata!$A$2:$A1000,Metadata!$B$2:$B1000))),S$1,"""")"),"")</f>
        <v/>
      </c>
      <c r="T414" s="34" t="str">
        <f>IFERROR(__xludf.DUMMYFUNCTION("IF(IF(T$1="""","""",REGEXMATCH(LOWER($E414),XLOOKUP(T$1,Metadata!$A$2:$A1000,Metadata!$B$2:$B1000))),T$1,"""")"),"")</f>
        <v/>
      </c>
      <c r="U414" s="34" t="str">
        <f>IFERROR(__xludf.DUMMYFUNCTION("IF(IF(U$1="""","""",REGEXMATCH(LOWER($E414),XLOOKUP(U$1,Metadata!$A$2:$A1000,Metadata!$B$2:$B1000))),U$1,"""")"),"")</f>
        <v/>
      </c>
      <c r="V414" s="34" t="str">
        <f>IFERROR(__xludf.DUMMYFUNCTION("IF(IF(V$1="""","""",REGEXMATCH(LOWER($E414),XLOOKUP(V$1,Metadata!$A$2:$A1000,Metadata!$B$2:$B1000))),V$1,"""")"),"")</f>
        <v/>
      </c>
      <c r="W414" s="34" t="str">
        <f>IFERROR(__xludf.DUMMYFUNCTION("IF(IF(W$1="""","""",REGEXMATCH(LOWER($E414),XLOOKUP(W$1,Metadata!$A$2:$A1000,Metadata!$B$2:$B1000))),W$1,"""")"),"")</f>
        <v/>
      </c>
      <c r="X414" s="34" t="str">
        <f>IFERROR(__xludf.DUMMYFUNCTION("IF(IF(X$1="""","""",REGEXMATCH(LOWER($E414),XLOOKUP(X$1,Metadata!$A$2:$A1000,Metadata!$B$2:$B1000))),X$1,"""")"),"")</f>
        <v/>
      </c>
      <c r="Y414" s="34" t="str">
        <f>IFERROR(__xludf.DUMMYFUNCTION("IF(IF(Y$1="""","""",REGEXMATCH(LOWER($E414),XLOOKUP(Y$1,Metadata!$A$2:$A1000,Metadata!$B$2:$B1000))),Y$1,"""")"),"")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I415">XLOOKUP($A415,Cards!$A$2:$A1000,Cards!$B$2:$I1000,"")</f>
        <v>Void</v>
      </c>
      <c r="C415" s="34">
        <v>1.0</v>
      </c>
      <c r="D415" s="34" t="s">
        <v>813</v>
      </c>
      <c r="E415" s="34" t="s">
        <v>2172</v>
      </c>
      <c r="F415" s="34"/>
      <c r="G415" s="34">
        <v>3.0</v>
      </c>
      <c r="H415" s="34" t="s">
        <v>1781</v>
      </c>
      <c r="I415" s="34" t="s">
        <v>70</v>
      </c>
      <c r="J415" s="34">
        <f>IFERROR(__xludf.DUMMYFUNCTION("LEN(REGEXREPLACE(XLOOKUP($A415,Cards!$A$2:$A1000,Cards!$H$2:$H1000,""""),"",\s"",""""))"),5.0)</f>
        <v>5</v>
      </c>
      <c r="K415" s="34" t="str">
        <f t="shared" si="1"/>
        <v>    Void           </v>
      </c>
      <c r="L415" s="34" t="str">
        <f>IFERROR(__xludf.DUMMYFUNCTION("IF(IF(L$1="""","""",REGEXMATCH(LOWER($E415),XLOOKUP(L$1,Metadata!$A$2:$A1000,Metadata!$B$2:$B1000))),L$1,"""")"),"")</f>
        <v/>
      </c>
      <c r="M415" s="34" t="str">
        <f>IFERROR(__xludf.DUMMYFUNCTION("IF(IF(M$1="""","""",REGEXMATCH(LOWER($E415),XLOOKUP(M$1,Metadata!$A$2:$A1000,Metadata!$B$2:$B1000))),M$1,"""")"),"")</f>
        <v/>
      </c>
      <c r="N415" s="34" t="str">
        <f>IFERROR(__xludf.DUMMYFUNCTION("IF(IF(N$1="""","""",REGEXMATCH(LOWER($E415),XLOOKUP(N$1,Metadata!$A$2:$A1000,Metadata!$B$2:$B1000))),N$1,"""")"),"")</f>
        <v/>
      </c>
      <c r="O415" s="34" t="str">
        <f>IFERROR(__xludf.DUMMYFUNCTION("IF(IF(O$1="""","""",REGEXMATCH(LOWER($E415),XLOOKUP(O$1,Metadata!$A$2:$A1000,Metadata!$B$2:$B1000))),O$1,"""")"),"")</f>
        <v/>
      </c>
      <c r="P415" s="34" t="str">
        <f>IFERROR(__xludf.DUMMYFUNCTION("IF(IF(P$1="""","""",REGEXMATCH(LOWER($E415),XLOOKUP(P$1,Metadata!$A$2:$A1000,Metadata!$B$2:$B1000))),P$1,"""")"),"Void")</f>
        <v>Void</v>
      </c>
      <c r="Q415" s="34" t="str">
        <f>IFERROR(__xludf.DUMMYFUNCTION("IF(IF(Q$1="""","""",REGEXMATCH(LOWER($E415),XLOOKUP(Q$1,Metadata!$A$2:$A1000,Metadata!$B$2:$B1000))),Q$1,"""")"),"")</f>
        <v/>
      </c>
      <c r="R415" s="34" t="str">
        <f>IFERROR(__xludf.DUMMYFUNCTION("IF(IF(R$1="""","""",REGEXMATCH(LOWER($E415),XLOOKUP(R$1,Metadata!$A$2:$A1000,Metadata!$B$2:$B1000))),R$1,"""")"),"")</f>
        <v/>
      </c>
      <c r="S415" s="34" t="str">
        <f>IFERROR(__xludf.DUMMYFUNCTION("IF(IF(S$1="""","""",REGEXMATCH(LOWER($E415),XLOOKUP(S$1,Metadata!$A$2:$A1000,Metadata!$B$2:$B1000))),S$1,"""")"),"")</f>
        <v/>
      </c>
      <c r="T415" s="34" t="str">
        <f>IFERROR(__xludf.DUMMYFUNCTION("IF(IF(T$1="""","""",REGEXMATCH(LOWER($E415),XLOOKUP(T$1,Metadata!$A$2:$A1000,Metadata!$B$2:$B1000))),T$1,"""")"),"")</f>
        <v/>
      </c>
      <c r="U415" s="34" t="str">
        <f>IFERROR(__xludf.DUMMYFUNCTION("IF(IF(U$1="""","""",REGEXMATCH(LOWER($E415),XLOOKUP(U$1,Metadata!$A$2:$A1000,Metadata!$B$2:$B1000))),U$1,"""")"),"")</f>
        <v/>
      </c>
      <c r="V415" s="34" t="str">
        <f>IFERROR(__xludf.DUMMYFUNCTION("IF(IF(V$1="""","""",REGEXMATCH(LOWER($E415),XLOOKUP(V$1,Metadata!$A$2:$A1000,Metadata!$B$2:$B1000))),V$1,"""")"),"")</f>
        <v/>
      </c>
      <c r="W415" s="34" t="str">
        <f>IFERROR(__xludf.DUMMYFUNCTION("IF(IF(W$1="""","""",REGEXMATCH(LOWER($E415),XLOOKUP(W$1,Metadata!$A$2:$A1000,Metadata!$B$2:$B1000))),W$1,"""")"),"")</f>
        <v/>
      </c>
      <c r="X415" s="34" t="str">
        <f>IFERROR(__xludf.DUMMYFUNCTION("IF(IF(X$1="""","""",REGEXMATCH(LOWER($E415),XLOOKUP(X$1,Metadata!$A$2:$A1000,Metadata!$B$2:$B1000))),X$1,"""")"),"")</f>
        <v/>
      </c>
      <c r="Y415" s="34" t="str">
        <f>IFERROR(__xludf.DUMMYFUNCTION("IF(IF(Y$1="""","""",REGEXMATCH(LOWER($E415),XLOOKUP(Y$1,Metadata!$A$2:$A1000,Metadata!$B$2:$B1000))),Y$1,"""")"),"")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I416">XLOOKUP($A416,Cards!$A$2:$A1000,Cards!$B$2:$I1000,"")</f>
        <v>Void</v>
      </c>
      <c r="C416" s="34">
        <v>1.0</v>
      </c>
      <c r="D416" s="34" t="s">
        <v>1748</v>
      </c>
      <c r="E416" s="34" t="s">
        <v>2174</v>
      </c>
      <c r="F416" s="34"/>
      <c r="G416" s="34">
        <v>3.0</v>
      </c>
      <c r="H416" s="34" t="s">
        <v>1992</v>
      </c>
      <c r="I416" s="34" t="s">
        <v>70</v>
      </c>
      <c r="J416" s="34">
        <f>IFERROR(__xludf.DUMMYFUNCTION("LEN(REGEXREPLACE(XLOOKUP($A416,Cards!$A$2:$A1000,Cards!$H$2:$H1000,""""),"",\s"",""""))"),3.0)</f>
        <v>3</v>
      </c>
      <c r="K416" s="34" t="str">
        <f t="shared" si="1"/>
        <v>    Void Unearth    Aggro   Ambush   </v>
      </c>
      <c r="L416" s="34" t="str">
        <f>IFERROR(__xludf.DUMMYFUNCTION("IF(IF(L$1="""","""",REGEXMATCH(LOWER($E416),XLOOKUP(L$1,Metadata!$A$2:$A1000,Metadata!$B$2:$B1000))),L$1,"""")"),"")</f>
        <v/>
      </c>
      <c r="M416" s="34" t="str">
        <f>IFERROR(__xludf.DUMMYFUNCTION("IF(IF(M$1="""","""",REGEXMATCH(LOWER($E416),XLOOKUP(M$1,Metadata!$A$2:$A1000,Metadata!$B$2:$B1000))),M$1,"""")"),"")</f>
        <v/>
      </c>
      <c r="N416" s="34" t="str">
        <f>IFERROR(__xludf.DUMMYFUNCTION("IF(IF(N$1="""","""",REGEXMATCH(LOWER($E416),XLOOKUP(N$1,Metadata!$A$2:$A1000,Metadata!$B$2:$B1000))),N$1,"""")"),"")</f>
        <v/>
      </c>
      <c r="O416" s="34" t="str">
        <f>IFERROR(__xludf.DUMMYFUNCTION("IF(IF(O$1="""","""",REGEXMATCH(LOWER($E416),XLOOKUP(O$1,Metadata!$A$2:$A1000,Metadata!$B$2:$B1000))),O$1,"""")"),"")</f>
        <v/>
      </c>
      <c r="P416" s="34" t="str">
        <f>IFERROR(__xludf.DUMMYFUNCTION("IF(IF(P$1="""","""",REGEXMATCH(LOWER($E416),XLOOKUP(P$1,Metadata!$A$2:$A1000,Metadata!$B$2:$B1000))),P$1,"""")"),"Void")</f>
        <v>Void</v>
      </c>
      <c r="Q416" s="34" t="str">
        <f>IFERROR(__xludf.DUMMYFUNCTION("IF(IF(Q$1="""","""",REGEXMATCH(LOWER($E416),XLOOKUP(Q$1,Metadata!$A$2:$A1000,Metadata!$B$2:$B1000))),Q$1,"""")"),"Unearth")</f>
        <v>Unearth</v>
      </c>
      <c r="R416" s="34" t="str">
        <f>IFERROR(__xludf.DUMMYFUNCTION("IF(IF(R$1="""","""",REGEXMATCH(LOWER($E416),XLOOKUP(R$1,Metadata!$A$2:$A1000,Metadata!$B$2:$B1000))),R$1,"""")"),"")</f>
        <v/>
      </c>
      <c r="S416" s="34" t="str">
        <f>IFERROR(__xludf.DUMMYFUNCTION("IF(IF(S$1="""","""",REGEXMATCH(LOWER($E416),XLOOKUP(S$1,Metadata!$A$2:$A1000,Metadata!$B$2:$B1000))),S$1,"""")"),"")</f>
        <v/>
      </c>
      <c r="T416" s="34" t="str">
        <f>IFERROR(__xludf.DUMMYFUNCTION("IF(IF(T$1="""","""",REGEXMATCH(LOWER($E416),XLOOKUP(T$1,Metadata!$A$2:$A1000,Metadata!$B$2:$B1000))),T$1,"""")"),"")</f>
        <v/>
      </c>
      <c r="U416" s="34" t="str">
        <f>IFERROR(__xludf.DUMMYFUNCTION("IF(IF(U$1="""","""",REGEXMATCH(LOWER($E416),XLOOKUP(U$1,Metadata!$A$2:$A1000,Metadata!$B$2:$B1000))),U$1,"""")"),"Aggro")</f>
        <v>Aggro</v>
      </c>
      <c r="V416" s="34" t="str">
        <f>IFERROR(__xludf.DUMMYFUNCTION("IF(IF(V$1="""","""",REGEXMATCH(LOWER($E416),XLOOKUP(V$1,Metadata!$A$2:$A1000,Metadata!$B$2:$B1000))),V$1,"""")"),"")</f>
        <v/>
      </c>
      <c r="W416" s="34" t="str">
        <f>IFERROR(__xludf.DUMMYFUNCTION("IF(IF(W$1="""","""",REGEXMATCH(LOWER($E416),XLOOKUP(W$1,Metadata!$A$2:$A1000,Metadata!$B$2:$B1000))),W$1,"""")"),"")</f>
        <v/>
      </c>
      <c r="X416" s="34" t="str">
        <f>IFERROR(__xludf.DUMMYFUNCTION("IF(IF(X$1="""","""",REGEXMATCH(LOWER($E416),XLOOKUP(X$1,Metadata!$A$2:$A1000,Metadata!$B$2:$B1000))),X$1,"""")"),"Ambush")</f>
        <v>Ambush</v>
      </c>
      <c r="Y416" s="34" t="str">
        <f>IFERROR(__xludf.DUMMYFUNCTION("IF(IF(Y$1="""","""",REGEXMATCH(LOWER($E416),XLOOKUP(Y$1,Metadata!$A$2:$A1000,Metadata!$B$2:$B1000))),Y$1,"""")"),"")</f>
        <v/>
      </c>
      <c r="Z416" s="34" t="str">
        <f>IFERROR(__xludf.DUMMYFUNCTION("IF(IF(Z$1="""","""",REGEXMATCH(LOWER($E416),XLOOKUP(Z$1,Metadata!$A$2:$A1000,Metadata!$B$2:$B1000))),Z$1,"""")"),"")</f>
        <v/>
      </c>
    </row>
    <row r="417">
      <c r="A417" s="34" t="str">
        <f>IFERROR(__xludf.DUMMYFUNCTION("""COMPUTED_VALUE"""),"Voidsinger")</f>
        <v>Voidsinger</v>
      </c>
      <c r="B417" s="34" t="str">
        <f t="array" ref="B417:I417">XLOOKUP($A417,Cards!$A$2:$A1000,Cards!$B$2:$I1000,"")</f>
        <v>Void</v>
      </c>
      <c r="C417" s="34">
        <v>1.0</v>
      </c>
      <c r="D417" s="34" t="s">
        <v>1942</v>
      </c>
      <c r="E417" s="34" t="s">
        <v>2176</v>
      </c>
      <c r="F417" s="34" t="s">
        <v>2177</v>
      </c>
      <c r="G417" s="34">
        <v>3.0</v>
      </c>
      <c r="H417" s="34" t="s">
        <v>1807</v>
      </c>
      <c r="I417" s="34" t="s">
        <v>32</v>
      </c>
      <c r="J417" s="34">
        <f>IFERROR(__xludf.DUMMYFUNCTION("LEN(REGEXREPLACE(XLOOKUP($A417,Cards!$A$2:$A1000,Cards!$H$2:$H1000,""""),"",\s"",""""))"),6.0)</f>
        <v>6</v>
      </c>
      <c r="K417" s="34" t="str">
        <f t="shared" si="1"/>
        <v>               </v>
      </c>
      <c r="L417" s="34" t="str">
        <f>IFERROR(__xludf.DUMMYFUNCTION("IF(IF(L$1="""","""",REGEXMATCH(LOWER($E417),XLOOKUP(L$1,Metadata!$A$2:$A1000,Metadata!$B$2:$B1000))),L$1,"""")"),"")</f>
        <v/>
      </c>
      <c r="M417" s="34" t="str">
        <f>IFERROR(__xludf.DUMMYFUNCTION("IF(IF(M$1="""","""",REGEXMATCH(LOWER($E417),XLOOKUP(M$1,Metadata!$A$2:$A1000,Metadata!$B$2:$B1000))),M$1,"""")"),"")</f>
        <v/>
      </c>
      <c r="N417" s="34" t="str">
        <f>IFERROR(__xludf.DUMMYFUNCTION("IF(IF(N$1="""","""",REGEXMATCH(LOWER($E417),XLOOKUP(N$1,Metadata!$A$2:$A1000,Metadata!$B$2:$B1000))),N$1,"""")"),"")</f>
        <v/>
      </c>
      <c r="O417" s="34" t="str">
        <f>IFERROR(__xludf.DUMMYFUNCTION("IF(IF(O$1="""","""",REGEXMATCH(LOWER($E417),XLOOKUP(O$1,Metadata!$A$2:$A1000,Metadata!$B$2:$B1000))),O$1,"""")"),"")</f>
        <v/>
      </c>
      <c r="P417" s="34" t="str">
        <f>IFERROR(__xludf.DUMMYFUNCTION("IF(IF(P$1="""","""",REGEXMATCH(LOWER($E417),XLOOKUP(P$1,Metadata!$A$2:$A1000,Metadata!$B$2:$B1000))),P$1,"""")"),"")</f>
        <v/>
      </c>
      <c r="Q417" s="34" t="str">
        <f>IFERROR(__xludf.DUMMYFUNCTION("IF(IF(Q$1="""","""",REGEXMATCH(LOWER($E417),XLOOKUP(Q$1,Metadata!$A$2:$A1000,Metadata!$B$2:$B1000))),Q$1,"""")"),"")</f>
        <v/>
      </c>
      <c r="R417" s="34" t="str">
        <f>IFERROR(__xludf.DUMMYFUNCTION("IF(IF(R$1="""","""",REGEXMATCH(LOWER($E417),XLOOKUP(R$1,Metadata!$A$2:$A1000,Metadata!$B$2:$B1000))),R$1,"""")"),"")</f>
        <v/>
      </c>
      <c r="S417" s="34" t="str">
        <f>IFERROR(__xludf.DUMMYFUNCTION("IF(IF(S$1="""","""",REGEXMATCH(LOWER($E417),XLOOKUP(S$1,Metadata!$A$2:$A1000,Metadata!$B$2:$B1000))),S$1,"""")"),"")</f>
        <v/>
      </c>
      <c r="T417" s="34" t="str">
        <f>IFERROR(__xludf.DUMMYFUNCTION("IF(IF(T$1="""","""",REGEXMATCH(LOWER($E417),XLOOKUP(T$1,Metadata!$A$2:$A1000,Metadata!$B$2:$B1000))),T$1,"""")"),"")</f>
        <v/>
      </c>
      <c r="U417" s="34" t="str">
        <f>IFERROR(__xludf.DUMMYFUNCTION("IF(IF(U$1="""","""",REGEXMATCH(LOWER($E417),XLOOKUP(U$1,Metadata!$A$2:$A1000,Metadata!$B$2:$B1000))),U$1,"""")"),"")</f>
        <v/>
      </c>
      <c r="V417" s="34" t="str">
        <f>IFERROR(__xludf.DUMMYFUNCTION("IF(IF(V$1="""","""",REGEXMATCH(LOWER($E417),XLOOKUP(V$1,Metadata!$A$2:$A1000,Metadata!$B$2:$B1000))),V$1,"""")"),"")</f>
        <v/>
      </c>
      <c r="W417" s="34" t="str">
        <f>IFERROR(__xludf.DUMMYFUNCTION("IF(IF(W$1="""","""",REGEXMATCH(LOWER($E417),XLOOKUP(W$1,Metadata!$A$2:$A1000,Metadata!$B$2:$B1000))),W$1,"""")"),"")</f>
        <v/>
      </c>
      <c r="X417" s="34" t="str">
        <f>IFERROR(__xludf.DUMMYFUNCTION("IF(IF(X$1="""","""",REGEXMATCH(LOWER($E417),XLOOKUP(X$1,Metadata!$A$2:$A1000,Metadata!$B$2:$B1000))),X$1,"""")"),"")</f>
        <v/>
      </c>
      <c r="Y417" s="34" t="str">
        <f>IFERROR(__xludf.DUMMYFUNCTION("IF(IF(Y$1="""","""",REGEXMATCH(LOWER($E417),XLOOKUP(Y$1,Metadata!$A$2:$A1000,Metadata!$B$2:$B1000))),Y$1,"""")"),"")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I418">XLOOKUP($A418,Cards!$A$2:$A1000,Cards!$B$2:$I1000,"")</f>
        <v>Void</v>
      </c>
      <c r="C418" s="34">
        <v>1.0</v>
      </c>
      <c r="D418" s="34" t="s">
        <v>1365</v>
      </c>
      <c r="E418" s="34" t="s">
        <v>2179</v>
      </c>
      <c r="F418" s="34"/>
      <c r="G418" s="34">
        <v>4.0</v>
      </c>
      <c r="H418" s="34" t="s">
        <v>1892</v>
      </c>
      <c r="I418" s="34" t="s">
        <v>32</v>
      </c>
      <c r="J418" s="34">
        <f>IFERROR(__xludf.DUMMYFUNCTION("LEN(REGEXREPLACE(XLOOKUP($A418,Cards!$A$2:$A1000,Cards!$H$2:$H1000,""""),"",\s"",""""))"),4.0)</f>
        <v>4</v>
      </c>
      <c r="K418" s="34" t="str">
        <f t="shared" si="1"/>
        <v>     Unearth          </v>
      </c>
      <c r="L418" s="34" t="str">
        <f>IFERROR(__xludf.DUMMYFUNCTION("IF(IF(L$1="""","""",REGEXMATCH(LOWER($E418),XLOOKUP(L$1,Metadata!$A$2:$A1000,Metadata!$B$2:$B1000))),L$1,"""")"),"")</f>
        <v/>
      </c>
      <c r="M418" s="34" t="str">
        <f>IFERROR(__xludf.DUMMYFUNCTION("IF(IF(M$1="""","""",REGEXMATCH(LOWER($E418),XLOOKUP(M$1,Metadata!$A$2:$A1000,Metadata!$B$2:$B1000))),M$1,"""")"),"")</f>
        <v/>
      </c>
      <c r="N418" s="34" t="str">
        <f>IFERROR(__xludf.DUMMYFUNCTION("IF(IF(N$1="""","""",REGEXMATCH(LOWER($E418),XLOOKUP(N$1,Metadata!$A$2:$A1000,Metadata!$B$2:$B1000))),N$1,"""")"),"")</f>
        <v/>
      </c>
      <c r="O418" s="34" t="str">
        <f>IFERROR(__xludf.DUMMYFUNCTION("IF(IF(O$1="""","""",REGEXMATCH(LOWER($E418),XLOOKUP(O$1,Metadata!$A$2:$A1000,Metadata!$B$2:$B1000))),O$1,"""")"),"")</f>
        <v/>
      </c>
      <c r="P418" s="34" t="str">
        <f>IFERROR(__xludf.DUMMYFUNCTION("IF(IF(P$1="""","""",REGEXMATCH(LOWER($E418),XLOOKUP(P$1,Metadata!$A$2:$A1000,Metadata!$B$2:$B1000))),P$1,"""")"),"")</f>
        <v/>
      </c>
      <c r="Q418" s="34" t="str">
        <f>IFERROR(__xludf.DUMMYFUNCTION("IF(IF(Q$1="""","""",REGEXMATCH(LOWER($E418),XLOOKUP(Q$1,Metadata!$A$2:$A1000,Metadata!$B$2:$B1000))),Q$1,"""")"),"Unearth")</f>
        <v>Unearth</v>
      </c>
      <c r="R418" s="34" t="str">
        <f>IFERROR(__xludf.DUMMYFUNCTION("IF(IF(R$1="""","""",REGEXMATCH(LOWER($E418),XLOOKUP(R$1,Metadata!$A$2:$A1000,Metadata!$B$2:$B1000))),R$1,"""")"),"")</f>
        <v/>
      </c>
      <c r="S418" s="34" t="str">
        <f>IFERROR(__xludf.DUMMYFUNCTION("IF(IF(S$1="""","""",REGEXMATCH(LOWER($E418),XLOOKUP(S$1,Metadata!$A$2:$A1000,Metadata!$B$2:$B1000))),S$1,"""")"),"")</f>
        <v/>
      </c>
      <c r="T418" s="34" t="str">
        <f>IFERROR(__xludf.DUMMYFUNCTION("IF(IF(T$1="""","""",REGEXMATCH(LOWER($E418),XLOOKUP(T$1,Metadata!$A$2:$A1000,Metadata!$B$2:$B1000))),T$1,"""")"),"")</f>
        <v/>
      </c>
      <c r="U418" s="34" t="str">
        <f>IFERROR(__xludf.DUMMYFUNCTION("IF(IF(U$1="""","""",REGEXMATCH(LOWER($E418),XLOOKUP(U$1,Metadata!$A$2:$A1000,Metadata!$B$2:$B1000))),U$1,"""")"),"")</f>
        <v/>
      </c>
      <c r="V418" s="34" t="str">
        <f>IFERROR(__xludf.DUMMYFUNCTION("IF(IF(V$1="""","""",REGEXMATCH(LOWER($E418),XLOOKUP(V$1,Metadata!$A$2:$A1000,Metadata!$B$2:$B1000))),V$1,"""")"),"")</f>
        <v/>
      </c>
      <c r="W418" s="34" t="str">
        <f>IFERROR(__xludf.DUMMYFUNCTION("IF(IF(W$1="""","""",REGEXMATCH(LOWER($E418),XLOOKUP(W$1,Metadata!$A$2:$A1000,Metadata!$B$2:$B1000))),W$1,"""")"),"")</f>
        <v/>
      </c>
      <c r="X418" s="34" t="str">
        <f>IFERROR(__xludf.DUMMYFUNCTION("IF(IF(X$1="""","""",REGEXMATCH(LOWER($E418),XLOOKUP(X$1,Metadata!$A$2:$A1000,Metadata!$B$2:$B1000))),X$1,"""")"),"")</f>
        <v/>
      </c>
      <c r="Y418" s="34" t="str">
        <f>IFERROR(__xludf.DUMMYFUNCTION("IF(IF(Y$1="""","""",REGEXMATCH(LOWER($E418),XLOOKUP(Y$1,Metadata!$A$2:$A1000,Metadata!$B$2:$B1000))),Y$1,"""")"),"")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I419">XLOOKUP($A419,Cards!$A$2:$A1000,Cards!$B$2:$I1000,"")</f>
        <v>Void</v>
      </c>
      <c r="C419" s="34">
        <v>1.0</v>
      </c>
      <c r="D419" s="34" t="s">
        <v>360</v>
      </c>
      <c r="E419" s="34" t="s">
        <v>2181</v>
      </c>
      <c r="F419" s="34" t="s">
        <v>2182</v>
      </c>
      <c r="G419" s="34">
        <v>3.0</v>
      </c>
      <c r="H419" s="34" t="s">
        <v>1795</v>
      </c>
      <c r="I419" s="34" t="s">
        <v>32</v>
      </c>
      <c r="J419" s="34">
        <f>IFERROR(__xludf.DUMMYFUNCTION("LEN(REGEXREPLACE(XLOOKUP($A419,Cards!$A$2:$A1000,Cards!$H$2:$H1000,""""),"",\s"",""""))"),2.0)</f>
        <v>2</v>
      </c>
      <c r="K419" s="34" t="str">
        <f t="shared" si="1"/>
        <v>      Ramp   Aggro   Ambush   </v>
      </c>
      <c r="L419" s="34" t="str">
        <f>IFERROR(__xludf.DUMMYFUNCTION("IF(IF(L$1="""","""",REGEXMATCH(LOWER($E419),XLOOKUP(L$1,Metadata!$A$2:$A1000,Metadata!$B$2:$B1000))),L$1,"""")"),"")</f>
        <v/>
      </c>
      <c r="M419" s="34" t="str">
        <f>IFERROR(__xludf.DUMMYFUNCTION("IF(IF(M$1="""","""",REGEXMATCH(LOWER($E419),XLOOKUP(M$1,Metadata!$A$2:$A1000,Metadata!$B$2:$B1000))),M$1,"""")"),"")</f>
        <v/>
      </c>
      <c r="N419" s="34" t="str">
        <f>IFERROR(__xludf.DUMMYFUNCTION("IF(IF(N$1="""","""",REGEXMATCH(LOWER($E419),XLOOKUP(N$1,Metadata!$A$2:$A1000,Metadata!$B$2:$B1000))),N$1,"""")"),"")</f>
        <v/>
      </c>
      <c r="O419" s="34" t="str">
        <f>IFERROR(__xludf.DUMMYFUNCTION("IF(IF(O$1="""","""",REGEXMATCH(LOWER($E419),XLOOKUP(O$1,Metadata!$A$2:$A1000,Metadata!$B$2:$B1000))),O$1,"""")"),"")</f>
        <v/>
      </c>
      <c r="P419" s="34" t="str">
        <f>IFERROR(__xludf.DUMMYFUNCTION("IF(IF(P$1="""","""",REGEXMATCH(LOWER($E419),XLOOKUP(P$1,Metadata!$A$2:$A1000,Metadata!$B$2:$B1000))),P$1,"""")"),"")</f>
        <v/>
      </c>
      <c r="Q419" s="34" t="str">
        <f>IFERROR(__xludf.DUMMYFUNCTION("IF(IF(Q$1="""","""",REGEXMATCH(LOWER($E419),XLOOKUP(Q$1,Metadata!$A$2:$A1000,Metadata!$B$2:$B1000))),Q$1,"""")"),"")</f>
        <v/>
      </c>
      <c r="R419" s="34" t="str">
        <f>IFERROR(__xludf.DUMMYFUNCTION("IF(IF(R$1="""","""",REGEXMATCH(LOWER($E419),XLOOKUP(R$1,Metadata!$A$2:$A1000,Metadata!$B$2:$B1000))),R$1,"""")"),"Ramp")</f>
        <v>Ramp</v>
      </c>
      <c r="S419" s="34" t="str">
        <f>IFERROR(__xludf.DUMMYFUNCTION("IF(IF(S$1="""","""",REGEXMATCH(LOWER($E419),XLOOKUP(S$1,Metadata!$A$2:$A1000,Metadata!$B$2:$B1000))),S$1,"""")"),"")</f>
        <v/>
      </c>
      <c r="T419" s="34" t="str">
        <f>IFERROR(__xludf.DUMMYFUNCTION("IF(IF(T$1="""","""",REGEXMATCH(LOWER($E419),XLOOKUP(T$1,Metadata!$A$2:$A1000,Metadata!$B$2:$B1000))),T$1,"""")"),"")</f>
        <v/>
      </c>
      <c r="U419" s="34" t="str">
        <f>IFERROR(__xludf.DUMMYFUNCTION("IF(IF(U$1="""","""",REGEXMATCH(LOWER($E419),XLOOKUP(U$1,Metadata!$A$2:$A1000,Metadata!$B$2:$B1000))),U$1,"""")"),"Aggro")</f>
        <v>Aggro</v>
      </c>
      <c r="V419" s="34" t="str">
        <f>IFERROR(__xludf.DUMMYFUNCTION("IF(IF(V$1="""","""",REGEXMATCH(LOWER($E419),XLOOKUP(V$1,Metadata!$A$2:$A1000,Metadata!$B$2:$B1000))),V$1,"""")"),"")</f>
        <v/>
      </c>
      <c r="W419" s="34" t="str">
        <f>IFERROR(__xludf.DUMMYFUNCTION("IF(IF(W$1="""","""",REGEXMATCH(LOWER($E419),XLOOKUP(W$1,Metadata!$A$2:$A1000,Metadata!$B$2:$B1000))),W$1,"""")"),"")</f>
        <v/>
      </c>
      <c r="X419" s="34" t="str">
        <f>IFERROR(__xludf.DUMMYFUNCTION("IF(IF(X$1="""","""",REGEXMATCH(LOWER($E419),XLOOKUP(X$1,Metadata!$A$2:$A1000,Metadata!$B$2:$B1000))),X$1,"""")"),"Ambush")</f>
        <v>Ambush</v>
      </c>
      <c r="Y419" s="34" t="str">
        <f>IFERROR(__xludf.DUMMYFUNCTION("IF(IF(Y$1="""","""",REGEXMATCH(LOWER($E419),XLOOKUP(Y$1,Metadata!$A$2:$A1000,Metadata!$B$2:$B1000))),Y$1,"""")"),"")</f>
        <v/>
      </c>
      <c r="Z419" s="34" t="str">
        <f>IFERROR(__xludf.DUMMYFUNCTION("IF(IF(Z$1="""","""",REGEXMATCH(LOWER($E419),XLOOKUP(Z$1,Metadata!$A$2:$A1000,Metadata!$B$2:$B1000))),Z$1,"""")"),"")</f>
        <v/>
      </c>
    </row>
    <row r="420">
      <c r="A420" s="34" t="str">
        <f>IFERROR(__xludf.DUMMYFUNCTION("""COMPUTED_VALUE"""),"Deadfield Tiller")</f>
        <v>Deadfield Tiller</v>
      </c>
      <c r="B420" s="34" t="str">
        <f t="array" ref="B420:I420">XLOOKUP($A420,Cards!$A$2:$A1000,Cards!$B$2:$I1000,"")</f>
        <v>Void</v>
      </c>
      <c r="C420" s="34">
        <v>1.0</v>
      </c>
      <c r="D420" s="34" t="s">
        <v>1743</v>
      </c>
      <c r="E420" s="34" t="s">
        <v>2188</v>
      </c>
      <c r="F420" s="34"/>
      <c r="G420" s="34">
        <v>2.0</v>
      </c>
      <c r="H420" s="34" t="s">
        <v>1992</v>
      </c>
      <c r="I420" s="34" t="s">
        <v>32</v>
      </c>
      <c r="J420" s="34">
        <f>IFERROR(__xludf.DUMMYFUNCTION("LEN(REGEXREPLACE(XLOOKUP($A420,Cards!$A$2:$A1000,Cards!$H$2:$H1000,""""),"",\s"",""""))"),3.0)</f>
        <v>3</v>
      </c>
      <c r="K420" s="34" t="str">
        <f t="shared" si="1"/>
        <v>     Unearth          </v>
      </c>
      <c r="L420" s="34" t="str">
        <f>IFERROR(__xludf.DUMMYFUNCTION("IF(IF(L$1="""","""",REGEXMATCH(LOWER($E420),XLOOKUP(L$1,Metadata!$A$2:$A1000,Metadata!$B$2:$B1000))),L$1,"""")"),"")</f>
        <v/>
      </c>
      <c r="M420" s="34" t="str">
        <f>IFERROR(__xludf.DUMMYFUNCTION("IF(IF(M$1="""","""",REGEXMATCH(LOWER($E420),XLOOKUP(M$1,Metadata!$A$2:$A1000,Metadata!$B$2:$B1000))),M$1,"""")"),"")</f>
        <v/>
      </c>
      <c r="N420" s="34" t="str">
        <f>IFERROR(__xludf.DUMMYFUNCTION("IF(IF(N$1="""","""",REGEXMATCH(LOWER($E420),XLOOKUP(N$1,Metadata!$A$2:$A1000,Metadata!$B$2:$B1000))),N$1,"""")"),"")</f>
        <v/>
      </c>
      <c r="O420" s="34" t="str">
        <f>IFERROR(__xludf.DUMMYFUNCTION("IF(IF(O$1="""","""",REGEXMATCH(LOWER($E420),XLOOKUP(O$1,Metadata!$A$2:$A1000,Metadata!$B$2:$B1000))),O$1,"""")"),"")</f>
        <v/>
      </c>
      <c r="P420" s="34" t="str">
        <f>IFERROR(__xludf.DUMMYFUNCTION("IF(IF(P$1="""","""",REGEXMATCH(LOWER($E420),XLOOKUP(P$1,Metadata!$A$2:$A1000,Metadata!$B$2:$B1000))),P$1,"""")"),"")</f>
        <v/>
      </c>
      <c r="Q420" s="34" t="str">
        <f>IFERROR(__xludf.DUMMYFUNCTION("IF(IF(Q$1="""","""",REGEXMATCH(LOWER($E420),XLOOKUP(Q$1,Metadata!$A$2:$A1000,Metadata!$B$2:$B1000))),Q$1,"""")"),"Unearth")</f>
        <v>Unearth</v>
      </c>
      <c r="R420" s="34" t="str">
        <f>IFERROR(__xludf.DUMMYFUNCTION("IF(IF(R$1="""","""",REGEXMATCH(LOWER($E420),XLOOKUP(R$1,Metadata!$A$2:$A1000,Metadata!$B$2:$B1000))),R$1,"""")"),"")</f>
        <v/>
      </c>
      <c r="S420" s="34" t="str">
        <f>IFERROR(__xludf.DUMMYFUNCTION("IF(IF(S$1="""","""",REGEXMATCH(LOWER($E420),XLOOKUP(S$1,Metadata!$A$2:$A1000,Metadata!$B$2:$B1000))),S$1,"""")"),"")</f>
        <v/>
      </c>
      <c r="T420" s="34" t="str">
        <f>IFERROR(__xludf.DUMMYFUNCTION("IF(IF(T$1="""","""",REGEXMATCH(LOWER($E420),XLOOKUP(T$1,Metadata!$A$2:$A1000,Metadata!$B$2:$B1000))),T$1,"""")"),"")</f>
        <v/>
      </c>
      <c r="U420" s="34" t="str">
        <f>IFERROR(__xludf.DUMMYFUNCTION("IF(IF(U$1="""","""",REGEXMATCH(LOWER($E420),XLOOKUP(U$1,Metadata!$A$2:$A1000,Metadata!$B$2:$B1000))),U$1,"""")"),"")</f>
        <v/>
      </c>
      <c r="V420" s="34" t="str">
        <f>IFERROR(__xludf.DUMMYFUNCTION("IF(IF(V$1="""","""",REGEXMATCH(LOWER($E420),XLOOKUP(V$1,Metadata!$A$2:$A1000,Metadata!$B$2:$B1000))),V$1,"""")"),"")</f>
        <v/>
      </c>
      <c r="W420" s="34" t="str">
        <f>IFERROR(__xludf.DUMMYFUNCTION("IF(IF(W$1="""","""",REGEXMATCH(LOWER($E420),XLOOKUP(W$1,Metadata!$A$2:$A1000,Metadata!$B$2:$B1000))),W$1,"""")"),"")</f>
        <v/>
      </c>
      <c r="X420" s="34" t="str">
        <f>IFERROR(__xludf.DUMMYFUNCTION("IF(IF(X$1="""","""",REGEXMATCH(LOWER($E420),XLOOKUP(X$1,Metadata!$A$2:$A1000,Metadata!$B$2:$B1000))),X$1,"""")"),"")</f>
        <v/>
      </c>
      <c r="Y420" s="34" t="str">
        <f>IFERROR(__xludf.DUMMYFUNCTION("IF(IF(Y$1="""","""",REGEXMATCH(LOWER($E420),XLOOKUP(Y$1,Metadata!$A$2:$A1000,Metadata!$B$2:$B1000))),Y$1,"""")"),"")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I421">XLOOKUP($A421,Cards!$A$2:$A1000,Cards!$B$2:$I1000,"")</f>
        <v>Void</v>
      </c>
      <c r="C421" s="34">
        <v>1.0</v>
      </c>
      <c r="D421" s="34" t="s">
        <v>651</v>
      </c>
      <c r="E421" s="34" t="s">
        <v>2194</v>
      </c>
      <c r="F421" s="34" t="s">
        <v>2195</v>
      </c>
      <c r="G421" s="34">
        <v>3.0</v>
      </c>
      <c r="H421" s="34" t="s">
        <v>1791</v>
      </c>
      <c r="I421" s="34" t="s">
        <v>32</v>
      </c>
      <c r="J421" s="34">
        <f>IFERROR(__xludf.DUMMYFUNCTION("LEN(REGEXREPLACE(XLOOKUP($A421,Cards!$A$2:$A1000,Cards!$H$2:$H1000,""""),"",\s"",""""))"),3.0)</f>
        <v>3</v>
      </c>
      <c r="K421" s="34" t="str">
        <f t="shared" si="1"/>
        <v>            Ambush   </v>
      </c>
      <c r="L421" s="34" t="str">
        <f>IFERROR(__xludf.DUMMYFUNCTION("IF(IF(L$1="""","""",REGEXMATCH(LOWER($E421),XLOOKUP(L$1,Metadata!$A$2:$A1000,Metadata!$B$2:$B1000))),L$1,"""")"),"")</f>
        <v/>
      </c>
      <c r="M421" s="34" t="str">
        <f>IFERROR(__xludf.DUMMYFUNCTION("IF(IF(M$1="""","""",REGEXMATCH(LOWER($E421),XLOOKUP(M$1,Metadata!$A$2:$A1000,Metadata!$B$2:$B1000))),M$1,"""")"),"")</f>
        <v/>
      </c>
      <c r="N421" s="34" t="str">
        <f>IFERROR(__xludf.DUMMYFUNCTION("IF(IF(N$1="""","""",REGEXMATCH(LOWER($E421),XLOOKUP(N$1,Metadata!$A$2:$A1000,Metadata!$B$2:$B1000))),N$1,"""")"),"")</f>
        <v/>
      </c>
      <c r="O421" s="34" t="str">
        <f>IFERROR(__xludf.DUMMYFUNCTION("IF(IF(O$1="""","""",REGEXMATCH(LOWER($E421),XLOOKUP(O$1,Metadata!$A$2:$A1000,Metadata!$B$2:$B1000))),O$1,"""")"),"")</f>
        <v/>
      </c>
      <c r="P421" s="34" t="str">
        <f>IFERROR(__xludf.DUMMYFUNCTION("IF(IF(P$1="""","""",REGEXMATCH(LOWER($E421),XLOOKUP(P$1,Metadata!$A$2:$A1000,Metadata!$B$2:$B1000))),P$1,"""")"),"")</f>
        <v/>
      </c>
      <c r="Q421" s="34" t="str">
        <f>IFERROR(__xludf.DUMMYFUNCTION("IF(IF(Q$1="""","""",REGEXMATCH(LOWER($E421),XLOOKUP(Q$1,Metadata!$A$2:$A1000,Metadata!$B$2:$B1000))),Q$1,"""")"),"")</f>
        <v/>
      </c>
      <c r="R421" s="34" t="str">
        <f>IFERROR(__xludf.DUMMYFUNCTION("IF(IF(R$1="""","""",REGEXMATCH(LOWER($E421),XLOOKUP(R$1,Metadata!$A$2:$A1000,Metadata!$B$2:$B1000))),R$1,"""")"),"")</f>
        <v/>
      </c>
      <c r="S421" s="34" t="str">
        <f>IFERROR(__xludf.DUMMYFUNCTION("IF(IF(S$1="""","""",REGEXMATCH(LOWER($E421),XLOOKUP(S$1,Metadata!$A$2:$A1000,Metadata!$B$2:$B1000))),S$1,"""")"),"")</f>
        <v/>
      </c>
      <c r="T421" s="34" t="str">
        <f>IFERROR(__xludf.DUMMYFUNCTION("IF(IF(T$1="""","""",REGEXMATCH(LOWER($E421),XLOOKUP(T$1,Metadata!$A$2:$A1000,Metadata!$B$2:$B1000))),T$1,"""")"),"")</f>
        <v/>
      </c>
      <c r="U421" s="34" t="str">
        <f>IFERROR(__xludf.DUMMYFUNCTION("IF(IF(U$1="""","""",REGEXMATCH(LOWER($E421),XLOOKUP(U$1,Metadata!$A$2:$A1000,Metadata!$B$2:$B1000))),U$1,"""")"),"")</f>
        <v/>
      </c>
      <c r="V421" s="34" t="str">
        <f>IFERROR(__xludf.DUMMYFUNCTION("IF(IF(V$1="""","""",REGEXMATCH(LOWER($E421),XLOOKUP(V$1,Metadata!$A$2:$A1000,Metadata!$B$2:$B1000))),V$1,"""")"),"")</f>
        <v/>
      </c>
      <c r="W421" s="34" t="str">
        <f>IFERROR(__xludf.DUMMYFUNCTION("IF(IF(W$1="""","""",REGEXMATCH(LOWER($E421),XLOOKUP(W$1,Metadata!$A$2:$A1000,Metadata!$B$2:$B1000))),W$1,"""")"),"")</f>
        <v/>
      </c>
      <c r="X421" s="34" t="str">
        <f>IFERROR(__xludf.DUMMYFUNCTION("IF(IF(X$1="""","""",REGEXMATCH(LOWER($E421),XLOOKUP(X$1,Metadata!$A$2:$A1000,Metadata!$B$2:$B1000))),X$1,"""")"),"Ambush")</f>
        <v>Ambush</v>
      </c>
      <c r="Y421" s="34" t="str">
        <f>IFERROR(__xludf.DUMMYFUNCTION("IF(IF(Y$1="""","""",REGEXMATCH(LOWER($E421),XLOOKUP(Y$1,Metadata!$A$2:$A1000,Metadata!$B$2:$B1000))),Y$1,"""")"),"")</f>
        <v/>
      </c>
      <c r="Z421" s="34" t="str">
        <f>IFERROR(__xludf.DUMMYFUNCTION("IF(IF(Z$1="""","""",REGEXMATCH(LOWER($E421),XLOOKUP(Z$1,Metadata!$A$2:$A1000,Metadata!$B$2:$B1000))),Z$1,"""")"),"")</f>
        <v/>
      </c>
    </row>
    <row r="422">
      <c r="A422" s="34" t="str">
        <f>IFERROR(__xludf.DUMMYFUNCTION("""COMPUTED_VALUE"""),"Mini Golem")</f>
        <v>Mini Golem</v>
      </c>
      <c r="B422" s="34" t="str">
        <f t="array" ref="B422:I422">XLOOKUP($A422,Cards!$A$2:$A1000,Cards!$B$2:$I1000,"")</f>
        <v/>
      </c>
      <c r="C422" s="34">
        <v>1.0</v>
      </c>
      <c r="D422" s="34" t="s">
        <v>80</v>
      </c>
      <c r="E422" s="34"/>
      <c r="F422" s="34" t="s">
        <v>2203</v>
      </c>
      <c r="G422" s="34">
        <v>3.0</v>
      </c>
      <c r="H422" s="34" t="s">
        <v>1966</v>
      </c>
      <c r="I422" s="34" t="s">
        <v>26</v>
      </c>
      <c r="J422" s="34">
        <f>IFERROR(__xludf.DUMMYFUNCTION("LEN(REGEXREPLACE(XLOOKUP($A422,Cards!$A$2:$A1000,Cards!$H$2:$H1000,""""),"",\s"",""""))"),4.0)</f>
        <v>4</v>
      </c>
      <c r="K422" s="34" t="str">
        <f t="shared" si="1"/>
        <v>               </v>
      </c>
      <c r="L422" s="34" t="str">
        <f>IFERROR(__xludf.DUMMYFUNCTION("IF(IF(L$1="""","""",REGEXMATCH(LOWER($E422),XLOOKUP(L$1,Metadata!$A$2:$A1000,Metadata!$B$2:$B1000))),L$1,"""")"),"")</f>
        <v/>
      </c>
      <c r="M422" s="34" t="str">
        <f>IFERROR(__xludf.DUMMYFUNCTION("IF(IF(M$1="""","""",REGEXMATCH(LOWER($E422),XLOOKUP(M$1,Metadata!$A$2:$A1000,Metadata!$B$2:$B1000))),M$1,"""")"),"")</f>
        <v/>
      </c>
      <c r="N422" s="34" t="str">
        <f>IFERROR(__xludf.DUMMYFUNCTION("IF(IF(N$1="""","""",REGEXMATCH(LOWER($E422),XLOOKUP(N$1,Metadata!$A$2:$A1000,Metadata!$B$2:$B1000))),N$1,"""")"),"")</f>
        <v/>
      </c>
      <c r="O422" s="34" t="str">
        <f>IFERROR(__xludf.DUMMYFUNCTION("IF(IF(O$1="""","""",REGEXMATCH(LOWER($E422),XLOOKUP(O$1,Metadata!$A$2:$A1000,Metadata!$B$2:$B1000))),O$1,"""")"),"")</f>
        <v/>
      </c>
      <c r="P422" s="34" t="str">
        <f>IFERROR(__xludf.DUMMYFUNCTION("IF(IF(P$1="""","""",REGEXMATCH(LOWER($E422),XLOOKUP(P$1,Metadata!$A$2:$A1000,Metadata!$B$2:$B1000))),P$1,"""")"),"")</f>
        <v/>
      </c>
      <c r="Q422" s="34" t="str">
        <f>IFERROR(__xludf.DUMMYFUNCTION("IF(IF(Q$1="""","""",REGEXMATCH(LOWER($E422),XLOOKUP(Q$1,Metadata!$A$2:$A1000,Metadata!$B$2:$B1000))),Q$1,"""")"),"")</f>
        <v/>
      </c>
      <c r="R422" s="34" t="str">
        <f>IFERROR(__xludf.DUMMYFUNCTION("IF(IF(R$1="""","""",REGEXMATCH(LOWER($E422),XLOOKUP(R$1,Metadata!$A$2:$A1000,Metadata!$B$2:$B1000))),R$1,"""")"),"")</f>
        <v/>
      </c>
      <c r="S422" s="34" t="str">
        <f>IFERROR(__xludf.DUMMYFUNCTION("IF(IF(S$1="""","""",REGEXMATCH(LOWER($E422),XLOOKUP(S$1,Metadata!$A$2:$A1000,Metadata!$B$2:$B1000))),S$1,"""")"),"")</f>
        <v/>
      </c>
      <c r="T422" s="34" t="str">
        <f>IFERROR(__xludf.DUMMYFUNCTION("IF(IF(T$1="""","""",REGEXMATCH(LOWER($E422),XLOOKUP(T$1,Metadata!$A$2:$A1000,Metadata!$B$2:$B1000))),T$1,"""")"),"")</f>
        <v/>
      </c>
      <c r="U422" s="34" t="str">
        <f>IFERROR(__xludf.DUMMYFUNCTION("IF(IF(U$1="""","""",REGEXMATCH(LOWER($E422),XLOOKUP(U$1,Metadata!$A$2:$A1000,Metadata!$B$2:$B1000))),U$1,"""")"),"")</f>
        <v/>
      </c>
      <c r="V422" s="34" t="str">
        <f>IFERROR(__xludf.DUMMYFUNCTION("IF(IF(V$1="""","""",REGEXMATCH(LOWER($E422),XLOOKUP(V$1,Metadata!$A$2:$A1000,Metadata!$B$2:$B1000))),V$1,"""")"),"")</f>
        <v/>
      </c>
      <c r="W422" s="34" t="str">
        <f>IFERROR(__xludf.DUMMYFUNCTION("IF(IF(W$1="""","""",REGEXMATCH(LOWER($E422),XLOOKUP(W$1,Metadata!$A$2:$A1000,Metadata!$B$2:$B1000))),W$1,"""")"),"")</f>
        <v/>
      </c>
      <c r="X422" s="34" t="str">
        <f>IFERROR(__xludf.DUMMYFUNCTION("IF(IF(X$1="""","""",REGEXMATCH(LOWER($E422),XLOOKUP(X$1,Metadata!$A$2:$A1000,Metadata!$B$2:$B1000))),X$1,"""")"),"")</f>
        <v/>
      </c>
      <c r="Y422" s="34" t="str">
        <f>IFERROR(__xludf.DUMMYFUNCTION("IF(IF(Y$1="""","""",REGEXMATCH(LOWER($E422),XLOOKUP(Y$1,Metadata!$A$2:$A1000,Metadata!$B$2:$B1000))),Y$1,"""")"),"")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I423">XLOOKUP($A423,Cards!$A$2:$A1000,Cards!$B$2:$I1000,"")</f>
        <v/>
      </c>
      <c r="C423" s="34">
        <v>1.0</v>
      </c>
      <c r="D423" s="34" t="s">
        <v>59</v>
      </c>
      <c r="E423" s="34"/>
      <c r="F423" s="34" t="s">
        <v>2209</v>
      </c>
      <c r="G423" s="34">
        <v>6.0</v>
      </c>
      <c r="H423" s="34" t="s">
        <v>2210</v>
      </c>
      <c r="I423" s="34" t="s">
        <v>26</v>
      </c>
      <c r="J423" s="34">
        <f>IFERROR(__xludf.DUMMYFUNCTION("LEN(REGEXREPLACE(XLOOKUP($A423,Cards!$A$2:$A1000,Cards!$H$2:$H1000,""""),"",\s"",""""))"),7.0)</f>
        <v>7</v>
      </c>
      <c r="K423" s="34" t="str">
        <f t="shared" si="1"/>
        <v>               </v>
      </c>
      <c r="L423" s="34" t="str">
        <f>IFERROR(__xludf.DUMMYFUNCTION("IF(IF(L$1="""","""",REGEXMATCH(LOWER($E423),XLOOKUP(L$1,Metadata!$A$2:$A1000,Metadata!$B$2:$B1000))),L$1,"""")"),"")</f>
        <v/>
      </c>
      <c r="M423" s="34" t="str">
        <f>IFERROR(__xludf.DUMMYFUNCTION("IF(IF(M$1="""","""",REGEXMATCH(LOWER($E423),XLOOKUP(M$1,Metadata!$A$2:$A1000,Metadata!$B$2:$B1000))),M$1,"""")"),"")</f>
        <v/>
      </c>
      <c r="N423" s="34" t="str">
        <f>IFERROR(__xludf.DUMMYFUNCTION("IF(IF(N$1="""","""",REGEXMATCH(LOWER($E423),XLOOKUP(N$1,Metadata!$A$2:$A1000,Metadata!$B$2:$B1000))),N$1,"""")"),"")</f>
        <v/>
      </c>
      <c r="O423" s="34" t="str">
        <f>IFERROR(__xludf.DUMMYFUNCTION("IF(IF(O$1="""","""",REGEXMATCH(LOWER($E423),XLOOKUP(O$1,Metadata!$A$2:$A1000,Metadata!$B$2:$B1000))),O$1,"""")"),"")</f>
        <v/>
      </c>
      <c r="P423" s="34" t="str">
        <f>IFERROR(__xludf.DUMMYFUNCTION("IF(IF(P$1="""","""",REGEXMATCH(LOWER($E423),XLOOKUP(P$1,Metadata!$A$2:$A1000,Metadata!$B$2:$B1000))),P$1,"""")"),"")</f>
        <v/>
      </c>
      <c r="Q423" s="34" t="str">
        <f>IFERROR(__xludf.DUMMYFUNCTION("IF(IF(Q$1="""","""",REGEXMATCH(LOWER($E423),XLOOKUP(Q$1,Metadata!$A$2:$A1000,Metadata!$B$2:$B1000))),Q$1,"""")"),"")</f>
        <v/>
      </c>
      <c r="R423" s="34" t="str">
        <f>IFERROR(__xludf.DUMMYFUNCTION("IF(IF(R$1="""","""",REGEXMATCH(LOWER($E423),XLOOKUP(R$1,Metadata!$A$2:$A1000,Metadata!$B$2:$B1000))),R$1,"""")"),"")</f>
        <v/>
      </c>
      <c r="S423" s="34" t="str">
        <f>IFERROR(__xludf.DUMMYFUNCTION("IF(IF(S$1="""","""",REGEXMATCH(LOWER($E423),XLOOKUP(S$1,Metadata!$A$2:$A1000,Metadata!$B$2:$B1000))),S$1,"""")"),"")</f>
        <v/>
      </c>
      <c r="T423" s="34" t="str">
        <f>IFERROR(__xludf.DUMMYFUNCTION("IF(IF(T$1="""","""",REGEXMATCH(LOWER($E423),XLOOKUP(T$1,Metadata!$A$2:$A1000,Metadata!$B$2:$B1000))),T$1,"""")"),"")</f>
        <v/>
      </c>
      <c r="U423" s="34" t="str">
        <f>IFERROR(__xludf.DUMMYFUNCTION("IF(IF(U$1="""","""",REGEXMATCH(LOWER($E423),XLOOKUP(U$1,Metadata!$A$2:$A1000,Metadata!$B$2:$B1000))),U$1,"""")"),"")</f>
        <v/>
      </c>
      <c r="V423" s="34" t="str">
        <f>IFERROR(__xludf.DUMMYFUNCTION("IF(IF(V$1="""","""",REGEXMATCH(LOWER($E423),XLOOKUP(V$1,Metadata!$A$2:$A1000,Metadata!$B$2:$B1000))),V$1,"""")"),"")</f>
        <v/>
      </c>
      <c r="W423" s="34" t="str">
        <f>IFERROR(__xludf.DUMMYFUNCTION("IF(IF(W$1="""","""",REGEXMATCH(LOWER($E423),XLOOKUP(W$1,Metadata!$A$2:$A1000,Metadata!$B$2:$B1000))),W$1,"""")"),"")</f>
        <v/>
      </c>
      <c r="X423" s="34" t="str">
        <f>IFERROR(__xludf.DUMMYFUNCTION("IF(IF(X$1="""","""",REGEXMATCH(LOWER($E423),XLOOKUP(X$1,Metadata!$A$2:$A1000,Metadata!$B$2:$B1000))),X$1,"""")"),"")</f>
        <v/>
      </c>
      <c r="Y423" s="34" t="str">
        <f>IFERROR(__xludf.DUMMYFUNCTION("IF(IF(Y$1="""","""",REGEXMATCH(LOWER($E423),XLOOKUP(Y$1,Metadata!$A$2:$A1000,Metadata!$B$2:$B1000))),Y$1,"""")"),"")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I424">XLOOKUP($A424,Cards!$A$2:$A1000,Cards!$B$2:$I1000,"")</f>
        <v>Divine</v>
      </c>
      <c r="C424" s="34">
        <v>1.0</v>
      </c>
      <c r="D424" s="34" t="s">
        <v>242</v>
      </c>
      <c r="E424" s="34" t="s">
        <v>2215</v>
      </c>
      <c r="F424" s="34"/>
      <c r="G424" s="34">
        <v>4.0</v>
      </c>
      <c r="H424" s="34" t="s">
        <v>268</v>
      </c>
      <c r="I424" s="34" t="s">
        <v>26</v>
      </c>
      <c r="J424" s="34">
        <f>IFERROR(__xludf.DUMMYFUNCTION("LEN(REGEXREPLACE(XLOOKUP($A424,Cards!$A$2:$A1000,Cards!$H$2:$H1000,""""),"",\s"",""""))"),5.0)</f>
        <v>5</v>
      </c>
      <c r="K424" s="34" t="str">
        <f t="shared" si="1"/>
        <v>               </v>
      </c>
      <c r="L424" s="34" t="str">
        <f>IFERROR(__xludf.DUMMYFUNCTION("IF(IF(L$1="""","""",REGEXMATCH(LOWER($E424),XLOOKUP(L$1,Metadata!$A$2:$A1000,Metadata!$B$2:$B1000))),L$1,"""")"),"")</f>
        <v/>
      </c>
      <c r="M424" s="34" t="str">
        <f>IFERROR(__xludf.DUMMYFUNCTION("IF(IF(M$1="""","""",REGEXMATCH(LOWER($E424),XLOOKUP(M$1,Metadata!$A$2:$A1000,Metadata!$B$2:$B1000))),M$1,"""")"),"")</f>
        <v/>
      </c>
      <c r="N424" s="34" t="str">
        <f>IFERROR(__xludf.DUMMYFUNCTION("IF(IF(N$1="""","""",REGEXMATCH(LOWER($E424),XLOOKUP(N$1,Metadata!$A$2:$A1000,Metadata!$B$2:$B1000))),N$1,"""")"),"")</f>
        <v/>
      </c>
      <c r="O424" s="34" t="str">
        <f>IFERROR(__xludf.DUMMYFUNCTION("IF(IF(O$1="""","""",REGEXMATCH(LOWER($E424),XLOOKUP(O$1,Metadata!$A$2:$A1000,Metadata!$B$2:$B1000))),O$1,"""")"),"")</f>
        <v/>
      </c>
      <c r="P424" s="34" t="str">
        <f>IFERROR(__xludf.DUMMYFUNCTION("IF(IF(P$1="""","""",REGEXMATCH(LOWER($E424),XLOOKUP(P$1,Metadata!$A$2:$A1000,Metadata!$B$2:$B1000))),P$1,"""")"),"")</f>
        <v/>
      </c>
      <c r="Q424" s="34" t="str">
        <f>IFERROR(__xludf.DUMMYFUNCTION("IF(IF(Q$1="""","""",REGEXMATCH(LOWER($E424),XLOOKUP(Q$1,Metadata!$A$2:$A1000,Metadata!$B$2:$B1000))),Q$1,"""")"),"")</f>
        <v/>
      </c>
      <c r="R424" s="34" t="str">
        <f>IFERROR(__xludf.DUMMYFUNCTION("IF(IF(R$1="""","""",REGEXMATCH(LOWER($E424),XLOOKUP(R$1,Metadata!$A$2:$A1000,Metadata!$B$2:$B1000))),R$1,"""")"),"")</f>
        <v/>
      </c>
      <c r="S424" s="34" t="str">
        <f>IFERROR(__xludf.DUMMYFUNCTION("IF(IF(S$1="""","""",REGEXMATCH(LOWER($E424),XLOOKUP(S$1,Metadata!$A$2:$A1000,Metadata!$B$2:$B1000))),S$1,"""")"),"")</f>
        <v/>
      </c>
      <c r="T424" s="34" t="str">
        <f>IFERROR(__xludf.DUMMYFUNCTION("IF(IF(T$1="""","""",REGEXMATCH(LOWER($E424),XLOOKUP(T$1,Metadata!$A$2:$A1000,Metadata!$B$2:$B1000))),T$1,"""")"),"")</f>
        <v/>
      </c>
      <c r="U424" s="34" t="str">
        <f>IFERROR(__xludf.DUMMYFUNCTION("IF(IF(U$1="""","""",REGEXMATCH(LOWER($E424),XLOOKUP(U$1,Metadata!$A$2:$A1000,Metadata!$B$2:$B1000))),U$1,"""")"),"")</f>
        <v/>
      </c>
      <c r="V424" s="34" t="str">
        <f>IFERROR(__xludf.DUMMYFUNCTION("IF(IF(V$1="""","""",REGEXMATCH(LOWER($E424),XLOOKUP(V$1,Metadata!$A$2:$A1000,Metadata!$B$2:$B1000))),V$1,"""")"),"")</f>
        <v/>
      </c>
      <c r="W424" s="34" t="str">
        <f>IFERROR(__xludf.DUMMYFUNCTION("IF(IF(W$1="""","""",REGEXMATCH(LOWER($E424),XLOOKUP(W$1,Metadata!$A$2:$A1000,Metadata!$B$2:$B1000))),W$1,"""")"),"")</f>
        <v/>
      </c>
      <c r="X424" s="34" t="str">
        <f>IFERROR(__xludf.DUMMYFUNCTION("IF(IF(X$1="""","""",REGEXMATCH(LOWER($E424),XLOOKUP(X$1,Metadata!$A$2:$A1000,Metadata!$B$2:$B1000))),X$1,"""")"),"")</f>
        <v/>
      </c>
      <c r="Y424" s="34" t="str">
        <f>IFERROR(__xludf.DUMMYFUNCTION("IF(IF(Y$1="""","""",REGEXMATCH(LOWER($E424),XLOOKUP(Y$1,Metadata!$A$2:$A1000,Metadata!$B$2:$B1000))),Y$1,"""")"),"")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I425">XLOOKUP($A425,Cards!$A$2:$A1000,Cards!$B$2:$I1000,"")</f>
        <v/>
      </c>
      <c r="C425" s="34">
        <v>1.0</v>
      </c>
      <c r="D425" s="34" t="s">
        <v>111</v>
      </c>
      <c r="E425" s="34" t="s">
        <v>2226</v>
      </c>
      <c r="F425" s="34" t="s">
        <v>2227</v>
      </c>
      <c r="G425" s="34">
        <v>3.0</v>
      </c>
      <c r="H425" s="34" t="s">
        <v>1966</v>
      </c>
      <c r="I425" s="34" t="s">
        <v>32</v>
      </c>
      <c r="J425" s="34">
        <f>IFERROR(__xludf.DUMMYFUNCTION("LEN(REGEXREPLACE(XLOOKUP($A425,Cards!$A$2:$A1000,Cards!$H$2:$H1000,""""),"",\s"",""""))"),4.0)</f>
        <v>4</v>
      </c>
      <c r="K425" s="34" t="str">
        <f t="shared" si="1"/>
        <v>               </v>
      </c>
      <c r="L425" s="34" t="str">
        <f>IFERROR(__xludf.DUMMYFUNCTION("IF(IF(L$1="""","""",REGEXMATCH(LOWER($E425),XLOOKUP(L$1,Metadata!$A$2:$A1000,Metadata!$B$2:$B1000))),L$1,"""")"),"")</f>
        <v/>
      </c>
      <c r="M425" s="34" t="str">
        <f>IFERROR(__xludf.DUMMYFUNCTION("IF(IF(M$1="""","""",REGEXMATCH(LOWER($E425),XLOOKUP(M$1,Metadata!$A$2:$A1000,Metadata!$B$2:$B1000))),M$1,"""")"),"")</f>
        <v/>
      </c>
      <c r="N425" s="34" t="str">
        <f>IFERROR(__xludf.DUMMYFUNCTION("IF(IF(N$1="""","""",REGEXMATCH(LOWER($E425),XLOOKUP(N$1,Metadata!$A$2:$A1000,Metadata!$B$2:$B1000))),N$1,"""")"),"")</f>
        <v/>
      </c>
      <c r="O425" s="34" t="str">
        <f>IFERROR(__xludf.DUMMYFUNCTION("IF(IF(O$1="""","""",REGEXMATCH(LOWER($E425),XLOOKUP(O$1,Metadata!$A$2:$A1000,Metadata!$B$2:$B1000))),O$1,"""")"),"")</f>
        <v/>
      </c>
      <c r="P425" s="34" t="str">
        <f>IFERROR(__xludf.DUMMYFUNCTION("IF(IF(P$1="""","""",REGEXMATCH(LOWER($E425),XLOOKUP(P$1,Metadata!$A$2:$A1000,Metadata!$B$2:$B1000))),P$1,"""")"),"")</f>
        <v/>
      </c>
      <c r="Q425" s="34" t="str">
        <f>IFERROR(__xludf.DUMMYFUNCTION("IF(IF(Q$1="""","""",REGEXMATCH(LOWER($E425),XLOOKUP(Q$1,Metadata!$A$2:$A1000,Metadata!$B$2:$B1000))),Q$1,"""")"),"")</f>
        <v/>
      </c>
      <c r="R425" s="34" t="str">
        <f>IFERROR(__xludf.DUMMYFUNCTION("IF(IF(R$1="""","""",REGEXMATCH(LOWER($E425),XLOOKUP(R$1,Metadata!$A$2:$A1000,Metadata!$B$2:$B1000))),R$1,"""")"),"")</f>
        <v/>
      </c>
      <c r="S425" s="34" t="str">
        <f>IFERROR(__xludf.DUMMYFUNCTION("IF(IF(S$1="""","""",REGEXMATCH(LOWER($E425),XLOOKUP(S$1,Metadata!$A$2:$A1000,Metadata!$B$2:$B1000))),S$1,"""")"),"")</f>
        <v/>
      </c>
      <c r="T425" s="34" t="str">
        <f>IFERROR(__xludf.DUMMYFUNCTION("IF(IF(T$1="""","""",REGEXMATCH(LOWER($E425),XLOOKUP(T$1,Metadata!$A$2:$A1000,Metadata!$B$2:$B1000))),T$1,"""")"),"")</f>
        <v/>
      </c>
      <c r="U425" s="34" t="str">
        <f>IFERROR(__xludf.DUMMYFUNCTION("IF(IF(U$1="""","""",REGEXMATCH(LOWER($E425),XLOOKUP(U$1,Metadata!$A$2:$A1000,Metadata!$B$2:$B1000))),U$1,"""")"),"")</f>
        <v/>
      </c>
      <c r="V425" s="34" t="str">
        <f>IFERROR(__xludf.DUMMYFUNCTION("IF(IF(V$1="""","""",REGEXMATCH(LOWER($E425),XLOOKUP(V$1,Metadata!$A$2:$A1000,Metadata!$B$2:$B1000))),V$1,"""")"),"")</f>
        <v/>
      </c>
      <c r="W425" s="34" t="str">
        <f>IFERROR(__xludf.DUMMYFUNCTION("IF(IF(W$1="""","""",REGEXMATCH(LOWER($E425),XLOOKUP(W$1,Metadata!$A$2:$A1000,Metadata!$B$2:$B1000))),W$1,"""")"),"")</f>
        <v/>
      </c>
      <c r="X425" s="34" t="str">
        <f>IFERROR(__xludf.DUMMYFUNCTION("IF(IF(X$1="""","""",REGEXMATCH(LOWER($E425),XLOOKUP(X$1,Metadata!$A$2:$A1000,Metadata!$B$2:$B1000))),X$1,"""")"),"")</f>
        <v/>
      </c>
      <c r="Y425" s="34" t="str">
        <f>IFERROR(__xludf.DUMMYFUNCTION("IF(IF(Y$1="""","""",REGEXMATCH(LOWER($E425),XLOOKUP(Y$1,Metadata!$A$2:$A1000,Metadata!$B$2:$B1000))),Y$1,"""")"),"")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I426">XLOOKUP($A426,Cards!$A$2:$A1000,Cards!$B$2:$I1000,"")</f>
        <v/>
      </c>
      <c r="C426" s="34">
        <v>1.0</v>
      </c>
      <c r="D426" s="34"/>
      <c r="E426" s="34" t="s">
        <v>2232</v>
      </c>
      <c r="F426" s="34" t="s">
        <v>2233</v>
      </c>
      <c r="G426" s="34">
        <v>2.0</v>
      </c>
      <c r="H426" s="34" t="s">
        <v>2234</v>
      </c>
      <c r="I426" s="34" t="s">
        <v>32</v>
      </c>
      <c r="J426" s="34">
        <f>IFERROR(__xludf.DUMMYFUNCTION("LEN(REGEXREPLACE(XLOOKUP($A426,Cards!$A$2:$A1000,Cards!$H$2:$H1000,""""),"",\s"",""""))"),2.0)</f>
        <v>2</v>
      </c>
      <c r="K426" s="34" t="str">
        <f t="shared" si="1"/>
        <v>               </v>
      </c>
      <c r="L426" s="34" t="str">
        <f>IFERROR(__xludf.DUMMYFUNCTION("IF(IF(L$1="""","""",REGEXMATCH(LOWER($E426),XLOOKUP(L$1,Metadata!$A$2:$A1000,Metadata!$B$2:$B1000))),L$1,"""")"),"")</f>
        <v/>
      </c>
      <c r="M426" s="34" t="str">
        <f>IFERROR(__xludf.DUMMYFUNCTION("IF(IF(M$1="""","""",REGEXMATCH(LOWER($E426),XLOOKUP(M$1,Metadata!$A$2:$A1000,Metadata!$B$2:$B1000))),M$1,"""")"),"")</f>
        <v/>
      </c>
      <c r="N426" s="34" t="str">
        <f>IFERROR(__xludf.DUMMYFUNCTION("IF(IF(N$1="""","""",REGEXMATCH(LOWER($E426),XLOOKUP(N$1,Metadata!$A$2:$A1000,Metadata!$B$2:$B1000))),N$1,"""")"),"")</f>
        <v/>
      </c>
      <c r="O426" s="34" t="str">
        <f>IFERROR(__xludf.DUMMYFUNCTION("IF(IF(O$1="""","""",REGEXMATCH(LOWER($E426),XLOOKUP(O$1,Metadata!$A$2:$A1000,Metadata!$B$2:$B1000))),O$1,"""")"),"")</f>
        <v/>
      </c>
      <c r="P426" s="34" t="str">
        <f>IFERROR(__xludf.DUMMYFUNCTION("IF(IF(P$1="""","""",REGEXMATCH(LOWER($E426),XLOOKUP(P$1,Metadata!$A$2:$A1000,Metadata!$B$2:$B1000))),P$1,"""")"),"")</f>
        <v/>
      </c>
      <c r="Q426" s="34" t="str">
        <f>IFERROR(__xludf.DUMMYFUNCTION("IF(IF(Q$1="""","""",REGEXMATCH(LOWER($E426),XLOOKUP(Q$1,Metadata!$A$2:$A1000,Metadata!$B$2:$B1000))),Q$1,"""")"),"")</f>
        <v/>
      </c>
      <c r="R426" s="34" t="str">
        <f>IFERROR(__xludf.DUMMYFUNCTION("IF(IF(R$1="""","""",REGEXMATCH(LOWER($E426),XLOOKUP(R$1,Metadata!$A$2:$A1000,Metadata!$B$2:$B1000))),R$1,"""")"),"")</f>
        <v/>
      </c>
      <c r="S426" s="34" t="str">
        <f>IFERROR(__xludf.DUMMYFUNCTION("IF(IF(S$1="""","""",REGEXMATCH(LOWER($E426),XLOOKUP(S$1,Metadata!$A$2:$A1000,Metadata!$B$2:$B1000))),S$1,"""")"),"")</f>
        <v/>
      </c>
      <c r="T426" s="34" t="str">
        <f>IFERROR(__xludf.DUMMYFUNCTION("IF(IF(T$1="""","""",REGEXMATCH(LOWER($E426),XLOOKUP(T$1,Metadata!$A$2:$A1000,Metadata!$B$2:$B1000))),T$1,"""")"),"")</f>
        <v/>
      </c>
      <c r="U426" s="34" t="str">
        <f>IFERROR(__xludf.DUMMYFUNCTION("IF(IF(U$1="""","""",REGEXMATCH(LOWER($E426),XLOOKUP(U$1,Metadata!$A$2:$A1000,Metadata!$B$2:$B1000))),U$1,"""")"),"")</f>
        <v/>
      </c>
      <c r="V426" s="34" t="str">
        <f>IFERROR(__xludf.DUMMYFUNCTION("IF(IF(V$1="""","""",REGEXMATCH(LOWER($E426),XLOOKUP(V$1,Metadata!$A$2:$A1000,Metadata!$B$2:$B1000))),V$1,"""")"),"")</f>
        <v/>
      </c>
      <c r="W426" s="34" t="str">
        <f>IFERROR(__xludf.DUMMYFUNCTION("IF(IF(W$1="""","""",REGEXMATCH(LOWER($E426),XLOOKUP(W$1,Metadata!$A$2:$A1000,Metadata!$B$2:$B1000))),W$1,"""")"),"")</f>
        <v/>
      </c>
      <c r="X426" s="34" t="str">
        <f>IFERROR(__xludf.DUMMYFUNCTION("IF(IF(X$1="""","""",REGEXMATCH(LOWER($E426),XLOOKUP(X$1,Metadata!$A$2:$A1000,Metadata!$B$2:$B1000))),X$1,"""")"),"")</f>
        <v/>
      </c>
      <c r="Y426" s="34" t="str">
        <f>IFERROR(__xludf.DUMMYFUNCTION("IF(IF(Y$1="""","""",REGEXMATCH(LOWER($E426),XLOOKUP(Y$1,Metadata!$A$2:$A1000,Metadata!$B$2:$B1000))),Y$1,"""")"),"")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I427">XLOOKUP($A427,Cards!$A$2:$A1000,Cards!$B$2:$I1000,"")</f>
        <v/>
      </c>
      <c r="C427" s="34">
        <v>1.0</v>
      </c>
      <c r="D427" s="34"/>
      <c r="E427" s="34" t="s">
        <v>2239</v>
      </c>
      <c r="F427" s="34" t="s">
        <v>2240</v>
      </c>
      <c r="G427" s="34">
        <v>2.0</v>
      </c>
      <c r="H427" s="34" t="s">
        <v>2234</v>
      </c>
      <c r="I427" s="34" t="s">
        <v>32</v>
      </c>
      <c r="J427" s="34">
        <f>IFERROR(__xludf.DUMMYFUNCTION("LEN(REGEXREPLACE(XLOOKUP($A427,Cards!$A$2:$A1000,Cards!$H$2:$H1000,""""),"",\s"",""""))"),2.0)</f>
        <v>2</v>
      </c>
      <c r="K427" s="34" t="str">
        <f t="shared" si="1"/>
        <v>               </v>
      </c>
      <c r="L427" s="34" t="str">
        <f>IFERROR(__xludf.DUMMYFUNCTION("IF(IF(L$1="""","""",REGEXMATCH(LOWER($E427),XLOOKUP(L$1,Metadata!$A$2:$A1000,Metadata!$B$2:$B1000))),L$1,"""")"),"")</f>
        <v/>
      </c>
      <c r="M427" s="34" t="str">
        <f>IFERROR(__xludf.DUMMYFUNCTION("IF(IF(M$1="""","""",REGEXMATCH(LOWER($E427),XLOOKUP(M$1,Metadata!$A$2:$A1000,Metadata!$B$2:$B1000))),M$1,"""")"),"")</f>
        <v/>
      </c>
      <c r="N427" s="34" t="str">
        <f>IFERROR(__xludf.DUMMYFUNCTION("IF(IF(N$1="""","""",REGEXMATCH(LOWER($E427),XLOOKUP(N$1,Metadata!$A$2:$A1000,Metadata!$B$2:$B1000))),N$1,"""")"),"")</f>
        <v/>
      </c>
      <c r="O427" s="34" t="str">
        <f>IFERROR(__xludf.DUMMYFUNCTION("IF(IF(O$1="""","""",REGEXMATCH(LOWER($E427),XLOOKUP(O$1,Metadata!$A$2:$A1000,Metadata!$B$2:$B1000))),O$1,"""")"),"")</f>
        <v/>
      </c>
      <c r="P427" s="34" t="str">
        <f>IFERROR(__xludf.DUMMYFUNCTION("IF(IF(P$1="""","""",REGEXMATCH(LOWER($E427),XLOOKUP(P$1,Metadata!$A$2:$A1000,Metadata!$B$2:$B1000))),P$1,"""")"),"")</f>
        <v/>
      </c>
      <c r="Q427" s="34" t="str">
        <f>IFERROR(__xludf.DUMMYFUNCTION("IF(IF(Q$1="""","""",REGEXMATCH(LOWER($E427),XLOOKUP(Q$1,Metadata!$A$2:$A1000,Metadata!$B$2:$B1000))),Q$1,"""")"),"")</f>
        <v/>
      </c>
      <c r="R427" s="34" t="str">
        <f>IFERROR(__xludf.DUMMYFUNCTION("IF(IF(R$1="""","""",REGEXMATCH(LOWER($E427),XLOOKUP(R$1,Metadata!$A$2:$A1000,Metadata!$B$2:$B1000))),R$1,"""")"),"")</f>
        <v/>
      </c>
      <c r="S427" s="34" t="str">
        <f>IFERROR(__xludf.DUMMYFUNCTION("IF(IF(S$1="""","""",REGEXMATCH(LOWER($E427),XLOOKUP(S$1,Metadata!$A$2:$A1000,Metadata!$B$2:$B1000))),S$1,"""")"),"")</f>
        <v/>
      </c>
      <c r="T427" s="34" t="str">
        <f>IFERROR(__xludf.DUMMYFUNCTION("IF(IF(T$1="""","""",REGEXMATCH(LOWER($E427),XLOOKUP(T$1,Metadata!$A$2:$A1000,Metadata!$B$2:$B1000))),T$1,"""")"),"")</f>
        <v/>
      </c>
      <c r="U427" s="34" t="str">
        <f>IFERROR(__xludf.DUMMYFUNCTION("IF(IF(U$1="""","""",REGEXMATCH(LOWER($E427),XLOOKUP(U$1,Metadata!$A$2:$A1000,Metadata!$B$2:$B1000))),U$1,"""")"),"")</f>
        <v/>
      </c>
      <c r="V427" s="34" t="str">
        <f>IFERROR(__xludf.DUMMYFUNCTION("IF(IF(V$1="""","""",REGEXMATCH(LOWER($E427),XLOOKUP(V$1,Metadata!$A$2:$A1000,Metadata!$B$2:$B1000))),V$1,"""")"),"")</f>
        <v/>
      </c>
      <c r="W427" s="34" t="str">
        <f>IFERROR(__xludf.DUMMYFUNCTION("IF(IF(W$1="""","""",REGEXMATCH(LOWER($E427),XLOOKUP(W$1,Metadata!$A$2:$A1000,Metadata!$B$2:$B1000))),W$1,"""")"),"")</f>
        <v/>
      </c>
      <c r="X427" s="34" t="str">
        <f>IFERROR(__xludf.DUMMYFUNCTION("IF(IF(X$1="""","""",REGEXMATCH(LOWER($E427),XLOOKUP(X$1,Metadata!$A$2:$A1000,Metadata!$B$2:$B1000))),X$1,"""")"),"")</f>
        <v/>
      </c>
      <c r="Y427" s="34" t="str">
        <f>IFERROR(__xludf.DUMMYFUNCTION("IF(IF(Y$1="""","""",REGEXMATCH(LOWER($E427),XLOOKUP(Y$1,Metadata!$A$2:$A1000,Metadata!$B$2:$B1000))),Y$1,"""")"),"")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I428">XLOOKUP($A428,Cards!$A$2:$A1000,Cards!$B$2:$I1000,"")</f>
        <v>Nature</v>
      </c>
      <c r="C428" s="34">
        <v>0.0</v>
      </c>
      <c r="D428" s="34" t="s">
        <v>387</v>
      </c>
      <c r="E428" s="34" t="s">
        <v>2247</v>
      </c>
      <c r="F428" s="34"/>
      <c r="G428" s="34">
        <v>6.0</v>
      </c>
      <c r="H428" s="34" t="s">
        <v>1535</v>
      </c>
      <c r="I428" s="34" t="s">
        <v>32</v>
      </c>
      <c r="J428" s="34">
        <f>IFERROR(__xludf.DUMMYFUNCTION("LEN(REGEXREPLACE(XLOOKUP($A428,Cards!$A$2:$A1000,Cards!$H$2:$H1000,""""),"",\s"",""""))"),6.0)</f>
        <v>6</v>
      </c>
      <c r="K428" s="34" t="str">
        <f t="shared" si="1"/>
        <v>      Ramp         </v>
      </c>
      <c r="L428" s="34" t="str">
        <f>IFERROR(__xludf.DUMMYFUNCTION("IF(IF(L$1="""","""",REGEXMATCH(LOWER($E428),XLOOKUP(L$1,Metadata!$A$2:$A1000,Metadata!$B$2:$B1000))),L$1,"""")"),"")</f>
        <v/>
      </c>
      <c r="M428" s="34" t="str">
        <f>IFERROR(__xludf.DUMMYFUNCTION("IF(IF(M$1="""","""",REGEXMATCH(LOWER($E428),XLOOKUP(M$1,Metadata!$A$2:$A1000,Metadata!$B$2:$B1000))),M$1,"""")"),"")</f>
        <v/>
      </c>
      <c r="N428" s="34" t="str">
        <f>IFERROR(__xludf.DUMMYFUNCTION("IF(IF(N$1="""","""",REGEXMATCH(LOWER($E428),XLOOKUP(N$1,Metadata!$A$2:$A1000,Metadata!$B$2:$B1000))),N$1,"""")"),"")</f>
        <v/>
      </c>
      <c r="O428" s="34" t="str">
        <f>IFERROR(__xludf.DUMMYFUNCTION("IF(IF(O$1="""","""",REGEXMATCH(LOWER($E428),XLOOKUP(O$1,Metadata!$A$2:$A1000,Metadata!$B$2:$B1000))),O$1,"""")"),"")</f>
        <v/>
      </c>
      <c r="P428" s="34" t="str">
        <f>IFERROR(__xludf.DUMMYFUNCTION("IF(IF(P$1="""","""",REGEXMATCH(LOWER($E428),XLOOKUP(P$1,Metadata!$A$2:$A1000,Metadata!$B$2:$B1000))),P$1,"""")"),"")</f>
        <v/>
      </c>
      <c r="Q428" s="34" t="str">
        <f>IFERROR(__xludf.DUMMYFUNCTION("IF(IF(Q$1="""","""",REGEXMATCH(LOWER($E428),XLOOKUP(Q$1,Metadata!$A$2:$A1000,Metadata!$B$2:$B1000))),Q$1,"""")"),"")</f>
        <v/>
      </c>
      <c r="R428" s="34" t="str">
        <f>IFERROR(__xludf.DUMMYFUNCTION("IF(IF(R$1="""","""",REGEXMATCH(LOWER($E428),XLOOKUP(R$1,Metadata!$A$2:$A1000,Metadata!$B$2:$B1000))),R$1,"""")"),"Ramp")</f>
        <v>Ramp</v>
      </c>
      <c r="S428" s="34" t="str">
        <f>IFERROR(__xludf.DUMMYFUNCTION("IF(IF(S$1="""","""",REGEXMATCH(LOWER($E428),XLOOKUP(S$1,Metadata!$A$2:$A1000,Metadata!$B$2:$B1000))),S$1,"""")"),"")</f>
        <v/>
      </c>
      <c r="T428" s="34" t="str">
        <f>IFERROR(__xludf.DUMMYFUNCTION("IF(IF(T$1="""","""",REGEXMATCH(LOWER($E428),XLOOKUP(T$1,Metadata!$A$2:$A1000,Metadata!$B$2:$B1000))),T$1,"""")"),"")</f>
        <v/>
      </c>
      <c r="U428" s="34" t="str">
        <f>IFERROR(__xludf.DUMMYFUNCTION("IF(IF(U$1="""","""",REGEXMATCH(LOWER($E428),XLOOKUP(U$1,Metadata!$A$2:$A1000,Metadata!$B$2:$B1000))),U$1,"""")"),"")</f>
        <v/>
      </c>
      <c r="V428" s="34" t="str">
        <f>IFERROR(__xludf.DUMMYFUNCTION("IF(IF(V$1="""","""",REGEXMATCH(LOWER($E428),XLOOKUP(V$1,Metadata!$A$2:$A1000,Metadata!$B$2:$B1000))),V$1,"""")"),"")</f>
        <v/>
      </c>
      <c r="W428" s="34" t="str">
        <f>IFERROR(__xludf.DUMMYFUNCTION("IF(IF(W$1="""","""",REGEXMATCH(LOWER($E428),XLOOKUP(W$1,Metadata!$A$2:$A1000,Metadata!$B$2:$B1000))),W$1,"""")"),"")</f>
        <v/>
      </c>
      <c r="X428" s="34" t="str">
        <f>IFERROR(__xludf.DUMMYFUNCTION("IF(IF(X$1="""","""",REGEXMATCH(LOWER($E428),XLOOKUP(X$1,Metadata!$A$2:$A1000,Metadata!$B$2:$B1000))),X$1,"""")"),"")</f>
        <v/>
      </c>
      <c r="Y428" s="34" t="str">
        <f>IFERROR(__xludf.DUMMYFUNCTION("IF(IF(Y$1="""","""",REGEXMATCH(LOWER($E428),XLOOKUP(Y$1,Metadata!$A$2:$A1000,Metadata!$B$2:$B1000))),Y$1,"""")"),"")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I429">XLOOKUP($A429,Cards!$A$2:$A1000,Cards!$B$2:$I1000,"")</f>
        <v>Nature</v>
      </c>
      <c r="C429" s="34">
        <v>0.0</v>
      </c>
      <c r="D429" s="34" t="s">
        <v>387</v>
      </c>
      <c r="E429" s="34" t="s">
        <v>2249</v>
      </c>
      <c r="F429" s="34"/>
      <c r="G429" s="34">
        <v>4.0</v>
      </c>
      <c r="H429" s="34" t="s">
        <v>1667</v>
      </c>
      <c r="I429" s="34" t="s">
        <v>70</v>
      </c>
      <c r="J429" s="34">
        <f>IFERROR(__xludf.DUMMYFUNCTION("LEN(REGEXREPLACE(XLOOKUP($A429,Cards!$A$2:$A1000,Cards!$H$2:$H1000,""""),"",\s"",""""))"),5.0)</f>
        <v>5</v>
      </c>
      <c r="K429" s="34" t="str">
        <f t="shared" si="1"/>
        <v>               </v>
      </c>
      <c r="L429" s="34" t="str">
        <f>IFERROR(__xludf.DUMMYFUNCTION("IF(IF(L$1="""","""",REGEXMATCH(LOWER($E429),XLOOKUP(L$1,Metadata!$A$2:$A1000,Metadata!$B$2:$B1000))),L$1,"""")"),"")</f>
        <v/>
      </c>
      <c r="M429" s="34" t="str">
        <f>IFERROR(__xludf.DUMMYFUNCTION("IF(IF(M$1="""","""",REGEXMATCH(LOWER($E429),XLOOKUP(M$1,Metadata!$A$2:$A1000,Metadata!$B$2:$B1000))),M$1,"""")"),"")</f>
        <v/>
      </c>
      <c r="N429" s="34" t="str">
        <f>IFERROR(__xludf.DUMMYFUNCTION("IF(IF(N$1="""","""",REGEXMATCH(LOWER($E429),XLOOKUP(N$1,Metadata!$A$2:$A1000,Metadata!$B$2:$B1000))),N$1,"""")"),"")</f>
        <v/>
      </c>
      <c r="O429" s="34" t="str">
        <f>IFERROR(__xludf.DUMMYFUNCTION("IF(IF(O$1="""","""",REGEXMATCH(LOWER($E429),XLOOKUP(O$1,Metadata!$A$2:$A1000,Metadata!$B$2:$B1000))),O$1,"""")"),"")</f>
        <v/>
      </c>
      <c r="P429" s="34" t="str">
        <f>IFERROR(__xludf.DUMMYFUNCTION("IF(IF(P$1="""","""",REGEXMATCH(LOWER($E429),XLOOKUP(P$1,Metadata!$A$2:$A1000,Metadata!$B$2:$B1000))),P$1,"""")"),"")</f>
        <v/>
      </c>
      <c r="Q429" s="34" t="str">
        <f>IFERROR(__xludf.DUMMYFUNCTION("IF(IF(Q$1="""","""",REGEXMATCH(LOWER($E429),XLOOKUP(Q$1,Metadata!$A$2:$A1000,Metadata!$B$2:$B1000))),Q$1,"""")"),"")</f>
        <v/>
      </c>
      <c r="R429" s="34" t="str">
        <f>IFERROR(__xludf.DUMMYFUNCTION("IF(IF(R$1="""","""",REGEXMATCH(LOWER($E429),XLOOKUP(R$1,Metadata!$A$2:$A1000,Metadata!$B$2:$B1000))),R$1,"""")"),"")</f>
        <v/>
      </c>
      <c r="S429" s="34" t="str">
        <f>IFERROR(__xludf.DUMMYFUNCTION("IF(IF(S$1="""","""",REGEXMATCH(LOWER($E429),XLOOKUP(S$1,Metadata!$A$2:$A1000,Metadata!$B$2:$B1000))),S$1,"""")"),"")</f>
        <v/>
      </c>
      <c r="T429" s="34" t="str">
        <f>IFERROR(__xludf.DUMMYFUNCTION("IF(IF(T$1="""","""",REGEXMATCH(LOWER($E429),XLOOKUP(T$1,Metadata!$A$2:$A1000,Metadata!$B$2:$B1000))),T$1,"""")"),"")</f>
        <v/>
      </c>
      <c r="U429" s="34" t="str">
        <f>IFERROR(__xludf.DUMMYFUNCTION("IF(IF(U$1="""","""",REGEXMATCH(LOWER($E429),XLOOKUP(U$1,Metadata!$A$2:$A1000,Metadata!$B$2:$B1000))),U$1,"""")"),"")</f>
        <v/>
      </c>
      <c r="V429" s="34" t="str">
        <f>IFERROR(__xludf.DUMMYFUNCTION("IF(IF(V$1="""","""",REGEXMATCH(LOWER($E429),XLOOKUP(V$1,Metadata!$A$2:$A1000,Metadata!$B$2:$B1000))),V$1,"""")"),"")</f>
        <v/>
      </c>
      <c r="W429" s="34" t="str">
        <f>IFERROR(__xludf.DUMMYFUNCTION("IF(IF(W$1="""","""",REGEXMATCH(LOWER($E429),XLOOKUP(W$1,Metadata!$A$2:$A1000,Metadata!$B$2:$B1000))),W$1,"""")"),"")</f>
        <v/>
      </c>
      <c r="X429" s="34" t="str">
        <f>IFERROR(__xludf.DUMMYFUNCTION("IF(IF(X$1="""","""",REGEXMATCH(LOWER($E429),XLOOKUP(X$1,Metadata!$A$2:$A1000,Metadata!$B$2:$B1000))),X$1,"""")"),"")</f>
        <v/>
      </c>
      <c r="Y429" s="34" t="str">
        <f>IFERROR(__xludf.DUMMYFUNCTION("IF(IF(Y$1="""","""",REGEXMATCH(LOWER($E429),XLOOKUP(Y$1,Metadata!$A$2:$A1000,Metadata!$B$2:$B1000))),Y$1,"""")"),"")</f>
        <v/>
      </c>
      <c r="Z429" s="34" t="str">
        <f>IFERROR(__xludf.DUMMYFUNCTION("IF(IF(Z$1="""","""",REGEXMATCH(LOWER($E429),XLOOKUP(Z$1,Metadata!$A$2:$A1000,Metadata!$B$2:$B1000))),Z$1,"""")"),"")</f>
        <v/>
      </c>
    </row>
    <row r="430">
      <c r="A430" s="34"/>
      <c r="B430" s="34" t="str">
        <f t="array" ref="B430">XLOOKUP($A430,Cards!$A$2:$A1000,Cards!$B$2:$I1000,"")</f>
        <v/>
      </c>
      <c r="C430" s="34"/>
      <c r="D430" s="34"/>
      <c r="E430" s="34"/>
      <c r="F430" s="34"/>
      <c r="G430" s="34"/>
      <c r="H430" s="34"/>
      <c r="I430" s="34"/>
      <c r="J430" s="34">
        <f>IFERROR(__xludf.DUMMYFUNCTION("LEN(REGEXREPLACE(XLOOKUP($A430,Cards!$A$2:$A1000,Cards!$H$2:$H1000,""""),"",\s"",""""))"),0.0)</f>
        <v>0</v>
      </c>
      <c r="K430" s="34" t="str">
        <f t="shared" si="1"/>
        <v>               </v>
      </c>
      <c r="L430" s="34" t="str">
        <f>IFERROR(__xludf.DUMMYFUNCTION("IF(IF(L$1="""","""",REGEXMATCH(LOWER($E430),XLOOKUP(L$1,Metadata!$A$2:$A1000,Metadata!$B$2:$B1000))),L$1,"""")"),"")</f>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c r="B431" s="34" t="str">
        <f t="array" ref="B431">XLOOKUP($A431,Cards!$A$2:$A1000,Cards!$B$2:$I1000,"")</f>
        <v/>
      </c>
      <c r="C431" s="34"/>
      <c r="D431" s="34"/>
      <c r="E431" s="34"/>
      <c r="F431" s="34"/>
      <c r="G431" s="34"/>
      <c r="H431" s="34"/>
      <c r="I431" s="34"/>
      <c r="J431" s="34">
        <f>IFERROR(__xludf.DUMMYFUNCTION("LEN(REGEXREPLACE(XLOOKUP($A431,Cards!$A$2:$A1000,Cards!$H$2:$H1000,""""),"",\s"",""""))"),0.0)</f>
        <v>0</v>
      </c>
      <c r="K431" s="34" t="str">
        <f t="shared" si="1"/>
        <v>               </v>
      </c>
      <c r="L431" s="34" t="str">
        <f>IFERROR(__xludf.DUMMYFUNCTION("IF(IF(L$1="""","""",REGEXMATCH(LOWER($E431),XLOOKUP(L$1,Metadata!$A$2:$A1000,Metadata!$B$2:$B1000))),L$1,"""")"),"")</f>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c r="B432" s="34" t="str">
        <f t="array" ref="B432">XLOOKUP($A432,Cards!$A$2:$A1000,Cards!$B$2:$I1000,"")</f>
        <v/>
      </c>
      <c r="C432" s="34"/>
      <c r="D432" s="34"/>
      <c r="E432" s="34"/>
      <c r="F432" s="34"/>
      <c r="G432" s="34"/>
      <c r="H432" s="34"/>
      <c r="I432" s="34"/>
      <c r="J432" s="34">
        <f>IFERROR(__xludf.DUMMYFUNCTION("LEN(REGEXREPLACE(XLOOKUP($A432,Cards!$A$2:$A1000,Cards!$H$2:$H1000,""""),"",\s"",""""))"),0.0)</f>
        <v>0</v>
      </c>
      <c r="K432" s="34" t="str">
        <f t="shared" si="1"/>
        <v>               </v>
      </c>
      <c r="L432" s="34" t="str">
        <f>IFERROR(__xludf.DUMMYFUNCTION("IF(IF(L$1="""","""",REGEXMATCH(LOWER($E432),XLOOKUP(L$1,Metadata!$A$2:$A1000,Metadata!$B$2:$B1000))),L$1,"""")"),"")</f>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c r="B433" s="34" t="str">
        <f t="array" ref="B433">XLOOKUP($A433,Cards!$A$2:$A1000,Cards!$B$2:$I1000,"")</f>
        <v/>
      </c>
      <c r="C433" s="34"/>
      <c r="D433" s="34"/>
      <c r="E433" s="34"/>
      <c r="F433" s="34"/>
      <c r="G433" s="34"/>
      <c r="H433" s="34"/>
      <c r="I433" s="34"/>
      <c r="J433" s="34">
        <f>IFERROR(__xludf.DUMMYFUNCTION("LEN(REGEXREPLACE(XLOOKUP($A433,Cards!$A$2:$A1000,Cards!$H$2:$H1000,""""),"",\s"",""""))"),0.0)</f>
        <v>0</v>
      </c>
      <c r="K433" s="34" t="str">
        <f t="shared" si="1"/>
        <v>               </v>
      </c>
      <c r="L433" s="34" t="str">
        <f>IFERROR(__xludf.DUMMYFUNCTION("IF(IF(L$1="""","""",REGEXMATCH(LOWER($E433),XLOOKUP(L$1,Metadata!$A$2:$A1000,Metadata!$B$2:$B1000))),L$1,"""")"),"")</f>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c r="B434" s="34" t="str">
        <f t="array" ref="B434">XLOOKUP($A434,Cards!$A$2:$A1000,Cards!$B$2:$I1000,"")</f>
        <v/>
      </c>
      <c r="C434" s="34"/>
      <c r="D434" s="34"/>
      <c r="E434" s="34"/>
      <c r="F434" s="34"/>
      <c r="G434" s="34"/>
      <c r="H434" s="34"/>
      <c r="I434" s="34"/>
      <c r="J434" s="34">
        <f>IFERROR(__xludf.DUMMYFUNCTION("LEN(REGEXREPLACE(XLOOKUP($A434,Cards!$A$2:$A1000,Cards!$H$2:$H1000,""""),"",\s"",""""))"),0.0)</f>
        <v>0</v>
      </c>
      <c r="K434" s="34" t="str">
        <f t="shared" si="1"/>
        <v>               </v>
      </c>
      <c r="L434" s="34" t="str">
        <f>IFERROR(__xludf.DUMMYFUNCTION("IF(IF(L$1="""","""",REGEXMATCH(LOWER($E434),XLOOKUP(L$1,Metadata!$A$2:$A1000,Metadata!$B$2:$B1000))),L$1,"""")"),"")</f>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c r="B435" s="34" t="str">
        <f t="array" ref="B435">XLOOKUP($A435,Cards!$A$2:$A1000,Cards!$B$2:$I1000,"")</f>
        <v/>
      </c>
      <c r="C435" s="34"/>
      <c r="D435" s="34"/>
      <c r="E435" s="34"/>
      <c r="F435" s="34"/>
      <c r="G435" s="34"/>
      <c r="H435" s="34"/>
      <c r="I435" s="34"/>
      <c r="J435" s="34">
        <f>IFERROR(__xludf.DUMMYFUNCTION("LEN(REGEXREPLACE(XLOOKUP($A435,Cards!$A$2:$A1000,Cards!$H$2:$H1000,""""),"",\s"",""""))"),0.0)</f>
        <v>0</v>
      </c>
      <c r="K435" s="34" t="str">
        <f t="shared" si="1"/>
        <v>               </v>
      </c>
      <c r="L435" s="34" t="str">
        <f>IFERROR(__xludf.DUMMYFUNCTION("IF(IF(L$1="""","""",REGEXMATCH(LOWER($E435),XLOOKUP(L$1,Metadata!$A$2:$A1000,Metadata!$B$2:$B1000))),L$1,"""")"),"")</f>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c r="B436" s="34" t="str">
        <f t="array" ref="B436">XLOOKUP($A436,Cards!$A$2:$A1000,Cards!$B$2:$I1000,"")</f>
        <v/>
      </c>
      <c r="C436" s="34"/>
      <c r="D436" s="34"/>
      <c r="E436" s="34"/>
      <c r="F436" s="34"/>
      <c r="G436" s="34"/>
      <c r="H436" s="34"/>
      <c r="I436" s="34"/>
      <c r="J436" s="34">
        <f>IFERROR(__xludf.DUMMYFUNCTION("LEN(REGEXREPLACE(XLOOKUP($A436,Cards!$A$2:$A1000,Cards!$H$2:$H1000,""""),"",\s"",""""))"),0.0)</f>
        <v>0</v>
      </c>
      <c r="K436" s="34" t="str">
        <f t="shared" si="1"/>
        <v>               </v>
      </c>
      <c r="L436" s="34" t="str">
        <f>IFERROR(__xludf.DUMMYFUNCTION("IF(IF(L$1="""","""",REGEXMATCH(LOWER($E436),XLOOKUP(L$1,Metadata!$A$2:$A1000,Metadata!$B$2:$B1000))),L$1,"""")"),"")</f>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c r="B437" s="34" t="str">
        <f t="array" ref="B437">XLOOKUP($A437,Cards!$A$2:$A1000,Cards!$B$2:$I1000,"")</f>
        <v/>
      </c>
      <c r="C437" s="34"/>
      <c r="D437" s="34"/>
      <c r="E437" s="34"/>
      <c r="F437" s="34"/>
      <c r="G437" s="34"/>
      <c r="H437" s="34"/>
      <c r="I437" s="34"/>
      <c r="J437" s="34">
        <f>IFERROR(__xludf.DUMMYFUNCTION("LEN(REGEXREPLACE(XLOOKUP($A437,Cards!$A$2:$A1000,Cards!$H$2:$H1000,""""),"",\s"",""""))"),0.0)</f>
        <v>0</v>
      </c>
      <c r="K437" s="34" t="str">
        <f t="shared" si="1"/>
        <v>               </v>
      </c>
      <c r="L437" s="34" t="str">
        <f>IFERROR(__xludf.DUMMYFUNCTION("IF(IF(L$1="""","""",REGEXMATCH(LOWER($E437),XLOOKUP(L$1,Metadata!$A$2:$A1000,Metadata!$B$2:$B1000))),L$1,"""")"),"")</f>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c r="B438" s="34" t="str">
        <f t="array" ref="B438">XLOOKUP($A438,Cards!$A$2:$A1000,Cards!$B$2:$I1000,"")</f>
        <v/>
      </c>
      <c r="C438" s="34"/>
      <c r="D438" s="34"/>
      <c r="E438" s="34"/>
      <c r="F438" s="34"/>
      <c r="G438" s="34"/>
      <c r="H438" s="34"/>
      <c r="I438" s="34"/>
      <c r="J438" s="34">
        <f>IFERROR(__xludf.DUMMYFUNCTION("LEN(REGEXREPLACE(XLOOKUP($A438,Cards!$A$2:$A1000,Cards!$H$2:$H1000,""""),"",\s"",""""))"),0.0)</f>
        <v>0</v>
      </c>
      <c r="K438" s="34" t="str">
        <f t="shared" si="1"/>
        <v>               </v>
      </c>
      <c r="L438" s="34" t="str">
        <f>IFERROR(__xludf.DUMMYFUNCTION("IF(IF(L$1="""","""",REGEXMATCH(LOWER($E438),XLOOKUP(L$1,Metadata!$A$2:$A1000,Metadata!$B$2:$B1000))),L$1,"""")"),"")</f>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c r="B439" s="34" t="str">
        <f t="array" ref="B439">XLOOKUP($A439,Cards!$A$2:$A1000,Cards!$B$2:$I1000,"")</f>
        <v/>
      </c>
      <c r="C439" s="34"/>
      <c r="D439" s="34"/>
      <c r="E439" s="34"/>
      <c r="F439" s="34"/>
      <c r="G439" s="34"/>
      <c r="H439" s="34"/>
      <c r="I439" s="34"/>
      <c r="J439" s="34">
        <f>IFERROR(__xludf.DUMMYFUNCTION("LEN(REGEXREPLACE(XLOOKUP($A439,Cards!$A$2:$A1000,Cards!$H$2:$H1000,""""),"",\s"",""""))"),0.0)</f>
        <v>0</v>
      </c>
      <c r="K439" s="34" t="str">
        <f t="shared" si="1"/>
        <v>               </v>
      </c>
      <c r="L439" s="34" t="str">
        <f>IFERROR(__xludf.DUMMYFUNCTION("IF(IF(L$1="""","""",REGEXMATCH(LOWER($E439),XLOOKUP(L$1,Metadata!$A$2:$A1000,Metadata!$B$2:$B1000))),L$1,"""")"),"")</f>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c r="B440" s="34" t="str">
        <f t="array" ref="B440">XLOOKUP($A440,Cards!$A$2:$A1000,Cards!$B$2:$I1000,"")</f>
        <v/>
      </c>
      <c r="C440" s="34"/>
      <c r="D440" s="34"/>
      <c r="E440" s="34"/>
      <c r="F440" s="34"/>
      <c r="G440" s="34"/>
      <c r="H440" s="34"/>
      <c r="I440" s="34"/>
      <c r="J440" s="34">
        <f>IFERROR(__xludf.DUMMYFUNCTION("LEN(REGEXREPLACE(XLOOKUP($A440,Cards!$A$2:$A1000,Cards!$H$2:$H1000,""""),"",\s"",""""))"),0.0)</f>
        <v>0</v>
      </c>
      <c r="K440" s="34" t="str">
        <f t="shared" si="1"/>
        <v>               </v>
      </c>
      <c r="L440" s="34" t="str">
        <f>IFERROR(__xludf.DUMMYFUNCTION("IF(IF(L$1="""","""",REGEXMATCH(LOWER($E440),XLOOKUP(L$1,Metadata!$A$2:$A1000,Metadata!$B$2:$B1000))),L$1,"""")"),"")</f>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c r="B441" s="34" t="str">
        <f t="array" ref="B441">XLOOKUP($A441,Cards!$A$2:$A1000,Cards!$B$2:$I1000,"")</f>
        <v/>
      </c>
      <c r="C441" s="34"/>
      <c r="D441" s="34"/>
      <c r="E441" s="34"/>
      <c r="F441" s="34"/>
      <c r="G441" s="34"/>
      <c r="H441" s="34"/>
      <c r="I441" s="34"/>
      <c r="J441" s="34">
        <f>IFERROR(__xludf.DUMMYFUNCTION("LEN(REGEXREPLACE(XLOOKUP($A441,Cards!$A$2:$A1000,Cards!$H$2:$H1000,""""),"",\s"",""""))"),0.0)</f>
        <v>0</v>
      </c>
      <c r="K441" s="34" t="str">
        <f t="shared" si="1"/>
        <v>               </v>
      </c>
      <c r="L441" s="34" t="str">
        <f>IFERROR(__xludf.DUMMYFUNCTION("IF(IF(L$1="""","""",REGEXMATCH(LOWER($E441),XLOOKUP(L$1,Metadata!$A$2:$A1000,Metadata!$B$2:$B1000))),L$1,"""")"),"")</f>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c r="B442" s="34" t="str">
        <f t="array" ref="B442">XLOOKUP($A442,Cards!$A$2:$A1000,Cards!$B$2:$I1000,"")</f>
        <v/>
      </c>
      <c r="C442" s="34"/>
      <c r="D442" s="34"/>
      <c r="E442" s="34"/>
      <c r="F442" s="34"/>
      <c r="G442" s="34"/>
      <c r="H442" s="34"/>
      <c r="I442" s="34"/>
      <c r="J442" s="34">
        <f>IFERROR(__xludf.DUMMYFUNCTION("LEN(REGEXREPLACE(XLOOKUP($A442,Cards!$A$2:$A1000,Cards!$H$2:$H1000,""""),"",\s"",""""))"),0.0)</f>
        <v>0</v>
      </c>
      <c r="K442" s="34" t="str">
        <f t="shared" si="1"/>
        <v>               </v>
      </c>
      <c r="L442" s="34" t="str">
        <f>IFERROR(__xludf.DUMMYFUNCTION("IF(IF(L$1="""","""",REGEXMATCH(LOWER($E442),XLOOKUP(L$1,Metadata!$A$2:$A1000,Metadata!$B$2:$B1000))),L$1,"""")"),"")</f>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c r="B443" s="34" t="str">
        <f t="array" ref="B443">XLOOKUP($A443,Cards!$A$2:$A1000,Cards!$B$2:$I1000,"")</f>
        <v/>
      </c>
      <c r="C443" s="34"/>
      <c r="D443" s="34"/>
      <c r="E443" s="34"/>
      <c r="F443" s="34"/>
      <c r="G443" s="34"/>
      <c r="H443" s="34"/>
      <c r="I443" s="34"/>
      <c r="J443" s="34">
        <f>IFERROR(__xludf.DUMMYFUNCTION("LEN(REGEXREPLACE(XLOOKUP($A443,Cards!$A$2:$A1000,Cards!$H$2:$H1000,""""),"",\s"",""""))"),0.0)</f>
        <v>0</v>
      </c>
      <c r="K443" s="34" t="str">
        <f t="shared" si="1"/>
        <v>               </v>
      </c>
      <c r="L443" s="34" t="str">
        <f>IFERROR(__xludf.DUMMYFUNCTION("IF(IF(L$1="""","""",REGEXMATCH(LOWER($E443),XLOOKUP(L$1,Metadata!$A$2:$A1000,Metadata!$B$2:$B1000))),L$1,"""")"),"")</f>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c r="B444" s="34" t="str">
        <f t="array" ref="B444">XLOOKUP($A444,Cards!$A$2:$A1000,Cards!$B$2:$I1000,"")</f>
        <v/>
      </c>
      <c r="C444" s="34"/>
      <c r="D444" s="34"/>
      <c r="E444" s="34"/>
      <c r="F444" s="34"/>
      <c r="G444" s="34"/>
      <c r="H444" s="34"/>
      <c r="I444" s="34"/>
      <c r="J444" s="34">
        <f>IFERROR(__xludf.DUMMYFUNCTION("LEN(REGEXREPLACE(XLOOKUP($A444,Cards!$A$2:$A1000,Cards!$H$2:$H1000,""""),"",\s"",""""))"),0.0)</f>
        <v>0</v>
      </c>
      <c r="K444" s="34" t="str">
        <f t="shared" si="1"/>
        <v>               </v>
      </c>
      <c r="L444" s="34" t="str">
        <f>IFERROR(__xludf.DUMMYFUNCTION("IF(IF(L$1="""","""",REGEXMATCH(LOWER($E444),XLOOKUP(L$1,Metadata!$A$2:$A1000,Metadata!$B$2:$B1000))),L$1,"""")"),"")</f>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c r="B445" s="34" t="str">
        <f t="array" ref="B445">XLOOKUP($A445,Cards!$A$2:$A1000,Cards!$B$2:$I1000,"")</f>
        <v/>
      </c>
      <c r="C445" s="34"/>
      <c r="D445" s="34"/>
      <c r="E445" s="34"/>
      <c r="F445" s="34"/>
      <c r="G445" s="34"/>
      <c r="H445" s="34"/>
      <c r="I445" s="34"/>
      <c r="J445" s="34">
        <f>IFERROR(__xludf.DUMMYFUNCTION("LEN(REGEXREPLACE(XLOOKUP($A445,Cards!$A$2:$A1000,Cards!$H$2:$H1000,""""),"",\s"",""""))"),0.0)</f>
        <v>0</v>
      </c>
      <c r="K445" s="34" t="str">
        <f t="shared" si="1"/>
        <v>               </v>
      </c>
      <c r="L445" s="34" t="str">
        <f>IFERROR(__xludf.DUMMYFUNCTION("IF(IF(L$1="""","""",REGEXMATCH(LOWER($E445),XLOOKUP(L$1,Metadata!$A$2:$A1000,Metadata!$B$2:$B1000))),L$1,"""")"),"")</f>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c r="B446" s="34" t="str">
        <f t="array" ref="B446">XLOOKUP($A446,Cards!$A$2:$A1000,Cards!$B$2:$I1000,"")</f>
        <v/>
      </c>
      <c r="C446" s="34"/>
      <c r="D446" s="34"/>
      <c r="E446" s="34"/>
      <c r="F446" s="34"/>
      <c r="G446" s="34"/>
      <c r="H446" s="34"/>
      <c r="I446" s="34"/>
      <c r="J446" s="34">
        <f>IFERROR(__xludf.DUMMYFUNCTION("LEN(REGEXREPLACE(XLOOKUP($A446,Cards!$A$2:$A1000,Cards!$H$2:$H1000,""""),"",\s"",""""))"),0.0)</f>
        <v>0</v>
      </c>
      <c r="K446" s="34" t="str">
        <f t="shared" si="1"/>
        <v>               </v>
      </c>
      <c r="L446" s="34" t="str">
        <f>IFERROR(__xludf.DUMMYFUNCTION("IF(IF(L$1="""","""",REGEXMATCH(LOWER($E446),XLOOKUP(L$1,Metadata!$A$2:$A1000,Metadata!$B$2:$B1000))),L$1,"""")"),"")</f>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c r="B447" s="34" t="str">
        <f t="array" ref="B447">XLOOKUP($A447,Cards!$A$2:$A1000,Cards!$B$2:$I1000,"")</f>
        <v/>
      </c>
      <c r="C447" s="34"/>
      <c r="D447" s="34"/>
      <c r="E447" s="34"/>
      <c r="F447" s="34"/>
      <c r="G447" s="34"/>
      <c r="H447" s="34"/>
      <c r="I447" s="34"/>
      <c r="J447" s="34">
        <f>IFERROR(__xludf.DUMMYFUNCTION("LEN(REGEXREPLACE(XLOOKUP($A447,Cards!$A$2:$A1000,Cards!$H$2:$H1000,""""),"",\s"",""""))"),0.0)</f>
        <v>0</v>
      </c>
      <c r="K447" s="34" t="str">
        <f t="shared" si="1"/>
        <v>               </v>
      </c>
      <c r="L447" s="34" t="str">
        <f>IFERROR(__xludf.DUMMYFUNCTION("IF(IF(L$1="""","""",REGEXMATCH(LOWER($E447),XLOOKUP(L$1,Metadata!$A$2:$A1000,Metadata!$B$2:$B1000))),L$1,"""")"),"")</f>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c r="B448" s="34" t="str">
        <f t="array" ref="B448">XLOOKUP($A448,Cards!$A$2:$A1000,Cards!$B$2:$I1000,"")</f>
        <v/>
      </c>
      <c r="C448" s="34"/>
      <c r="D448" s="34"/>
      <c r="E448" s="34"/>
      <c r="F448" s="34"/>
      <c r="G448" s="34"/>
      <c r="H448" s="34"/>
      <c r="I448" s="34"/>
      <c r="J448" s="34">
        <f>IFERROR(__xludf.DUMMYFUNCTION("LEN(REGEXREPLACE(XLOOKUP($A448,Cards!$A$2:$A1000,Cards!$H$2:$H1000,""""),"",\s"",""""))"),0.0)</f>
        <v>0</v>
      </c>
      <c r="K448" s="34" t="str">
        <f t="shared" si="1"/>
        <v>               </v>
      </c>
      <c r="L448" s="34" t="str">
        <f>IFERROR(__xludf.DUMMYFUNCTION("IF(IF(L$1="""","""",REGEXMATCH(LOWER($E448),XLOOKUP(L$1,Metadata!$A$2:$A1000,Metadata!$B$2:$B1000))),L$1,"""")"),"")</f>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c r="B449" s="34" t="str">
        <f t="array" ref="B449">XLOOKUP($A449,Cards!$A$2:$A1000,Cards!$B$2:$I1000,"")</f>
        <v/>
      </c>
      <c r="C449" s="34"/>
      <c r="D449" s="34"/>
      <c r="E449" s="34"/>
      <c r="F449" s="34"/>
      <c r="G449" s="34"/>
      <c r="H449" s="34"/>
      <c r="I449" s="34"/>
      <c r="J449" s="34">
        <f>IFERROR(__xludf.DUMMYFUNCTION("LEN(REGEXREPLACE(XLOOKUP($A449,Cards!$A$2:$A1000,Cards!$H$2:$H1000,""""),"",\s"",""""))"),0.0)</f>
        <v>0</v>
      </c>
      <c r="K449" s="34" t="str">
        <f t="shared" si="1"/>
        <v>               </v>
      </c>
      <c r="L449" s="34" t="str">
        <f>IFERROR(__xludf.DUMMYFUNCTION("IF(IF(L$1="""","""",REGEXMATCH(LOWER($E449),XLOOKUP(L$1,Metadata!$A$2:$A1000,Metadata!$B$2:$B1000))),L$1,"""")"),"")</f>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c r="B450" s="34" t="str">
        <f t="array" ref="B450">XLOOKUP($A450,Cards!$A$2:$A1000,Cards!$B$2:$I1000,"")</f>
        <v/>
      </c>
      <c r="C450" s="34"/>
      <c r="D450" s="34"/>
      <c r="E450" s="34"/>
      <c r="F450" s="34"/>
      <c r="G450" s="34"/>
      <c r="H450" s="34"/>
      <c r="I450" s="34"/>
      <c r="J450" s="34">
        <f>IFERROR(__xludf.DUMMYFUNCTION("LEN(REGEXREPLACE(XLOOKUP($A450,Cards!$A$2:$A1000,Cards!$H$2:$H1000,""""),"",\s"",""""))"),0.0)</f>
        <v>0</v>
      </c>
      <c r="K450" s="34" t="str">
        <f t="shared" si="1"/>
        <v>               </v>
      </c>
      <c r="L450" s="34" t="str">
        <f>IFERROR(__xludf.DUMMYFUNCTION("IF(IF(L$1="""","""",REGEXMATCH(LOWER($E450),XLOOKUP(L$1,Metadata!$A$2:$A1000,Metadata!$B$2:$B1000))),L$1,"""")"),"")</f>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c r="B451" s="34" t="str">
        <f t="array" ref="B451">XLOOKUP($A451,Cards!$A$2:$A1000,Cards!$B$2:$I1000,"")</f>
        <v/>
      </c>
      <c r="C451" s="34"/>
      <c r="D451" s="34"/>
      <c r="E451" s="34"/>
      <c r="F451" s="34"/>
      <c r="G451" s="34"/>
      <c r="H451" s="34"/>
      <c r="I451" s="34"/>
      <c r="J451" s="34">
        <f>IFERROR(__xludf.DUMMYFUNCTION("LEN(REGEXREPLACE(XLOOKUP($A451,Cards!$A$2:$A1000,Cards!$H$2:$H1000,""""),"",\s"",""""))"),0.0)</f>
        <v>0</v>
      </c>
      <c r="K451" s="34" t="str">
        <f t="shared" si="1"/>
        <v>               </v>
      </c>
      <c r="L451" s="34" t="str">
        <f>IFERROR(__xludf.DUMMYFUNCTION("IF(IF(L$1="""","""",REGEXMATCH(LOWER($E451),XLOOKUP(L$1,Metadata!$A$2:$A1000,Metadata!$B$2:$B1000))),L$1,"""")"),"")</f>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c r="B452" s="34" t="str">
        <f t="array" ref="B452">XLOOKUP($A452,Cards!$A$2:$A1000,Cards!$B$2:$I1000,"")</f>
        <v/>
      </c>
      <c r="C452" s="34"/>
      <c r="D452" s="34"/>
      <c r="E452" s="34"/>
      <c r="F452" s="34"/>
      <c r="G452" s="34"/>
      <c r="H452" s="34"/>
      <c r="I452" s="34"/>
      <c r="J452" s="34">
        <f>IFERROR(__xludf.DUMMYFUNCTION("LEN(REGEXREPLACE(XLOOKUP($A452,Cards!$A$2:$A1000,Cards!$H$2:$H1000,""""),"",\s"",""""))"),0.0)</f>
        <v>0</v>
      </c>
      <c r="K452" s="34" t="str">
        <f t="shared" si="1"/>
        <v>               </v>
      </c>
      <c r="L452" s="34" t="str">
        <f>IFERROR(__xludf.DUMMYFUNCTION("IF(IF(L$1="""","""",REGEXMATCH(LOWER($E452),XLOOKUP(L$1,Metadata!$A$2:$A1000,Metadata!$B$2:$B1000))),L$1,"""")"),"")</f>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c r="B453" s="34" t="str">
        <f t="array" ref="B453">XLOOKUP($A453,Cards!$A$2:$A1000,Cards!$B$2:$I1000,"")</f>
        <v/>
      </c>
      <c r="C453" s="34"/>
      <c r="D453" s="34"/>
      <c r="E453" s="34"/>
      <c r="F453" s="34"/>
      <c r="G453" s="34"/>
      <c r="H453" s="34"/>
      <c r="I453" s="34"/>
      <c r="J453" s="34">
        <f>IFERROR(__xludf.DUMMYFUNCTION("LEN(REGEXREPLACE(XLOOKUP($A453,Cards!$A$2:$A1000,Cards!$H$2:$H1000,""""),"",\s"",""""))"),0.0)</f>
        <v>0</v>
      </c>
      <c r="K453" s="34" t="str">
        <f t="shared" si="1"/>
        <v>               </v>
      </c>
      <c r="L453" s="34" t="str">
        <f>IFERROR(__xludf.DUMMYFUNCTION("IF(IF(L$1="""","""",REGEXMATCH(LOWER($E453),XLOOKUP(L$1,Metadata!$A$2:$A1000,Metadata!$B$2:$B1000))),L$1,"""")"),"")</f>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XLOOKUP($A454,Cards!$A$2:$A1000,Cards!$B$2:$I1000,"")</f>
        <v/>
      </c>
      <c r="C454" s="34"/>
      <c r="D454" s="34"/>
      <c r="E454" s="34"/>
      <c r="F454" s="34"/>
      <c r="G454" s="34"/>
      <c r="H454" s="34"/>
      <c r="I454" s="34"/>
      <c r="J454" s="34">
        <f>IFERROR(__xludf.DUMMYFUNCTION("LEN(REGEXREPLACE(XLOOKUP($A454,Cards!$A$2:$A1000,Cards!$H$2:$H1000,""""),"",\s"",""""))"),0.0)</f>
        <v>0</v>
      </c>
      <c r="K454" s="34" t="str">
        <f t="shared" si="1"/>
        <v>               </v>
      </c>
      <c r="L454" s="34" t="str">
        <f>IFERROR(__xludf.DUMMYFUNCTION("IF(IF(L$1="""","""",REGEXMATCH(LOWER($E454),XLOOKUP(L$1,Metadata!$A$2:$A1000,Metadata!$B$2:$B1000))),L$1,"""")"),"")</f>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XLOOKUP($A455,Cards!$A$2:$A1000,Cards!$B$2:$I1000,"")</f>
        <v/>
      </c>
      <c r="C455" s="34"/>
      <c r="D455" s="34"/>
      <c r="E455" s="34"/>
      <c r="F455" s="34"/>
      <c r="G455" s="34"/>
      <c r="H455" s="34"/>
      <c r="I455" s="34"/>
      <c r="J455" s="34">
        <f>IFERROR(__xludf.DUMMYFUNCTION("LEN(REGEXREPLACE(XLOOKUP($A455,Cards!$A$2:$A1000,Cards!$H$2:$H1000,""""),"",\s"",""""))"),0.0)</f>
        <v>0</v>
      </c>
      <c r="K455" s="34" t="str">
        <f t="shared" si="1"/>
        <v>               </v>
      </c>
      <c r="L455" s="34" t="str">
        <f>IFERROR(__xludf.DUMMYFUNCTION("IF(IF(L$1="""","""",REGEXMATCH(LOWER($E455),XLOOKUP(L$1,Metadata!$A$2:$A1000,Metadata!$B$2:$B1000))),L$1,"""")"),"")</f>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XLOOKUP($A456,Cards!$A$2:$A1000,Cards!$B$2:$I1000,"")</f>
        <v/>
      </c>
      <c r="C456" s="34"/>
      <c r="D456" s="34"/>
      <c r="E456" s="34"/>
      <c r="F456" s="34"/>
      <c r="G456" s="34"/>
      <c r="H456" s="34"/>
      <c r="I456" s="34"/>
      <c r="J456" s="34">
        <f>IFERROR(__xludf.DUMMYFUNCTION("LEN(REGEXREPLACE(XLOOKUP($A456,Cards!$A$2:$A1000,Cards!$H$2:$H1000,""""),"",\s"",""""))"),0.0)</f>
        <v>0</v>
      </c>
      <c r="K456" s="34" t="str">
        <f t="shared" si="1"/>
        <v>               </v>
      </c>
      <c r="L456" s="34" t="str">
        <f>IFERROR(__xludf.DUMMYFUNCTION("IF(IF(L$1="""","""",REGEXMATCH(LOWER($E456),XLOOKUP(L$1,Metadata!$A$2:$A1000,Metadata!$B$2:$B1000))),L$1,"""")"),"")</f>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XLOOKUP($A457,Cards!$A$2:$A1000,Cards!$B$2:$I1000,"")</f>
        <v/>
      </c>
      <c r="C457" s="34"/>
      <c r="D457" s="34"/>
      <c r="E457" s="34"/>
      <c r="F457" s="34"/>
      <c r="G457" s="34"/>
      <c r="H457" s="34"/>
      <c r="I457" s="34"/>
      <c r="J457" s="34">
        <f>IFERROR(__xludf.DUMMYFUNCTION("LEN(REGEXREPLACE(XLOOKUP($A457,Cards!$A$2:$A1000,Cards!$H$2:$H1000,""""),"",\s"",""""))"),0.0)</f>
        <v>0</v>
      </c>
      <c r="K457" s="34" t="str">
        <f t="shared" si="1"/>
        <v>               </v>
      </c>
      <c r="L457" s="34" t="str">
        <f>IFERROR(__xludf.DUMMYFUNCTION("IF(IF(L$1="""","""",REGEXMATCH(LOWER($E457),XLOOKUP(L$1,Metadata!$A$2:$A1000,Metadata!$B$2:$B1000))),L$1,"""")"),"")</f>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XLOOKUP($A458,Cards!$A$2:$A1000,Cards!$B$2:$I1000,"")</f>
        <v/>
      </c>
      <c r="C458" s="34"/>
      <c r="D458" s="34"/>
      <c r="E458" s="34"/>
      <c r="F458" s="34"/>
      <c r="G458" s="34"/>
      <c r="H458" s="34"/>
      <c r="I458" s="34"/>
      <c r="J458" s="34">
        <f>IFERROR(__xludf.DUMMYFUNCTION("LEN(REGEXREPLACE(XLOOKUP($A458,Cards!$A$2:$A1000,Cards!$H$2:$H1000,""""),"",\s"",""""))"),0.0)</f>
        <v>0</v>
      </c>
      <c r="K458" s="34" t="str">
        <f t="shared" si="1"/>
        <v>               </v>
      </c>
      <c r="L458" s="34" t="str">
        <f>IFERROR(__xludf.DUMMYFUNCTION("IF(IF(L$1="""","""",REGEXMATCH(LOWER($E458),XLOOKUP(L$1,Metadata!$A$2:$A1000,Metadata!$B$2:$B1000))),L$1,"""")"),"")</f>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XLOOKUP($A459,Cards!$A$2:$A1000,Cards!$B$2:$I1000,"")</f>
        <v/>
      </c>
      <c r="C459" s="34"/>
      <c r="D459" s="34"/>
      <c r="E459" s="34"/>
      <c r="F459" s="34"/>
      <c r="G459" s="34"/>
      <c r="H459" s="34"/>
      <c r="I459" s="34"/>
      <c r="J459" s="34">
        <f>IFERROR(__xludf.DUMMYFUNCTION("LEN(REGEXREPLACE(XLOOKUP($A459,Cards!$A$2:$A1000,Cards!$H$2:$H1000,""""),"",\s"",""""))"),0.0)</f>
        <v>0</v>
      </c>
      <c r="K459" s="34" t="str">
        <f t="shared" si="1"/>
        <v>               </v>
      </c>
      <c r="L459" s="34" t="str">
        <f>IFERROR(__xludf.DUMMYFUNCTION("IF(IF(L$1="""","""",REGEXMATCH(LOWER($E459),XLOOKUP(L$1,Metadata!$A$2:$A1000,Metadata!$B$2:$B1000))),L$1,"""")"),"")</f>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XLOOKUP($A460,Cards!$A$2:$A1000,Cards!$B$2:$I1000,"")</f>
        <v/>
      </c>
      <c r="C460" s="34"/>
      <c r="D460" s="34"/>
      <c r="E460" s="34"/>
      <c r="F460" s="34"/>
      <c r="G460" s="34"/>
      <c r="H460" s="34"/>
      <c r="I460" s="34"/>
      <c r="J460" s="34">
        <f>IFERROR(__xludf.DUMMYFUNCTION("LEN(REGEXREPLACE(XLOOKUP($A460,Cards!$A$2:$A1000,Cards!$H$2:$H1000,""""),"",\s"",""""))"),0.0)</f>
        <v>0</v>
      </c>
      <c r="K460" s="34" t="str">
        <f t="shared" si="1"/>
        <v>               </v>
      </c>
      <c r="L460" s="34" t="str">
        <f>IFERROR(__xludf.DUMMYFUNCTION("IF(IF(L$1="""","""",REGEXMATCH(LOWER($E460),XLOOKUP(L$1,Metadata!$A$2:$A1000,Metadata!$B$2:$B1000))),L$1,"""")"),"")</f>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XLOOKUP($A461,Cards!$A$2:$A1000,Cards!$B$2:$I1000,"")</f>
        <v/>
      </c>
      <c r="C461" s="34"/>
      <c r="D461" s="34"/>
      <c r="E461" s="34"/>
      <c r="F461" s="34"/>
      <c r="G461" s="34"/>
      <c r="H461" s="34"/>
      <c r="I461" s="34"/>
      <c r="J461" s="34">
        <f>IFERROR(__xludf.DUMMYFUNCTION("LEN(REGEXREPLACE(XLOOKUP($A461,Cards!$A$2:$A1000,Cards!$H$2:$H1000,""""),"",\s"",""""))"),0.0)</f>
        <v>0</v>
      </c>
      <c r="K461" s="34" t="str">
        <f t="shared" si="1"/>
        <v>               </v>
      </c>
      <c r="L461" s="34" t="str">
        <f>IFERROR(__xludf.DUMMYFUNCTION("IF(IF(L$1="""","""",REGEXMATCH(LOWER($E461),XLOOKUP(L$1,Metadata!$A$2:$A1000,Metadata!$B$2:$B1000))),L$1,"""")"),"")</f>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XLOOKUP($A462,Cards!$A$2:$A1000,Cards!$B$2:$I1000,"")</f>
        <v/>
      </c>
      <c r="C462" s="34"/>
      <c r="D462" s="34"/>
      <c r="E462" s="34"/>
      <c r="F462" s="34"/>
      <c r="G462" s="34"/>
      <c r="H462" s="34"/>
      <c r="I462" s="34"/>
      <c r="J462" s="34">
        <f>IFERROR(__xludf.DUMMYFUNCTION("LEN(REGEXREPLACE(XLOOKUP($A462,Cards!$A$2:$A1000,Cards!$H$2:$H1000,""""),"",\s"",""""))"),0.0)</f>
        <v>0</v>
      </c>
      <c r="K462" s="34" t="str">
        <f t="shared" si="1"/>
        <v>               </v>
      </c>
      <c r="L462" s="34" t="str">
        <f>IFERROR(__xludf.DUMMYFUNCTION("IF(IF(L$1="""","""",REGEXMATCH(LOWER($E462),XLOOKUP(L$1,Metadata!$A$2:$A1000,Metadata!$B$2:$B1000))),L$1,"""")"),"")</f>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XLOOKUP($A463,Cards!$A$2:$A1000,Cards!$B$2:$I1000,"")</f>
        <v/>
      </c>
      <c r="C463" s="34"/>
      <c r="D463" s="34"/>
      <c r="E463" s="34"/>
      <c r="F463" s="34"/>
      <c r="G463" s="34"/>
      <c r="H463" s="34"/>
      <c r="I463" s="34"/>
      <c r="J463" s="34">
        <f>IFERROR(__xludf.DUMMYFUNCTION("LEN(REGEXREPLACE(XLOOKUP($A463,Cards!$A$2:$A1000,Cards!$H$2:$H1000,""""),"",\s"",""""))"),0.0)</f>
        <v>0</v>
      </c>
      <c r="K463" s="34" t="str">
        <f t="shared" si="1"/>
        <v>               </v>
      </c>
      <c r="L463" s="34" t="str">
        <f>IFERROR(__xludf.DUMMYFUNCTION("IF(IF(L$1="""","""",REGEXMATCH(LOWER($E463),XLOOKUP(L$1,Metadata!$A$2:$A1000,Metadata!$B$2:$B1000))),L$1,"""")"),"")</f>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XLOOKUP($A464,Cards!$A$2:$A1000,Cards!$B$2:$I1000,"")</f>
        <v/>
      </c>
      <c r="C464" s="34"/>
      <c r="D464" s="34"/>
      <c r="E464" s="34"/>
      <c r="F464" s="34"/>
      <c r="G464" s="34"/>
      <c r="H464" s="34"/>
      <c r="I464" s="34"/>
      <c r="J464" s="34">
        <f>IFERROR(__xludf.DUMMYFUNCTION("LEN(REGEXREPLACE(XLOOKUP($A464,Cards!$A$2:$A1000,Cards!$H$2:$H1000,""""),"",\s"",""""))"),0.0)</f>
        <v>0</v>
      </c>
      <c r="K464" s="34" t="str">
        <f t="shared" si="1"/>
        <v>               </v>
      </c>
      <c r="L464" s="34" t="str">
        <f>IFERROR(__xludf.DUMMYFUNCTION("IF(IF(L$1="""","""",REGEXMATCH(LOWER($E464),XLOOKUP(L$1,Metadata!$A$2:$A1000,Metadata!$B$2:$B1000))),L$1,"""")"),"")</f>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XLOOKUP($A465,Cards!$A$2:$A1000,Cards!$B$2:$I1000,"")</f>
        <v/>
      </c>
      <c r="C465" s="34"/>
      <c r="D465" s="34"/>
      <c r="E465" s="34"/>
      <c r="F465" s="34"/>
      <c r="G465" s="34"/>
      <c r="H465" s="34"/>
      <c r="I465" s="34"/>
      <c r="J465" s="34">
        <f>IFERROR(__xludf.DUMMYFUNCTION("LEN(REGEXREPLACE(XLOOKUP($A465,Cards!$A$2:$A1000,Cards!$H$2:$H1000,""""),"",\s"",""""))"),0.0)</f>
        <v>0</v>
      </c>
      <c r="K465" s="34" t="str">
        <f t="shared" si="1"/>
        <v>               </v>
      </c>
      <c r="L465" s="34" t="str">
        <f>IFERROR(__xludf.DUMMYFUNCTION("IF(IF(L$1="""","""",REGEXMATCH(LOWER($E465),XLOOKUP(L$1,Metadata!$A$2:$A1000,Metadata!$B$2:$B1000))),L$1,"""")"),"")</f>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XLOOKUP($A466,Cards!$A$2:$A1000,Cards!$B$2:$I1000,"")</f>
        <v/>
      </c>
      <c r="C466" s="34"/>
      <c r="D466" s="34"/>
      <c r="E466" s="34"/>
      <c r="F466" s="34"/>
      <c r="G466" s="34"/>
      <c r="H466" s="34"/>
      <c r="I466" s="34"/>
      <c r="J466" s="34">
        <f>IFERROR(__xludf.DUMMYFUNCTION("LEN(REGEXREPLACE(XLOOKUP($A466,Cards!$A$2:$A1000,Cards!$H$2:$H1000,""""),"",\s"",""""))"),0.0)</f>
        <v>0</v>
      </c>
      <c r="K466" s="34" t="str">
        <f t="shared" si="1"/>
        <v>               </v>
      </c>
      <c r="L466" s="34" t="str">
        <f>IFERROR(__xludf.DUMMYFUNCTION("IF(IF(L$1="""","""",REGEXMATCH(LOWER($E466),XLOOKUP(L$1,Metadata!$A$2:$A1000,Metadata!$B$2:$B1000))),L$1,"""")"),"")</f>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XLOOKUP($A467,Cards!$A$2:$A1000,Cards!$B$2:$I1000,"")</f>
        <v/>
      </c>
      <c r="C467" s="34"/>
      <c r="D467" s="34"/>
      <c r="E467" s="34"/>
      <c r="F467" s="34"/>
      <c r="G467" s="34"/>
      <c r="H467" s="34"/>
      <c r="I467" s="34"/>
      <c r="J467" s="34">
        <f>IFERROR(__xludf.DUMMYFUNCTION("LEN(REGEXREPLACE(XLOOKUP($A467,Cards!$A$2:$A1000,Cards!$H$2:$H1000,""""),"",\s"",""""))"),0.0)</f>
        <v>0</v>
      </c>
      <c r="K467" s="34" t="str">
        <f t="shared" si="1"/>
        <v>               </v>
      </c>
      <c r="L467" s="34" t="str">
        <f>IFERROR(__xludf.DUMMYFUNCTION("IF(IF(L$1="""","""",REGEXMATCH(LOWER($E467),XLOOKUP(L$1,Metadata!$A$2:$A1000,Metadata!$B$2:$B1000))),L$1,"""")"),"")</f>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XLOOKUP($A468,Cards!$A$2:$A1000,Cards!$B$2:$I1000,"")</f>
        <v/>
      </c>
      <c r="C468" s="34"/>
      <c r="D468" s="34"/>
      <c r="E468" s="34"/>
      <c r="F468" s="34"/>
      <c r="G468" s="34"/>
      <c r="H468" s="34"/>
      <c r="I468" s="34"/>
      <c r="J468" s="34">
        <f>IFERROR(__xludf.DUMMYFUNCTION("LEN(REGEXREPLACE(XLOOKUP($A468,Cards!$A$2:$A1000,Cards!$H$2:$H1000,""""),"",\s"",""""))"),0.0)</f>
        <v>0</v>
      </c>
      <c r="K468" s="34" t="str">
        <f t="shared" si="1"/>
        <v>               </v>
      </c>
      <c r="L468" s="34" t="str">
        <f>IFERROR(__xludf.DUMMYFUNCTION("IF(IF(L$1="""","""",REGEXMATCH(LOWER($E468),XLOOKUP(L$1,Metadata!$A$2:$A1000,Metadata!$B$2:$B1000))),L$1,"""")"),"")</f>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XLOOKUP($A469,Cards!$A$2:$A1000,Cards!$B$2:$I1000,"")</f>
        <v/>
      </c>
      <c r="C469" s="34"/>
      <c r="D469" s="34"/>
      <c r="E469" s="34"/>
      <c r="F469" s="34"/>
      <c r="G469" s="34"/>
      <c r="H469" s="34"/>
      <c r="I469" s="34"/>
      <c r="J469" s="34">
        <f>IFERROR(__xludf.DUMMYFUNCTION("LEN(REGEXREPLACE(XLOOKUP($A469,Cards!$A$2:$A1000,Cards!$H$2:$H1000,""""),"",\s"",""""))"),0.0)</f>
        <v>0</v>
      </c>
      <c r="K469" s="34" t="str">
        <f t="shared" si="1"/>
        <v>               </v>
      </c>
      <c r="L469" s="34" t="str">
        <f>IFERROR(__xludf.DUMMYFUNCTION("IF(IF(L$1="""","""",REGEXMATCH(LOWER($E469),XLOOKUP(L$1,Metadata!$A$2:$A1000,Metadata!$B$2:$B1000))),L$1,"""")"),"")</f>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XLOOKUP($A470,Cards!$A$2:$A1000,Cards!$B$2:$I1000,"")</f>
        <v/>
      </c>
      <c r="C470" s="34"/>
      <c r="D470" s="34"/>
      <c r="E470" s="34"/>
      <c r="F470" s="34"/>
      <c r="G470" s="34"/>
      <c r="H470" s="34"/>
      <c r="I470" s="34"/>
      <c r="J470" s="34">
        <f>IFERROR(__xludf.DUMMYFUNCTION("LEN(REGEXREPLACE(XLOOKUP($A470,Cards!$A$2:$A1000,Cards!$H$2:$H1000,""""),"",\s"",""""))"),0.0)</f>
        <v>0</v>
      </c>
      <c r="K470" s="34" t="str">
        <f t="shared" si="1"/>
        <v>               </v>
      </c>
      <c r="L470" s="34" t="str">
        <f>IFERROR(__xludf.DUMMYFUNCTION("IF(IF(L$1="""","""",REGEXMATCH(LOWER($E470),XLOOKUP(L$1,Metadata!$A$2:$A1000,Metadata!$B$2:$B1000))),L$1,"""")"),"")</f>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XLOOKUP($A471,Cards!$A$2:$A1000,Cards!$B$2:$I1000,"")</f>
        <v/>
      </c>
      <c r="C471" s="34"/>
      <c r="D471" s="34"/>
      <c r="E471" s="34"/>
      <c r="F471" s="34"/>
      <c r="G471" s="34"/>
      <c r="H471" s="34"/>
      <c r="I471" s="34"/>
      <c r="J471" s="34">
        <f>IFERROR(__xludf.DUMMYFUNCTION("LEN(REGEXREPLACE(XLOOKUP($A471,Cards!$A$2:$A1000,Cards!$H$2:$H1000,""""),"",\s"",""""))"),0.0)</f>
        <v>0</v>
      </c>
      <c r="K471" s="34" t="str">
        <f t="shared" si="1"/>
        <v>               </v>
      </c>
      <c r="L471" s="34" t="str">
        <f>IFERROR(__xludf.DUMMYFUNCTION("IF(IF(L$1="""","""",REGEXMATCH(LOWER($E471),XLOOKUP(L$1,Metadata!$A$2:$A1000,Metadata!$B$2:$B1000))),L$1,"""")"),"")</f>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XLOOKUP($A472,Cards!$A$2:$A1000,Cards!$B$2:$I1000,"")</f>
        <v/>
      </c>
      <c r="C472" s="34"/>
      <c r="D472" s="34"/>
      <c r="E472" s="34"/>
      <c r="F472" s="34"/>
      <c r="G472" s="34"/>
      <c r="H472" s="34"/>
      <c r="I472" s="34"/>
      <c r="J472" s="34">
        <f>IFERROR(__xludf.DUMMYFUNCTION("LEN(REGEXREPLACE(XLOOKUP($A472,Cards!$A$2:$A1000,Cards!$H$2:$H1000,""""),"",\s"",""""))"),0.0)</f>
        <v>0</v>
      </c>
      <c r="K472" s="34" t="str">
        <f t="shared" si="1"/>
        <v>               </v>
      </c>
      <c r="L472" s="34" t="str">
        <f>IFERROR(__xludf.DUMMYFUNCTION("IF(IF(L$1="""","""",REGEXMATCH(LOWER($E472),XLOOKUP(L$1,Metadata!$A$2:$A1000,Metadata!$B$2:$B1000))),L$1,"""")"),"")</f>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XLOOKUP($A473,Cards!$A$2:$A1000,Cards!$B$2:$I1000,"")</f>
        <v/>
      </c>
      <c r="C473" s="34"/>
      <c r="D473" s="34"/>
      <c r="E473" s="34"/>
      <c r="F473" s="34"/>
      <c r="G473" s="34"/>
      <c r="H473" s="34"/>
      <c r="I473" s="34"/>
      <c r="J473" s="34">
        <f>IFERROR(__xludf.DUMMYFUNCTION("LEN(REGEXREPLACE(XLOOKUP($A473,Cards!$A$2:$A1000,Cards!$H$2:$H1000,""""),"",\s"",""""))"),0.0)</f>
        <v>0</v>
      </c>
      <c r="K473" s="34" t="str">
        <f t="shared" si="1"/>
        <v>               </v>
      </c>
      <c r="L473" s="34" t="str">
        <f>IFERROR(__xludf.DUMMYFUNCTION("IF(IF(L$1="""","""",REGEXMATCH(LOWER($E473),XLOOKUP(L$1,Metadata!$A$2:$A1000,Metadata!$B$2:$B1000))),L$1,"""")"),"")</f>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XLOOKUP($A474,Cards!$A$2:$A1000,Cards!$B$2:$I1000,"")</f>
        <v/>
      </c>
      <c r="C474" s="34"/>
      <c r="D474" s="34"/>
      <c r="E474" s="34"/>
      <c r="F474" s="34"/>
      <c r="G474" s="34"/>
      <c r="H474" s="34"/>
      <c r="I474" s="34"/>
      <c r="J474" s="34">
        <f>IFERROR(__xludf.DUMMYFUNCTION("LEN(REGEXREPLACE(XLOOKUP($A474,Cards!$A$2:$A1000,Cards!$H$2:$H1000,""""),"",\s"",""""))"),0.0)</f>
        <v>0</v>
      </c>
      <c r="K474" s="34" t="str">
        <f t="shared" si="1"/>
        <v>               </v>
      </c>
      <c r="L474" s="34" t="str">
        <f>IFERROR(__xludf.DUMMYFUNCTION("IF(IF(L$1="""","""",REGEXMATCH(LOWER($E474),XLOOKUP(L$1,Metadata!$A$2:$A1000,Metadata!$B$2:$B1000))),L$1,"""")"),"")</f>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XLOOKUP($A475,Cards!$A$2:$A1000,Cards!$B$2:$I1000,"")</f>
        <v/>
      </c>
      <c r="C475" s="34"/>
      <c r="D475" s="34"/>
      <c r="E475" s="34"/>
      <c r="F475" s="34"/>
      <c r="G475" s="34"/>
      <c r="H475" s="34"/>
      <c r="I475" s="34"/>
      <c r="J475" s="34">
        <f>IFERROR(__xludf.DUMMYFUNCTION("LEN(REGEXREPLACE(XLOOKUP($A475,Cards!$A$2:$A1000,Cards!$H$2:$H1000,""""),"",\s"",""""))"),0.0)</f>
        <v>0</v>
      </c>
      <c r="K475" s="34" t="str">
        <f t="shared" si="1"/>
        <v>               </v>
      </c>
      <c r="L475" s="34" t="str">
        <f>IFERROR(__xludf.DUMMYFUNCTION("IF(IF(L$1="""","""",REGEXMATCH(LOWER($E475),XLOOKUP(L$1,Metadata!$A$2:$A1000,Metadata!$B$2:$B1000))),L$1,"""")"),"")</f>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XLOOKUP($A476,Cards!$A$2:$A1000,Cards!$B$2:$I1000,"")</f>
        <v/>
      </c>
      <c r="C476" s="34"/>
      <c r="D476" s="34"/>
      <c r="E476" s="34"/>
      <c r="F476" s="34"/>
      <c r="G476" s="34"/>
      <c r="H476" s="34"/>
      <c r="I476" s="34"/>
      <c r="J476" s="34">
        <f>IFERROR(__xludf.DUMMYFUNCTION("LEN(REGEXREPLACE(XLOOKUP($A476,Cards!$A$2:$A1000,Cards!$H$2:$H1000,""""),"",\s"",""""))"),0.0)</f>
        <v>0</v>
      </c>
      <c r="K476" s="34" t="str">
        <f t="shared" si="1"/>
        <v>               </v>
      </c>
      <c r="L476" s="34" t="str">
        <f>IFERROR(__xludf.DUMMYFUNCTION("IF(IF(L$1="""","""",REGEXMATCH(LOWER($E476),XLOOKUP(L$1,Metadata!$A$2:$A1000,Metadata!$B$2:$B1000))),L$1,"""")"),"")</f>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XLOOKUP($A477,Cards!$A$2:$A1000,Cards!$B$2:$I1000,"")</f>
        <v/>
      </c>
      <c r="C477" s="34"/>
      <c r="D477" s="34"/>
      <c r="E477" s="34"/>
      <c r="F477" s="34"/>
      <c r="G477" s="34"/>
      <c r="H477" s="34"/>
      <c r="I477" s="34"/>
      <c r="J477" s="34">
        <f>IFERROR(__xludf.DUMMYFUNCTION("LEN(REGEXREPLACE(XLOOKUP($A477,Cards!$A$2:$A1000,Cards!$H$2:$H1000,""""),"",\s"",""""))"),0.0)</f>
        <v>0</v>
      </c>
      <c r="K477" s="34" t="str">
        <f t="shared" si="1"/>
        <v>               </v>
      </c>
      <c r="L477" s="34" t="str">
        <f>IFERROR(__xludf.DUMMYFUNCTION("IF(IF(L$1="""","""",REGEXMATCH(LOWER($E477),XLOOKUP(L$1,Metadata!$A$2:$A1000,Metadata!$B$2:$B1000))),L$1,"""")"),"")</f>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XLOOKUP($A478,Cards!$A$2:$A1000,Cards!$B$2:$I1000,"")</f>
        <v/>
      </c>
      <c r="C478" s="34"/>
      <c r="D478" s="34"/>
      <c r="E478" s="34"/>
      <c r="F478" s="34"/>
      <c r="G478" s="34"/>
      <c r="H478" s="34"/>
      <c r="I478" s="34"/>
      <c r="J478" s="34">
        <f>IFERROR(__xludf.DUMMYFUNCTION("LEN(REGEXREPLACE(XLOOKUP($A478,Cards!$A$2:$A1000,Cards!$H$2:$H1000,""""),"",\s"",""""))"),0.0)</f>
        <v>0</v>
      </c>
      <c r="K478" s="34" t="str">
        <f t="shared" si="1"/>
        <v>               </v>
      </c>
      <c r="L478" s="34" t="str">
        <f>IFERROR(__xludf.DUMMYFUNCTION("IF(IF(L$1="""","""",REGEXMATCH(LOWER($E478),XLOOKUP(L$1,Metadata!$A$2:$A1000,Metadata!$B$2:$B1000))),L$1,"""")"),"")</f>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XLOOKUP($A479,Cards!$A$2:$A1000,Cards!$B$2:$I1000,"")</f>
        <v/>
      </c>
      <c r="C479" s="34"/>
      <c r="D479" s="34"/>
      <c r="E479" s="34"/>
      <c r="F479" s="34"/>
      <c r="G479" s="34"/>
      <c r="H479" s="34"/>
      <c r="I479" s="34"/>
      <c r="J479" s="34">
        <f>IFERROR(__xludf.DUMMYFUNCTION("LEN(REGEXREPLACE(XLOOKUP($A479,Cards!$A$2:$A1000,Cards!$H$2:$H1000,""""),"",\s"",""""))"),0.0)</f>
        <v>0</v>
      </c>
      <c r="K479" s="34" t="str">
        <f t="shared" si="1"/>
        <v>               </v>
      </c>
      <c r="L479" s="34" t="str">
        <f>IFERROR(__xludf.DUMMYFUNCTION("IF(IF(L$1="""","""",REGEXMATCH(LOWER($E479),XLOOKUP(L$1,Metadata!$A$2:$A1000,Metadata!$B$2:$B1000))),L$1,"""")"),"")</f>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XLOOKUP($A480,Cards!$A$2:$A1000,Cards!$B$2:$I1000,"")</f>
        <v/>
      </c>
      <c r="C480" s="34"/>
      <c r="D480" s="34"/>
      <c r="E480" s="34"/>
      <c r="F480" s="34"/>
      <c r="G480" s="34"/>
      <c r="H480" s="34"/>
      <c r="I480" s="34"/>
      <c r="J480" s="34">
        <f>IFERROR(__xludf.DUMMYFUNCTION("LEN(REGEXREPLACE(XLOOKUP($A480,Cards!$A$2:$A1000,Cards!$H$2:$H1000,""""),"",\s"",""""))"),0.0)</f>
        <v>0</v>
      </c>
      <c r="K480" s="34" t="str">
        <f t="shared" si="1"/>
        <v>               </v>
      </c>
      <c r="L480" s="34" t="str">
        <f>IFERROR(__xludf.DUMMYFUNCTION("IF(IF(L$1="""","""",REGEXMATCH(LOWER($E480),XLOOKUP(L$1,Metadata!$A$2:$A1000,Metadata!$B$2:$B1000))),L$1,"""")"),"")</f>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XLOOKUP($A481,Cards!$A$2:$A1000,Cards!$B$2:$I1000,"")</f>
        <v/>
      </c>
      <c r="C481" s="34"/>
      <c r="D481" s="34"/>
      <c r="E481" s="34"/>
      <c r="F481" s="34"/>
      <c r="G481" s="34"/>
      <c r="H481" s="34"/>
      <c r="I481" s="34"/>
      <c r="J481" s="34">
        <f>IFERROR(__xludf.DUMMYFUNCTION("LEN(REGEXREPLACE(XLOOKUP($A481,Cards!$A$2:$A1000,Cards!$H$2:$H1000,""""),"",\s"",""""))"),0.0)</f>
        <v>0</v>
      </c>
      <c r="K481" s="34" t="str">
        <f t="shared" si="1"/>
        <v>               </v>
      </c>
      <c r="L481" s="34" t="str">
        <f>IFERROR(__xludf.DUMMYFUNCTION("IF(IF(L$1="""","""",REGEXMATCH(LOWER($E481),XLOOKUP(L$1,Metadata!$A$2:$A1000,Metadata!$B$2:$B1000))),L$1,"""")"),"")</f>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XLOOKUP($A482,Cards!$A$2:$A1000,Cards!$B$2:$I1000,"")</f>
        <v/>
      </c>
      <c r="C482" s="34"/>
      <c r="D482" s="34"/>
      <c r="E482" s="34"/>
      <c r="F482" s="34"/>
      <c r="G482" s="34"/>
      <c r="H482" s="34"/>
      <c r="I482" s="34"/>
      <c r="J482" s="34">
        <f>IFERROR(__xludf.DUMMYFUNCTION("LEN(REGEXREPLACE(XLOOKUP($A482,Cards!$A$2:$A1000,Cards!$H$2:$H1000,""""),"",\s"",""""))"),0.0)</f>
        <v>0</v>
      </c>
      <c r="K482" s="34" t="str">
        <f t="shared" si="1"/>
        <v>               </v>
      </c>
      <c r="L482" s="34" t="str">
        <f>IFERROR(__xludf.DUMMYFUNCTION("IF(IF(L$1="""","""",REGEXMATCH(LOWER($E482),XLOOKUP(L$1,Metadata!$A$2:$A1000,Metadata!$B$2:$B1000))),L$1,"""")"),"")</f>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XLOOKUP($A483,Cards!$A$2:$A1000,Cards!$B$2:$I1000,"")</f>
        <v/>
      </c>
      <c r="C483" s="34"/>
      <c r="D483" s="34"/>
      <c r="E483" s="34"/>
      <c r="F483" s="34"/>
      <c r="G483" s="34"/>
      <c r="H483" s="34"/>
      <c r="I483" s="34"/>
      <c r="J483" s="34">
        <f>IFERROR(__xludf.DUMMYFUNCTION("LEN(REGEXREPLACE(XLOOKUP($A483,Cards!$A$2:$A1000,Cards!$H$2:$H1000,""""),"",\s"",""""))"),0.0)</f>
        <v>0</v>
      </c>
      <c r="K483" s="34" t="str">
        <f t="shared" si="1"/>
        <v>               </v>
      </c>
      <c r="L483" s="34" t="str">
        <f>IFERROR(__xludf.DUMMYFUNCTION("IF(IF(L$1="""","""",REGEXMATCH(LOWER($E483),XLOOKUP(L$1,Metadata!$A$2:$A1000,Metadata!$B$2:$B1000))),L$1,"""")"),"")</f>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XLOOKUP($A484,Cards!$A$2:$A1000,Cards!$B$2:$I1000,"")</f>
        <v/>
      </c>
      <c r="C484" s="34"/>
      <c r="D484" s="34"/>
      <c r="E484" s="34"/>
      <c r="F484" s="34"/>
      <c r="G484" s="34"/>
      <c r="H484" s="34"/>
      <c r="I484" s="34"/>
      <c r="J484" s="34">
        <f>IFERROR(__xludf.DUMMYFUNCTION("LEN(REGEXREPLACE(XLOOKUP($A484,Cards!$A$2:$A1000,Cards!$H$2:$H1000,""""),"",\s"",""""))"),0.0)</f>
        <v>0</v>
      </c>
      <c r="K484" s="34" t="str">
        <f t="shared" si="1"/>
        <v>               </v>
      </c>
      <c r="L484" s="34" t="str">
        <f>IFERROR(__xludf.DUMMYFUNCTION("IF(IF(L$1="""","""",REGEXMATCH(LOWER($E484),XLOOKUP(L$1,Metadata!$A$2:$A1000,Metadata!$B$2:$B1000))),L$1,"""")"),"")</f>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XLOOKUP($A485,Cards!$A$2:$A1000,Cards!$B$2:$I1000,"")</f>
        <v/>
      </c>
      <c r="C485" s="34"/>
      <c r="D485" s="34"/>
      <c r="E485" s="34"/>
      <c r="F485" s="34"/>
      <c r="G485" s="34"/>
      <c r="H485" s="34"/>
      <c r="I485" s="34"/>
      <c r="J485" s="34">
        <f>IFERROR(__xludf.DUMMYFUNCTION("LEN(REGEXREPLACE(XLOOKUP($A485,Cards!$A$2:$A1000,Cards!$H$2:$H1000,""""),"",\s"",""""))"),0.0)</f>
        <v>0</v>
      </c>
      <c r="K485" s="34" t="str">
        <f t="shared" si="1"/>
        <v>               </v>
      </c>
      <c r="L485" s="34" t="str">
        <f>IFERROR(__xludf.DUMMYFUNCTION("IF(IF(L$1="""","""",REGEXMATCH(LOWER($E485),XLOOKUP(L$1,Metadata!$A$2:$A1000,Metadata!$B$2:$B1000))),L$1,"""")"),"")</f>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XLOOKUP($A486,Cards!$A$2:$A1000,Cards!$B$2:$I1000,"")</f>
        <v/>
      </c>
      <c r="C486" s="34"/>
      <c r="D486" s="34"/>
      <c r="E486" s="34"/>
      <c r="F486" s="34"/>
      <c r="G486" s="34"/>
      <c r="H486" s="34"/>
      <c r="I486" s="34"/>
      <c r="J486" s="34">
        <f>IFERROR(__xludf.DUMMYFUNCTION("LEN(REGEXREPLACE(XLOOKUP($A486,Cards!$A$2:$A1000,Cards!$H$2:$H1000,""""),"",\s"",""""))"),0.0)</f>
        <v>0</v>
      </c>
      <c r="K486" s="34" t="str">
        <f t="shared" si="1"/>
        <v>               </v>
      </c>
      <c r="L486" s="34" t="str">
        <f>IFERROR(__xludf.DUMMYFUNCTION("IF(IF(L$1="""","""",REGEXMATCH(LOWER($E486),XLOOKUP(L$1,Metadata!$A$2:$A1000,Metadata!$B$2:$B1000))),L$1,"""")"),"")</f>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XLOOKUP($A487,Cards!$A$2:$A1000,Cards!$B$2:$I1000,"")</f>
        <v/>
      </c>
      <c r="C487" s="34"/>
      <c r="D487" s="34"/>
      <c r="E487" s="34"/>
      <c r="F487" s="34"/>
      <c r="G487" s="34"/>
      <c r="H487" s="34"/>
      <c r="I487" s="34"/>
      <c r="J487" s="34">
        <f>IFERROR(__xludf.DUMMYFUNCTION("LEN(REGEXREPLACE(XLOOKUP($A487,Cards!$A$2:$A1000,Cards!$H$2:$H1000,""""),"",\s"",""""))"),0.0)</f>
        <v>0</v>
      </c>
      <c r="K487" s="34" t="str">
        <f t="shared" si="1"/>
        <v>               </v>
      </c>
      <c r="L487" s="34" t="str">
        <f>IFERROR(__xludf.DUMMYFUNCTION("IF(IF(L$1="""","""",REGEXMATCH(LOWER($E487),XLOOKUP(L$1,Metadata!$A$2:$A1000,Metadata!$B$2:$B1000))),L$1,"""")"),"")</f>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XLOOKUP($A488,Cards!$A$2:$A1000,Cards!$B$2:$I1000,"")</f>
        <v/>
      </c>
      <c r="C488" s="34"/>
      <c r="D488" s="34"/>
      <c r="E488" s="34"/>
      <c r="F488" s="34"/>
      <c r="G488" s="34"/>
      <c r="H488" s="34"/>
      <c r="I488" s="34"/>
      <c r="J488" s="34">
        <f>IFERROR(__xludf.DUMMYFUNCTION("LEN(REGEXREPLACE(XLOOKUP($A488,Cards!$A$2:$A1000,Cards!$H$2:$H1000,""""),"",\s"",""""))"),0.0)</f>
        <v>0</v>
      </c>
      <c r="K488" s="34" t="str">
        <f t="shared" si="1"/>
        <v>               </v>
      </c>
      <c r="L488" s="34" t="str">
        <f>IFERROR(__xludf.DUMMYFUNCTION("IF(IF(L$1="""","""",REGEXMATCH(LOWER($E488),XLOOKUP(L$1,Metadata!$A$2:$A1000,Metadata!$B$2:$B1000))),L$1,"""")"),"")</f>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XLOOKUP($A489,Cards!$A$2:$A1000,Cards!$B$2:$I1000,"")</f>
        <v/>
      </c>
      <c r="C489" s="34"/>
      <c r="D489" s="34"/>
      <c r="E489" s="34"/>
      <c r="F489" s="34"/>
      <c r="G489" s="34"/>
      <c r="H489" s="34"/>
      <c r="I489" s="34"/>
      <c r="J489" s="34">
        <f>IFERROR(__xludf.DUMMYFUNCTION("LEN(REGEXREPLACE(XLOOKUP($A489,Cards!$A$2:$A1000,Cards!$H$2:$H1000,""""),"",\s"",""""))"),0.0)</f>
        <v>0</v>
      </c>
      <c r="K489" s="34" t="str">
        <f t="shared" si="1"/>
        <v>               </v>
      </c>
      <c r="L489" s="34" t="str">
        <f>IFERROR(__xludf.DUMMYFUNCTION("IF(IF(L$1="""","""",REGEXMATCH(LOWER($E489),XLOOKUP(L$1,Metadata!$A$2:$A1000,Metadata!$B$2:$B1000))),L$1,"""")"),"")</f>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XLOOKUP($A490,Cards!$A$2:$A1000,Cards!$B$2:$I1000,"")</f>
        <v/>
      </c>
      <c r="C490" s="34"/>
      <c r="D490" s="34"/>
      <c r="E490" s="34"/>
      <c r="F490" s="34"/>
      <c r="G490" s="34"/>
      <c r="H490" s="34"/>
      <c r="I490" s="34"/>
      <c r="J490" s="34">
        <f>IFERROR(__xludf.DUMMYFUNCTION("LEN(REGEXREPLACE(XLOOKUP($A490,Cards!$A$2:$A1000,Cards!$H$2:$H1000,""""),"",\s"",""""))"),0.0)</f>
        <v>0</v>
      </c>
      <c r="K490" s="34" t="str">
        <f t="shared" si="1"/>
        <v>               </v>
      </c>
      <c r="L490" s="34" t="str">
        <f>IFERROR(__xludf.DUMMYFUNCTION("IF(IF(L$1="""","""",REGEXMATCH(LOWER($E490),XLOOKUP(L$1,Metadata!$A$2:$A1000,Metadata!$B$2:$B1000))),L$1,"""")"),"")</f>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XLOOKUP($A491,Cards!$A$2:$A1000,Cards!$B$2:$I1000,"")</f>
        <v/>
      </c>
      <c r="C491" s="34"/>
      <c r="D491" s="34"/>
      <c r="E491" s="34"/>
      <c r="F491" s="34"/>
      <c r="G491" s="34"/>
      <c r="H491" s="34"/>
      <c r="I491" s="34"/>
      <c r="J491" s="34">
        <f>IFERROR(__xludf.DUMMYFUNCTION("LEN(REGEXREPLACE(XLOOKUP($A491,Cards!$A$2:$A1000,Cards!$H$2:$H1000,""""),"",\s"",""""))"),0.0)</f>
        <v>0</v>
      </c>
      <c r="K491" s="34" t="str">
        <f t="shared" si="1"/>
        <v>               </v>
      </c>
      <c r="L491" s="34" t="str">
        <f>IFERROR(__xludf.DUMMYFUNCTION("IF(IF(L$1="""","""",REGEXMATCH(LOWER($E491),XLOOKUP(L$1,Metadata!$A$2:$A1000,Metadata!$B$2:$B1000))),L$1,"""")"),"")</f>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XLOOKUP($A492,Cards!$A$2:$A1000,Cards!$B$2:$I1000,"")</f>
        <v/>
      </c>
      <c r="C492" s="34"/>
      <c r="D492" s="34"/>
      <c r="E492" s="34"/>
      <c r="F492" s="34"/>
      <c r="G492" s="34"/>
      <c r="H492" s="34"/>
      <c r="I492" s="34"/>
      <c r="J492" s="34">
        <f>IFERROR(__xludf.DUMMYFUNCTION("LEN(REGEXREPLACE(XLOOKUP($A492,Cards!$A$2:$A1000,Cards!$H$2:$H1000,""""),"",\s"",""""))"),0.0)</f>
        <v>0</v>
      </c>
      <c r="K492" s="34" t="str">
        <f t="shared" si="1"/>
        <v>               </v>
      </c>
      <c r="L492" s="34" t="str">
        <f>IFERROR(__xludf.DUMMYFUNCTION("IF(IF(L$1="""","""",REGEXMATCH(LOWER($E492),XLOOKUP(L$1,Metadata!$A$2:$A1000,Metadata!$B$2:$B1000))),L$1,"""")"),"")</f>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XLOOKUP($A493,Cards!$A$2:$A1000,Cards!$B$2:$I1000,"")</f>
        <v/>
      </c>
      <c r="C493" s="34"/>
      <c r="D493" s="34"/>
      <c r="E493" s="34"/>
      <c r="F493" s="34"/>
      <c r="G493" s="34"/>
      <c r="H493" s="34"/>
      <c r="I493" s="34"/>
      <c r="J493" s="34">
        <f>IFERROR(__xludf.DUMMYFUNCTION("LEN(REGEXREPLACE(XLOOKUP($A493,Cards!$A$2:$A1000,Cards!$H$2:$H1000,""""),"",\s"",""""))"),0.0)</f>
        <v>0</v>
      </c>
      <c r="K493" s="34" t="str">
        <f t="shared" si="1"/>
        <v>               </v>
      </c>
      <c r="L493" s="34" t="str">
        <f>IFERROR(__xludf.DUMMYFUNCTION("IF(IF(L$1="""","""",REGEXMATCH(LOWER($E493),XLOOKUP(L$1,Metadata!$A$2:$A1000,Metadata!$B$2:$B1000))),L$1,"""")"),"")</f>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XLOOKUP($A494,Cards!$A$2:$A1000,Cards!$B$2:$I1000,"")</f>
        <v/>
      </c>
      <c r="C494" s="34"/>
      <c r="D494" s="34"/>
      <c r="E494" s="34"/>
      <c r="F494" s="34"/>
      <c r="G494" s="34"/>
      <c r="H494" s="34"/>
      <c r="I494" s="34"/>
      <c r="J494" s="34">
        <f>IFERROR(__xludf.DUMMYFUNCTION("LEN(REGEXREPLACE(XLOOKUP($A494,Cards!$A$2:$A1000,Cards!$H$2:$H1000,""""),"",\s"",""""))"),0.0)</f>
        <v>0</v>
      </c>
      <c r="K494" s="34" t="str">
        <f t="shared" si="1"/>
        <v>               </v>
      </c>
      <c r="L494" s="34" t="str">
        <f>IFERROR(__xludf.DUMMYFUNCTION("IF(IF(L$1="""","""",REGEXMATCH(LOWER($E494),XLOOKUP(L$1,Metadata!$A$2:$A1000,Metadata!$B$2:$B1000))),L$1,"""")"),"")</f>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XLOOKUP($A495,Cards!$A$2:$A1000,Cards!$B$2:$I1000,"")</f>
        <v/>
      </c>
      <c r="C495" s="34"/>
      <c r="D495" s="34"/>
      <c r="E495" s="34"/>
      <c r="F495" s="34"/>
      <c r="G495" s="34"/>
      <c r="H495" s="34"/>
      <c r="I495" s="34"/>
      <c r="J495" s="34">
        <f>IFERROR(__xludf.DUMMYFUNCTION("LEN(REGEXREPLACE(XLOOKUP($A495,Cards!$A$2:$A1000,Cards!$H$2:$H1000,""""),"",\s"",""""))"),0.0)</f>
        <v>0</v>
      </c>
      <c r="K495" s="34" t="str">
        <f t="shared" si="1"/>
        <v>               </v>
      </c>
      <c r="L495" s="34" t="str">
        <f>IFERROR(__xludf.DUMMYFUNCTION("IF(IF(L$1="""","""",REGEXMATCH(LOWER($E495),XLOOKUP(L$1,Metadata!$A$2:$A1000,Metadata!$B$2:$B1000))),L$1,"""")"),"")</f>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XLOOKUP($A496,Cards!$A$2:$A1000,Cards!$B$2:$I1000,"")</f>
        <v/>
      </c>
      <c r="C496" s="34"/>
      <c r="D496" s="34"/>
      <c r="E496" s="34"/>
      <c r="F496" s="34"/>
      <c r="G496" s="34"/>
      <c r="H496" s="34"/>
      <c r="I496" s="34"/>
      <c r="J496" s="34">
        <f>IFERROR(__xludf.DUMMYFUNCTION("LEN(REGEXREPLACE(XLOOKUP($A496,Cards!$A$2:$A1000,Cards!$H$2:$H1000,""""),"",\s"",""""))"),0.0)</f>
        <v>0</v>
      </c>
      <c r="K496" s="34" t="str">
        <f t="shared" si="1"/>
        <v>               </v>
      </c>
      <c r="L496" s="34" t="str">
        <f>IFERROR(__xludf.DUMMYFUNCTION("IF(IF(L$1="""","""",REGEXMATCH(LOWER($E496),XLOOKUP(L$1,Metadata!$A$2:$A1000,Metadata!$B$2:$B1000))),L$1,"""")"),"")</f>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XLOOKUP($A497,Cards!$A$2:$A1000,Cards!$B$2:$I1000,"")</f>
        <v/>
      </c>
      <c r="C497" s="34"/>
      <c r="D497" s="34"/>
      <c r="E497" s="34"/>
      <c r="F497" s="34"/>
      <c r="G497" s="34"/>
      <c r="H497" s="34"/>
      <c r="I497" s="34"/>
      <c r="J497" s="34">
        <f>IFERROR(__xludf.DUMMYFUNCTION("LEN(REGEXREPLACE(XLOOKUP($A497,Cards!$A$2:$A1000,Cards!$H$2:$H1000,""""),"",\s"",""""))"),0.0)</f>
        <v>0</v>
      </c>
      <c r="K497" s="34" t="str">
        <f t="shared" si="1"/>
        <v>               </v>
      </c>
      <c r="L497" s="34" t="str">
        <f>IFERROR(__xludf.DUMMYFUNCTION("IF(IF(L$1="""","""",REGEXMATCH(LOWER($E497),XLOOKUP(L$1,Metadata!$A$2:$A1000,Metadata!$B$2:$B1000))),L$1,"""")"),"")</f>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XLOOKUP($A498,Cards!$A$2:$A1000,Cards!$B$2:$I1000,"")</f>
        <v/>
      </c>
      <c r="C498" s="34"/>
      <c r="D498" s="34"/>
      <c r="E498" s="34"/>
      <c r="F498" s="34"/>
      <c r="G498" s="34"/>
      <c r="H498" s="34"/>
      <c r="I498" s="34"/>
      <c r="J498" s="34">
        <f>IFERROR(__xludf.DUMMYFUNCTION("LEN(REGEXREPLACE(XLOOKUP($A498,Cards!$A$2:$A1000,Cards!$H$2:$H1000,""""),"",\s"",""""))"),0.0)</f>
        <v>0</v>
      </c>
      <c r="K498" s="34" t="str">
        <f t="shared" si="1"/>
        <v>               </v>
      </c>
      <c r="L498" s="34" t="str">
        <f>IFERROR(__xludf.DUMMYFUNCTION("IF(IF(L$1="""","""",REGEXMATCH(LOWER($E498),XLOOKUP(L$1,Metadata!$A$2:$A1000,Metadata!$B$2:$B1000))),L$1,"""")"),"")</f>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XLOOKUP($A499,Cards!$A$2:$A1000,Cards!$B$2:$I1000,"")</f>
        <v/>
      </c>
      <c r="C499" s="34"/>
      <c r="D499" s="34"/>
      <c r="E499" s="34"/>
      <c r="F499" s="34"/>
      <c r="G499" s="34"/>
      <c r="H499" s="34"/>
      <c r="I499" s="34"/>
      <c r="J499" s="34">
        <f>IFERROR(__xludf.DUMMYFUNCTION("LEN(REGEXREPLACE(XLOOKUP($A499,Cards!$A$2:$A1000,Cards!$H$2:$H1000,""""),"",\s"",""""))"),0.0)</f>
        <v>0</v>
      </c>
      <c r="K499" s="34" t="str">
        <f t="shared" si="1"/>
        <v>               </v>
      </c>
      <c r="L499" s="34" t="str">
        <f>IFERROR(__xludf.DUMMYFUNCTION("IF(IF(L$1="""","""",REGEXMATCH(LOWER($E499),XLOOKUP(L$1,Metadata!$A$2:$A1000,Metadata!$B$2:$B1000))),L$1,"""")"),"")</f>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XLOOKUP($A500,Cards!$A$2:$A1000,Cards!$B$2:$I1000,"")</f>
        <v/>
      </c>
      <c r="C500" s="34"/>
      <c r="D500" s="34"/>
      <c r="E500" s="34"/>
      <c r="F500" s="34"/>
      <c r="G500" s="34"/>
      <c r="H500" s="34"/>
      <c r="I500" s="34"/>
      <c r="J500" s="34">
        <f>IFERROR(__xludf.DUMMYFUNCTION("LEN(REGEXREPLACE(XLOOKUP($A500,Cards!$A$2:$A1000,Cards!$H$2:$H1000,""""),"",\s"",""""))"),0.0)</f>
        <v>0</v>
      </c>
      <c r="K500" s="34" t="str">
        <f t="shared" si="1"/>
        <v>               </v>
      </c>
      <c r="L500" s="34" t="str">
        <f>IFERROR(__xludf.DUMMYFUNCTION("IF(IF(L$1="""","""",REGEXMATCH(LOWER($E500),XLOOKUP(L$1,Metadata!$A$2:$A1000,Metadata!$B$2:$B1000))),L$1,"""")"),"")</f>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XLOOKUP($A501,Cards!$A$2:$A1000,Cards!$B$2:$I1000,"")</f>
        <v/>
      </c>
      <c r="C501" s="34"/>
      <c r="D501" s="34"/>
      <c r="E501" s="34"/>
      <c r="F501" s="34"/>
      <c r="G501" s="34"/>
      <c r="H501" s="34"/>
      <c r="I501" s="34"/>
      <c r="J501" s="34">
        <f>IFERROR(__xludf.DUMMYFUNCTION("LEN(REGEXREPLACE(XLOOKUP($A501,Cards!$A$2:$A1000,Cards!$H$2:$H1000,""""),"",\s"",""""))"),0.0)</f>
        <v>0</v>
      </c>
      <c r="K501" s="34" t="str">
        <f t="shared" si="1"/>
        <v>               </v>
      </c>
      <c r="L501" s="34" t="str">
        <f>IFERROR(__xludf.DUMMYFUNCTION("IF(IF(L$1="""","""",REGEXMATCH(LOWER($E501),XLOOKUP(L$1,Metadata!$A$2:$A1000,Metadata!$B$2:$B1000))),L$1,"""")"),"")</f>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XLOOKUP($A502,Cards!$A$2:$A1000,Cards!$B$2:$I1000,"")</f>
        <v/>
      </c>
      <c r="C502" s="34"/>
      <c r="D502" s="34"/>
      <c r="E502" s="34"/>
      <c r="F502" s="34"/>
      <c r="G502" s="34"/>
      <c r="H502" s="34"/>
      <c r="I502" s="34"/>
      <c r="J502" s="34">
        <f>IFERROR(__xludf.DUMMYFUNCTION("LEN(REGEXREPLACE(XLOOKUP($A502,Cards!$A$2:$A1000,Cards!$H$2:$H1000,""""),"",\s"",""""))"),0.0)</f>
        <v>0</v>
      </c>
      <c r="K502" s="34" t="str">
        <f t="shared" si="1"/>
        <v>               </v>
      </c>
      <c r="L502" s="34" t="str">
        <f>IFERROR(__xludf.DUMMYFUNCTION("IF(IF(L$1="""","""",REGEXMATCH(LOWER($E502),XLOOKUP(L$1,Metadata!$A$2:$A1000,Metadata!$B$2:$B1000))),L$1,"""")"),"")</f>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XLOOKUP($A503,Cards!$A$2:$A1000,Cards!$B$2:$I1000,"")</f>
        <v/>
      </c>
      <c r="C503" s="34"/>
      <c r="D503" s="34"/>
      <c r="E503" s="34"/>
      <c r="F503" s="34"/>
      <c r="G503" s="34"/>
      <c r="H503" s="34"/>
      <c r="I503" s="34"/>
      <c r="J503" s="34">
        <f>IFERROR(__xludf.DUMMYFUNCTION("LEN(REGEXREPLACE(XLOOKUP($A503,Cards!$A$2:$A1000,Cards!$H$2:$H1000,""""),"",\s"",""""))"),0.0)</f>
        <v>0</v>
      </c>
      <c r="K503" s="34" t="str">
        <f t="shared" si="1"/>
        <v>               </v>
      </c>
      <c r="L503" s="34" t="str">
        <f>IFERROR(__xludf.DUMMYFUNCTION("IF(IF(L$1="""","""",REGEXMATCH(LOWER($E503),XLOOKUP(L$1,Metadata!$A$2:$A1000,Metadata!$B$2:$B1000))),L$1,"""")"),"")</f>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XLOOKUP($A504,Cards!$A$2:$A1000,Cards!$B$2:$I1000,"")</f>
        <v/>
      </c>
      <c r="C504" s="34"/>
      <c r="D504" s="34"/>
      <c r="E504" s="34"/>
      <c r="F504" s="34"/>
      <c r="G504" s="34"/>
      <c r="H504" s="34"/>
      <c r="I504" s="34"/>
      <c r="J504" s="34">
        <f>IFERROR(__xludf.DUMMYFUNCTION("LEN(REGEXREPLACE(XLOOKUP($A504,Cards!$A$2:$A1000,Cards!$H$2:$H1000,""""),"",\s"",""""))"),0.0)</f>
        <v>0</v>
      </c>
      <c r="K504" s="34" t="str">
        <f t="shared" si="1"/>
        <v>               </v>
      </c>
      <c r="L504" s="34" t="str">
        <f>IFERROR(__xludf.DUMMYFUNCTION("IF(IF(L$1="""","""",REGEXMATCH(LOWER($E504),XLOOKUP(L$1,Metadata!$A$2:$A1000,Metadata!$B$2:$B1000))),L$1,"""")"),"")</f>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XLOOKUP($A505,Cards!$A$2:$A1000,Cards!$B$2:$I1000,"")</f>
        <v/>
      </c>
      <c r="C505" s="34"/>
      <c r="D505" s="34"/>
      <c r="E505" s="34"/>
      <c r="F505" s="34"/>
      <c r="G505" s="34"/>
      <c r="H505" s="34"/>
      <c r="I505" s="34"/>
      <c r="J505" s="34">
        <f>IFERROR(__xludf.DUMMYFUNCTION("LEN(REGEXREPLACE(XLOOKUP($A505,Cards!$A$2:$A1000,Cards!$H$2:$H1000,""""),"",\s"",""""))"),0.0)</f>
        <v>0</v>
      </c>
      <c r="K505" s="34" t="str">
        <f t="shared" si="1"/>
        <v>               </v>
      </c>
      <c r="L505" s="34" t="str">
        <f>IFERROR(__xludf.DUMMYFUNCTION("IF(IF(L$1="""","""",REGEXMATCH(LOWER($E505),XLOOKUP(L$1,Metadata!$A$2:$A1000,Metadata!$B$2:$B1000))),L$1,"""")"),"")</f>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XLOOKUP($A506,Cards!$A$2:$A1000,Cards!$B$2:$I1000,"")</f>
        <v/>
      </c>
      <c r="C506" s="34"/>
      <c r="D506" s="34"/>
      <c r="E506" s="34"/>
      <c r="F506" s="34"/>
      <c r="G506" s="34"/>
      <c r="H506" s="34"/>
      <c r="I506" s="34"/>
      <c r="J506" s="34">
        <f>IFERROR(__xludf.DUMMYFUNCTION("LEN(REGEXREPLACE(XLOOKUP($A506,Cards!$A$2:$A1000,Cards!$H$2:$H1000,""""),"",\s"",""""))"),0.0)</f>
        <v>0</v>
      </c>
      <c r="K506" s="34" t="str">
        <f t="shared" si="1"/>
        <v>               </v>
      </c>
      <c r="L506" s="34" t="str">
        <f>IFERROR(__xludf.DUMMYFUNCTION("IF(IF(L$1="""","""",REGEXMATCH(LOWER($E506),XLOOKUP(L$1,Metadata!$A$2:$A1000,Metadata!$B$2:$B1000))),L$1,"""")"),"")</f>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XLOOKUP($A507,Cards!$A$2:$A1000,Cards!$B$2:$I1000,"")</f>
        <v/>
      </c>
      <c r="C507" s="34"/>
      <c r="D507" s="34"/>
      <c r="E507" s="34"/>
      <c r="F507" s="34"/>
      <c r="G507" s="34"/>
      <c r="H507" s="34"/>
      <c r="I507" s="34"/>
      <c r="J507" s="34">
        <f>IFERROR(__xludf.DUMMYFUNCTION("LEN(REGEXREPLACE(XLOOKUP($A507,Cards!$A$2:$A1000,Cards!$H$2:$H1000,""""),"",\s"",""""))"),0.0)</f>
        <v>0</v>
      </c>
      <c r="K507" s="34" t="str">
        <f t="shared" si="1"/>
        <v>               </v>
      </c>
      <c r="L507" s="34" t="str">
        <f>IFERROR(__xludf.DUMMYFUNCTION("IF(IF(L$1="""","""",REGEXMATCH(LOWER($E507),XLOOKUP(L$1,Metadata!$A$2:$A1000,Metadata!$B$2:$B1000))),L$1,"""")"),"")</f>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XLOOKUP($A508,Cards!$A$2:$A1000,Cards!$B$2:$I1000,"")</f>
        <v/>
      </c>
      <c r="C508" s="34"/>
      <c r="D508" s="34"/>
      <c r="E508" s="34"/>
      <c r="F508" s="34"/>
      <c r="G508" s="34"/>
      <c r="H508" s="34"/>
      <c r="I508" s="34"/>
      <c r="J508" s="34">
        <f>IFERROR(__xludf.DUMMYFUNCTION("LEN(REGEXREPLACE(XLOOKUP($A508,Cards!$A$2:$A1000,Cards!$H$2:$H1000,""""),"",\s"",""""))"),0.0)</f>
        <v>0</v>
      </c>
      <c r="K508" s="34" t="str">
        <f t="shared" si="1"/>
        <v>               </v>
      </c>
      <c r="L508" s="34" t="str">
        <f>IFERROR(__xludf.DUMMYFUNCTION("IF(IF(L$1="""","""",REGEXMATCH(LOWER($E508),XLOOKUP(L$1,Metadata!$A$2:$A1000,Metadata!$B$2:$B1000))),L$1,"""")"),"")</f>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XLOOKUP($A509,Cards!$A$2:$A1000,Cards!$B$2:$I1000,"")</f>
        <v/>
      </c>
      <c r="C509" s="34"/>
      <c r="D509" s="34"/>
      <c r="E509" s="34"/>
      <c r="F509" s="34"/>
      <c r="G509" s="34"/>
      <c r="H509" s="34"/>
      <c r="I509" s="34"/>
      <c r="J509" s="34">
        <f>IFERROR(__xludf.DUMMYFUNCTION("LEN(REGEXREPLACE(XLOOKUP($A509,Cards!$A$2:$A1000,Cards!$H$2:$H1000,""""),"",\s"",""""))"),0.0)</f>
        <v>0</v>
      </c>
      <c r="K509" s="34" t="str">
        <f t="shared" si="1"/>
        <v>               </v>
      </c>
      <c r="L509" s="34" t="str">
        <f>IFERROR(__xludf.DUMMYFUNCTION("IF(IF(L$1="""","""",REGEXMATCH(LOWER($E509),XLOOKUP(L$1,Metadata!$A$2:$A1000,Metadata!$B$2:$B1000))),L$1,"""")"),"")</f>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XLOOKUP($A510,Cards!$A$2:$A1000,Cards!$B$2:$I1000,"")</f>
        <v/>
      </c>
      <c r="C510" s="34"/>
      <c r="D510" s="34"/>
      <c r="E510" s="34"/>
      <c r="F510" s="34"/>
      <c r="G510" s="34"/>
      <c r="H510" s="34"/>
      <c r="I510" s="34"/>
      <c r="J510" s="34">
        <f>IFERROR(__xludf.DUMMYFUNCTION("LEN(REGEXREPLACE(XLOOKUP($A510,Cards!$A$2:$A1000,Cards!$H$2:$H1000,""""),"",\s"",""""))"),0.0)</f>
        <v>0</v>
      </c>
      <c r="K510" s="34" t="str">
        <f t="shared" si="1"/>
        <v>               </v>
      </c>
      <c r="L510" s="34" t="str">
        <f>IFERROR(__xludf.DUMMYFUNCTION("IF(IF(L$1="""","""",REGEXMATCH(LOWER($E510),XLOOKUP(L$1,Metadata!$A$2:$A1000,Metadata!$B$2:$B1000))),L$1,"""")"),"")</f>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XLOOKUP($A511,Cards!$A$2:$A1000,Cards!$B$2:$I1000,"")</f>
        <v/>
      </c>
      <c r="C511" s="34"/>
      <c r="D511" s="34"/>
      <c r="E511" s="34"/>
      <c r="F511" s="34"/>
      <c r="G511" s="34"/>
      <c r="H511" s="34"/>
      <c r="I511" s="34"/>
      <c r="J511" s="34">
        <f>IFERROR(__xludf.DUMMYFUNCTION("LEN(REGEXREPLACE(XLOOKUP($A511,Cards!$A$2:$A1000,Cards!$H$2:$H1000,""""),"",\s"",""""))"),0.0)</f>
        <v>0</v>
      </c>
      <c r="K511" s="34" t="str">
        <f t="shared" si="1"/>
        <v>               </v>
      </c>
      <c r="L511" s="34" t="str">
        <f>IFERROR(__xludf.DUMMYFUNCTION("IF(IF(L$1="""","""",REGEXMATCH(LOWER($E511),XLOOKUP(L$1,Metadata!$A$2:$A1000,Metadata!$B$2:$B1000))),L$1,"""")"),"")</f>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J512" s="34">
        <f>IFERROR(__xludf.DUMMYFUNCTION("LEN(REGEXREPLACE(XLOOKUP($A512,Cards!$A$2:$A1000,Cards!$H$2:$H1000,""""),"",\s"",""""))"),0.0)</f>
        <v>0</v>
      </c>
      <c r="K512" s="34" t="str">
        <f t="shared" si="1"/>
        <v>               </v>
      </c>
      <c r="L512" s="34" t="str">
        <f>IFERROR(__xludf.DUMMYFUNCTION("IF(IF(L$1="""","""",REGEXMATCH(LOWER($E512),XLOOKUP(L$1,Metadata!$A$2:$A1000,Metadata!$B$2:$B1000))),L$1,"""")"),"")</f>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J513" s="34">
        <f>IFERROR(__xludf.DUMMYFUNCTION("LEN(REGEXREPLACE(XLOOKUP($A513,Cards!$A$2:$A1000,Cards!$H$2:$H1000,""""),"",\s"",""""))"),0.0)</f>
        <v>0</v>
      </c>
      <c r="K513" s="34" t="str">
        <f t="shared" si="1"/>
        <v>               </v>
      </c>
      <c r="L513" s="34" t="str">
        <f>IFERROR(__xludf.DUMMYFUNCTION("IF(IF(L$1="""","""",REGEXMATCH(LOWER($E513),XLOOKUP(L$1,Metadata!$A$2:$A1000,Metadata!$B$2:$B1000))),L$1,"""")"),"")</f>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J514" s="34">
        <f>IFERROR(__xludf.DUMMYFUNCTION("LEN(REGEXREPLACE(XLOOKUP($A514,Cards!$A$2:$A1000,Cards!$H$2:$H1000,""""),"",\s"",""""))"),0.0)</f>
        <v>0</v>
      </c>
      <c r="K514" s="34" t="str">
        <f t="shared" si="1"/>
        <v>               </v>
      </c>
      <c r="L514" s="34" t="str">
        <f>IFERROR(__xludf.DUMMYFUNCTION("IF(IF(L$1="""","""",REGEXMATCH(LOWER($E514),XLOOKUP(L$1,Metadata!$A$2:$A1000,Metadata!$B$2:$B1000))),L$1,"""")"),"")</f>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J515" s="34">
        <f>IFERROR(__xludf.DUMMYFUNCTION("LEN(REGEXREPLACE(XLOOKUP($A515,Cards!$A$2:$A1000,Cards!$H$2:$H1000,""""),"",\s"",""""))"),0.0)</f>
        <v>0</v>
      </c>
      <c r="K515" s="34" t="str">
        <f t="shared" si="1"/>
        <v>               </v>
      </c>
      <c r="L515" s="34" t="str">
        <f>IFERROR(__xludf.DUMMYFUNCTION("IF(IF(L$1="""","""",REGEXMATCH(LOWER($E515),XLOOKUP(L$1,Metadata!$A$2:$A1000,Metadata!$B$2:$B1000))),L$1,"""")"),"")</f>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J516" s="34">
        <f>IFERROR(__xludf.DUMMYFUNCTION("LEN(REGEXREPLACE(XLOOKUP($A516,Cards!$A$2:$A1000,Cards!$H$2:$H1000,""""),"",\s"",""""))"),0.0)</f>
        <v>0</v>
      </c>
      <c r="K516" s="34" t="str">
        <f t="shared" si="1"/>
        <v>               </v>
      </c>
      <c r="L516" s="34" t="str">
        <f>IFERROR(__xludf.DUMMYFUNCTION("IF(IF(L$1="""","""",REGEXMATCH(LOWER($E516),XLOOKUP(L$1,Metadata!$A$2:$A1000,Metadata!$B$2:$B1000))),L$1,"""")"),"")</f>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J517" s="34">
        <f>IFERROR(__xludf.DUMMYFUNCTION("LEN(REGEXREPLACE(XLOOKUP($A517,Cards!$A$2:$A1000,Cards!$H$2:$H1000,""""),"",\s"",""""))"),0.0)</f>
        <v>0</v>
      </c>
      <c r="K517" s="34" t="str">
        <f t="shared" si="1"/>
        <v>               </v>
      </c>
      <c r="L517" s="34" t="str">
        <f>IFERROR(__xludf.DUMMYFUNCTION("IF(IF(L$1="""","""",REGEXMATCH(LOWER($E517),XLOOKUP(L$1,Metadata!$A$2:$A1000,Metadata!$B$2:$B1000))),L$1,"""")"),"")</f>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J518" s="34">
        <f>IFERROR(__xludf.DUMMYFUNCTION("LEN(REGEXREPLACE(XLOOKUP($A518,Cards!$A$2:$A1000,Cards!$H$2:$H1000,""""),"",\s"",""""))"),0.0)</f>
        <v>0</v>
      </c>
      <c r="K518" s="34" t="str">
        <f t="shared" si="1"/>
        <v>               </v>
      </c>
      <c r="L518" s="34" t="str">
        <f>IFERROR(__xludf.DUMMYFUNCTION("IF(IF(L$1="""","""",REGEXMATCH(LOWER($E518),XLOOKUP(L$1,Metadata!$A$2:$A1000,Metadata!$B$2:$B1000))),L$1,"""")"),"")</f>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J519" s="34">
        <f>IFERROR(__xludf.DUMMYFUNCTION("LEN(REGEXREPLACE(XLOOKUP($A519,Cards!$A$2:$A1000,Cards!$H$2:$H1000,""""),"",\s"",""""))"),0.0)</f>
        <v>0</v>
      </c>
      <c r="K519" s="34" t="str">
        <f t="shared" si="1"/>
        <v>               </v>
      </c>
      <c r="L519" s="34" t="str">
        <f>IFERROR(__xludf.DUMMYFUNCTION("IF(IF(L$1="""","""",REGEXMATCH(LOWER($E519),XLOOKUP(L$1,Metadata!$A$2:$A1000,Metadata!$B$2:$B1000))),L$1,"""")"),"")</f>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J520" s="34">
        <f>IFERROR(__xludf.DUMMYFUNCTION("LEN(REGEXREPLACE(XLOOKUP($A520,Cards!$A$2:$A1000,Cards!$H$2:$H1000,""""),"",\s"",""""))"),0.0)</f>
        <v>0</v>
      </c>
      <c r="K520" s="34" t="str">
        <f t="shared" si="1"/>
        <v>               </v>
      </c>
      <c r="L520" s="34" t="str">
        <f>IFERROR(__xludf.DUMMYFUNCTION("IF(IF(L$1="""","""",REGEXMATCH(LOWER($E520),XLOOKUP(L$1,Metadata!$A$2:$A1000,Metadata!$B$2:$B1000))),L$1,"""")"),"")</f>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J521" s="34">
        <f>IFERROR(__xludf.DUMMYFUNCTION("LEN(REGEXREPLACE(XLOOKUP($A521,Cards!$A$2:$A1000,Cards!$H$2:$H1000,""""),"",\s"",""""))"),0.0)</f>
        <v>0</v>
      </c>
      <c r="K521" s="34" t="str">
        <f t="shared" si="1"/>
        <v>               </v>
      </c>
      <c r="L521" s="34" t="str">
        <f>IFERROR(__xludf.DUMMYFUNCTION("IF(IF(L$1="""","""",REGEXMATCH(LOWER($E521),XLOOKUP(L$1,Metadata!$A$2:$A1000,Metadata!$B$2:$B1000))),L$1,"""")"),"")</f>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J522" s="34">
        <f>IFERROR(__xludf.DUMMYFUNCTION("LEN(REGEXREPLACE(XLOOKUP($A522,Cards!$A$2:$A1000,Cards!$H$2:$H1000,""""),"",\s"",""""))"),0.0)</f>
        <v>0</v>
      </c>
      <c r="K522" s="34" t="str">
        <f t="shared" si="1"/>
        <v>               </v>
      </c>
      <c r="L522" s="34" t="str">
        <f>IFERROR(__xludf.DUMMYFUNCTION("IF(IF(L$1="""","""",REGEXMATCH(LOWER($E522),XLOOKUP(L$1,Metadata!$A$2:$A1000,Metadata!$B$2:$B1000))),L$1,"""")"),"")</f>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J523" s="34">
        <f>IFERROR(__xludf.DUMMYFUNCTION("LEN(REGEXREPLACE(XLOOKUP($A523,Cards!$A$2:$A1000,Cards!$H$2:$H1000,""""),"",\s"",""""))"),0.0)</f>
        <v>0</v>
      </c>
      <c r="K523" s="34" t="str">
        <f t="shared" si="1"/>
        <v>               </v>
      </c>
      <c r="L523" s="34" t="str">
        <f>IFERROR(__xludf.DUMMYFUNCTION("IF(IF(L$1="""","""",REGEXMATCH(LOWER($E523),XLOOKUP(L$1,Metadata!$A$2:$A1000,Metadata!$B$2:$B1000))),L$1,"""")"),"")</f>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J524" s="34">
        <f>IFERROR(__xludf.DUMMYFUNCTION("LEN(REGEXREPLACE(XLOOKUP($A524,Cards!$A$2:$A1000,Cards!$H$2:$H1000,""""),"",\s"",""""))"),0.0)</f>
        <v>0</v>
      </c>
      <c r="K524" s="34" t="str">
        <f t="shared" si="1"/>
        <v>               </v>
      </c>
      <c r="L524" s="34" t="str">
        <f>IFERROR(__xludf.DUMMYFUNCTION("IF(IF(L$1="""","""",REGEXMATCH(LOWER($E524),XLOOKUP(L$1,Metadata!$A$2:$A1000,Metadata!$B$2:$B1000))),L$1,"""")"),"")</f>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J525" s="34">
        <f>IFERROR(__xludf.DUMMYFUNCTION("LEN(REGEXREPLACE(XLOOKUP($A525,Cards!$A$2:$A1000,Cards!$H$2:$H1000,""""),"",\s"",""""))"),0.0)</f>
        <v>0</v>
      </c>
      <c r="K525" s="34" t="str">
        <f t="shared" si="1"/>
        <v>               </v>
      </c>
      <c r="L525" s="34" t="str">
        <f>IFERROR(__xludf.DUMMYFUNCTION("IF(IF(L$1="""","""",REGEXMATCH(LOWER($E525),XLOOKUP(L$1,Metadata!$A$2:$A1000,Metadata!$B$2:$B1000))),L$1,"""")"),"")</f>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J526" s="34">
        <f>IFERROR(__xludf.DUMMYFUNCTION("LEN(REGEXREPLACE(XLOOKUP($A526,Cards!$A$2:$A1000,Cards!$H$2:$H1000,""""),"",\s"",""""))"),0.0)</f>
        <v>0</v>
      </c>
      <c r="K526" s="34" t="str">
        <f t="shared" si="1"/>
        <v>               </v>
      </c>
      <c r="L526" s="34" t="str">
        <f>IFERROR(__xludf.DUMMYFUNCTION("IF(IF(L$1="""","""",REGEXMATCH(LOWER($E526),XLOOKUP(L$1,Metadata!$A$2:$A1000,Metadata!$B$2:$B1000))),L$1,"""")"),"")</f>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J527" s="34">
        <f>IFERROR(__xludf.DUMMYFUNCTION("LEN(REGEXREPLACE(XLOOKUP($A527,Cards!$A$2:$A1000,Cards!$H$2:$H1000,""""),"",\s"",""""))"),0.0)</f>
        <v>0</v>
      </c>
      <c r="K527" s="34" t="str">
        <f t="shared" si="1"/>
        <v>               </v>
      </c>
      <c r="L527" s="34" t="str">
        <f>IFERROR(__xludf.DUMMYFUNCTION("IF(IF(L$1="""","""",REGEXMATCH(LOWER($E527),XLOOKUP(L$1,Metadata!$A$2:$A1000,Metadata!$B$2:$B1000))),L$1,"""")"),"")</f>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J528" s="34">
        <f>IFERROR(__xludf.DUMMYFUNCTION("LEN(REGEXREPLACE(XLOOKUP($A528,Cards!$A$2:$A1000,Cards!$H$2:$H1000,""""),"",\s"",""""))"),0.0)</f>
        <v>0</v>
      </c>
      <c r="K528" s="34" t="str">
        <f t="shared" si="1"/>
        <v>               </v>
      </c>
      <c r="L528" s="34" t="str">
        <f>IFERROR(__xludf.DUMMYFUNCTION("IF(IF(L$1="""","""",REGEXMATCH(LOWER($E528),XLOOKUP(L$1,Metadata!$A$2:$A1000,Metadata!$B$2:$B1000))),L$1,"""")"),"")</f>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J529" s="34">
        <f>IFERROR(__xludf.DUMMYFUNCTION("LEN(REGEXREPLACE(XLOOKUP($A529,Cards!$A$2:$A1000,Cards!$H$2:$H1000,""""),"",\s"",""""))"),0.0)</f>
        <v>0</v>
      </c>
      <c r="K529" s="34" t="str">
        <f t="shared" si="1"/>
        <v>               </v>
      </c>
      <c r="L529" s="34" t="str">
        <f>IFERROR(__xludf.DUMMYFUNCTION("IF(IF(L$1="""","""",REGEXMATCH(LOWER($E529),XLOOKUP(L$1,Metadata!$A$2:$A1000,Metadata!$B$2:$B1000))),L$1,"""")"),"")</f>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J530" s="34">
        <f>IFERROR(__xludf.DUMMYFUNCTION("LEN(REGEXREPLACE(XLOOKUP($A530,Cards!$A$2:$A1000,Cards!$H$2:$H1000,""""),"",\s"",""""))"),0.0)</f>
        <v>0</v>
      </c>
      <c r="K530" s="34" t="str">
        <f t="shared" si="1"/>
        <v>               </v>
      </c>
      <c r="L530" s="34" t="str">
        <f>IFERROR(__xludf.DUMMYFUNCTION("IF(IF(L$1="""","""",REGEXMATCH(LOWER($E530),XLOOKUP(L$1,Metadata!$A$2:$A1000,Metadata!$B$2:$B1000))),L$1,"""")"),"")</f>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J531" s="34">
        <f>IFERROR(__xludf.DUMMYFUNCTION("LEN(REGEXREPLACE(XLOOKUP($A531,Cards!$A$2:$A1000,Cards!$H$2:$H1000,""""),"",\s"",""""))"),0.0)</f>
        <v>0</v>
      </c>
      <c r="K531" s="34" t="str">
        <f t="shared" si="1"/>
        <v>               </v>
      </c>
      <c r="L531" s="34" t="str">
        <f>IFERROR(__xludf.DUMMYFUNCTION("IF(IF(L$1="""","""",REGEXMATCH(LOWER($E531),XLOOKUP(L$1,Metadata!$A$2:$A1000,Metadata!$B$2:$B1000))),L$1,"""")"),"")</f>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J532" s="34">
        <f>IFERROR(__xludf.DUMMYFUNCTION("LEN(REGEXREPLACE(XLOOKUP($A532,Cards!$A$2:$A1000,Cards!$H$2:$H1000,""""),"",\s"",""""))"),0.0)</f>
        <v>0</v>
      </c>
      <c r="K532" s="34" t="str">
        <f t="shared" si="1"/>
        <v>               </v>
      </c>
      <c r="L532" s="34" t="str">
        <f>IFERROR(__xludf.DUMMYFUNCTION("IF(IF(L$1="""","""",REGEXMATCH(LOWER($E532),XLOOKUP(L$1,Metadata!$A$2:$A1000,Metadata!$B$2:$B1000))),L$1,"""")"),"")</f>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J533" s="34">
        <f>IFERROR(__xludf.DUMMYFUNCTION("LEN(REGEXREPLACE(XLOOKUP($A533,Cards!$A$2:$A1000,Cards!$H$2:$H1000,""""),"",\s"",""""))"),0.0)</f>
        <v>0</v>
      </c>
      <c r="K533" s="34" t="str">
        <f t="shared" si="1"/>
        <v>               </v>
      </c>
      <c r="L533" s="34" t="str">
        <f>IFERROR(__xludf.DUMMYFUNCTION("IF(IF(L$1="""","""",REGEXMATCH(LOWER($E533),XLOOKUP(L$1,Metadata!$A$2:$A1000,Metadata!$B$2:$B1000))),L$1,"""")"),"")</f>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J534" s="34">
        <f>IFERROR(__xludf.DUMMYFUNCTION("LEN(REGEXREPLACE(XLOOKUP($A534,Cards!$A$2:$A1000,Cards!$H$2:$H1000,""""),"",\s"",""""))"),0.0)</f>
        <v>0</v>
      </c>
      <c r="K534" s="34" t="str">
        <f t="shared" si="1"/>
        <v>               </v>
      </c>
      <c r="L534" s="34" t="str">
        <f>IFERROR(__xludf.DUMMYFUNCTION("IF(IF(L$1="""","""",REGEXMATCH(LOWER($E534),XLOOKUP(L$1,Metadata!$A$2:$A1000,Metadata!$B$2:$B1000))),L$1,"""")"),"")</f>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J535" s="34">
        <f>IFERROR(__xludf.DUMMYFUNCTION("LEN(REGEXREPLACE(XLOOKUP($A535,Cards!$A$2:$A1000,Cards!$H$2:$H1000,""""),"",\s"",""""))"),0.0)</f>
        <v>0</v>
      </c>
      <c r="K535" s="34" t="str">
        <f t="shared" si="1"/>
        <v>               </v>
      </c>
      <c r="L535" s="34" t="str">
        <f>IFERROR(__xludf.DUMMYFUNCTION("IF(IF(L$1="""","""",REGEXMATCH(LOWER($E535),XLOOKUP(L$1,Metadata!$A$2:$A1000,Metadata!$B$2:$B1000))),L$1,"""")"),"")</f>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J536" s="34">
        <f>IFERROR(__xludf.DUMMYFUNCTION("LEN(REGEXREPLACE(XLOOKUP($A536,Cards!$A$2:$A1000,Cards!$H$2:$H1000,""""),"",\s"",""""))"),0.0)</f>
        <v>0</v>
      </c>
      <c r="K536" s="34" t="str">
        <f t="shared" si="1"/>
        <v>               </v>
      </c>
      <c r="L536" s="34" t="str">
        <f>IFERROR(__xludf.DUMMYFUNCTION("IF(IF(L$1="""","""",REGEXMATCH(LOWER($E536),XLOOKUP(L$1,Metadata!$A$2:$A1000,Metadata!$B$2:$B1000))),L$1,"""")"),"")</f>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J537" s="34">
        <f>IFERROR(__xludf.DUMMYFUNCTION("LEN(REGEXREPLACE(XLOOKUP($A537,Cards!$A$2:$A1000,Cards!$H$2:$H1000,""""),"",\s"",""""))"),0.0)</f>
        <v>0</v>
      </c>
      <c r="K537" s="34" t="str">
        <f t="shared" si="1"/>
        <v>               </v>
      </c>
      <c r="L537" s="34" t="str">
        <f>IFERROR(__xludf.DUMMYFUNCTION("IF(IF(L$1="""","""",REGEXMATCH(LOWER($E537),XLOOKUP(L$1,Metadata!$A$2:$A1000,Metadata!$B$2:$B1000))),L$1,"""")"),"")</f>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J538" s="34">
        <f>IFERROR(__xludf.DUMMYFUNCTION("LEN(REGEXREPLACE(XLOOKUP($A538,Cards!$A$2:$A1000,Cards!$H$2:$H1000,""""),"",\s"",""""))"),0.0)</f>
        <v>0</v>
      </c>
      <c r="K538" s="34" t="str">
        <f t="shared" si="1"/>
        <v>               </v>
      </c>
      <c r="L538" s="34" t="str">
        <f>IFERROR(__xludf.DUMMYFUNCTION("IF(IF(L$1="""","""",REGEXMATCH(LOWER($E538),XLOOKUP(L$1,Metadata!$A$2:$A1000,Metadata!$B$2:$B1000))),L$1,"""")"),"")</f>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J539" s="34">
        <f>IFERROR(__xludf.DUMMYFUNCTION("LEN(REGEXREPLACE(XLOOKUP($A539,Cards!$A$2:$A1000,Cards!$H$2:$H1000,""""),"",\s"",""""))"),0.0)</f>
        <v>0</v>
      </c>
      <c r="K539" s="34" t="str">
        <f t="shared" si="1"/>
        <v>               </v>
      </c>
      <c r="L539" s="34" t="str">
        <f>IFERROR(__xludf.DUMMYFUNCTION("IF(IF(L$1="""","""",REGEXMATCH(LOWER($E539),XLOOKUP(L$1,Metadata!$A$2:$A1000,Metadata!$B$2:$B1000))),L$1,"""")"),"")</f>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J540" s="34">
        <f>IFERROR(__xludf.DUMMYFUNCTION("LEN(REGEXREPLACE(XLOOKUP($A540,Cards!$A$2:$A1000,Cards!$H$2:$H1000,""""),"",\s"",""""))"),0.0)</f>
        <v>0</v>
      </c>
      <c r="K540" s="34" t="str">
        <f t="shared" si="1"/>
        <v>               </v>
      </c>
      <c r="L540" s="34" t="str">
        <f>IFERROR(__xludf.DUMMYFUNCTION("IF(IF(L$1="""","""",REGEXMATCH(LOWER($E540),XLOOKUP(L$1,Metadata!$A$2:$A1000,Metadata!$B$2:$B1000))),L$1,"""")"),"")</f>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J541" s="34">
        <f>IFERROR(__xludf.DUMMYFUNCTION("LEN(REGEXREPLACE(XLOOKUP($A541,Cards!$A$2:$A1000,Cards!$H$2:$H1000,""""),"",\s"",""""))"),0.0)</f>
        <v>0</v>
      </c>
      <c r="K541" s="34" t="str">
        <f t="shared" si="1"/>
        <v>               </v>
      </c>
      <c r="L541" s="34" t="str">
        <f>IFERROR(__xludf.DUMMYFUNCTION("IF(IF(L$1="""","""",REGEXMATCH(LOWER($E541),XLOOKUP(L$1,Metadata!$A$2:$A1000,Metadata!$B$2:$B1000))),L$1,"""")"),"")</f>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J542" s="34">
        <f>IFERROR(__xludf.DUMMYFUNCTION("LEN(REGEXREPLACE(XLOOKUP($A542,Cards!$A$2:$A1000,Cards!$H$2:$H1000,""""),"",\s"",""""))"),0.0)</f>
        <v>0</v>
      </c>
      <c r="K542" s="34" t="str">
        <f t="shared" si="1"/>
        <v>               </v>
      </c>
      <c r="L542" s="34" t="str">
        <f>IFERROR(__xludf.DUMMYFUNCTION("IF(IF(L$1="""","""",REGEXMATCH(LOWER($E542),XLOOKUP(L$1,Metadata!$A$2:$A1000,Metadata!$B$2:$B1000))),L$1,"""")"),"")</f>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J543" s="34">
        <f>IFERROR(__xludf.DUMMYFUNCTION("LEN(REGEXREPLACE(XLOOKUP($A543,Cards!$A$2:$A1000,Cards!$H$2:$H1000,""""),"",\s"",""""))"),0.0)</f>
        <v>0</v>
      </c>
      <c r="K543" s="34" t="str">
        <f t="shared" si="1"/>
        <v>               </v>
      </c>
      <c r="L543" s="34" t="str">
        <f>IFERROR(__xludf.DUMMYFUNCTION("IF(IF(L$1="""","""",REGEXMATCH(LOWER($E543),XLOOKUP(L$1,Metadata!$A$2:$A1000,Metadata!$B$2:$B1000))),L$1,"""")"),"")</f>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J544" s="34">
        <f>IFERROR(__xludf.DUMMYFUNCTION("LEN(REGEXREPLACE(XLOOKUP($A544,Cards!$A$2:$A1000,Cards!$H$2:$H1000,""""),"",\s"",""""))"),0.0)</f>
        <v>0</v>
      </c>
      <c r="K544" s="34" t="str">
        <f t="shared" si="1"/>
        <v>               </v>
      </c>
      <c r="L544" s="34" t="str">
        <f>IFERROR(__xludf.DUMMYFUNCTION("IF(IF(L$1="""","""",REGEXMATCH(LOWER($E544),XLOOKUP(L$1,Metadata!$A$2:$A1000,Metadata!$B$2:$B1000))),L$1,"""")"),"")</f>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J545" s="34">
        <f>IFERROR(__xludf.DUMMYFUNCTION("LEN(REGEXREPLACE(XLOOKUP($A545,Cards!$A$2:$A1000,Cards!$H$2:$H1000,""""),"",\s"",""""))"),0.0)</f>
        <v>0</v>
      </c>
      <c r="K545" s="34" t="str">
        <f t="shared" si="1"/>
        <v>               </v>
      </c>
      <c r="L545" s="34" t="str">
        <f>IFERROR(__xludf.DUMMYFUNCTION("IF(IF(L$1="""","""",REGEXMATCH(LOWER($E545),XLOOKUP(L$1,Metadata!$A$2:$A1000,Metadata!$B$2:$B1000))),L$1,"""")"),"")</f>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J546" s="34">
        <f>IFERROR(__xludf.DUMMYFUNCTION("LEN(REGEXREPLACE(XLOOKUP($A546,Cards!$A$2:$A1000,Cards!$H$2:$H1000,""""),"",\s"",""""))"),0.0)</f>
        <v>0</v>
      </c>
      <c r="K546" s="34" t="str">
        <f t="shared" si="1"/>
        <v>               </v>
      </c>
      <c r="L546" s="34" t="str">
        <f>IFERROR(__xludf.DUMMYFUNCTION("IF(IF(L$1="""","""",REGEXMATCH(LOWER($E546),XLOOKUP(L$1,Metadata!$A$2:$A1000,Metadata!$B$2:$B1000))),L$1,"""")"),"")</f>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J547" s="34"/>
      <c r="K547" s="34"/>
      <c r="L547" s="34" t="str">
        <f>IFERROR(__xludf.DUMMYFUNCTION("IF(IF(L$1="""","""",REGEXMATCH(LOWER($E547),XLOOKUP(L$1,Metadata!$A$2:$A1000,Metadata!$B$2:$B1000))),L$1,"""")"),"")</f>
        <v/>
      </c>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J548" s="34"/>
      <c r="K548" s="34"/>
      <c r="L548" s="34" t="str">
        <f>IFERROR(__xludf.DUMMYFUNCTION("IF(IF(L$1="""","""",REGEXMATCH(LOWER($E548),XLOOKUP(L$1,Metadata!$A$2:$A1000,Metadata!$B$2:$B1000))),L$1,"""")"),"")</f>
        <v/>
      </c>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J549" s="34"/>
      <c r="K549" s="34"/>
      <c r="L549" s="34" t="str">
        <f>IFERROR(__xludf.DUMMYFUNCTION("IF(IF(L$1="""","""",REGEXMATCH(LOWER($E549),XLOOKUP(L$1,Metadata!$A$2:$A1000,Metadata!$B$2:$B1000))),L$1,"""")"),"")</f>
        <v/>
      </c>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J550" s="34"/>
      <c r="K550" s="34"/>
      <c r="L550" s="34" t="str">
        <f>IFERROR(__xludf.DUMMYFUNCTION("IF(IF(L$1="""","""",REGEXMATCH(LOWER($E550),XLOOKUP(L$1,Metadata!$A$2:$A1000,Metadata!$B$2:$B1000))),L$1,"""")"),"")</f>
        <v/>
      </c>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J551" s="34"/>
      <c r="K551" s="34"/>
      <c r="L551" s="34" t="str">
        <f>IFERROR(__xludf.DUMMYFUNCTION("IF(IF(L$1="""","""",REGEXMATCH(LOWER($E551),XLOOKUP(L$1,Metadata!$A$2:$A1000,Metadata!$B$2:$B1000))),L$1,"""")"),"")</f>
        <v/>
      </c>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J552" s="34"/>
      <c r="K552" s="34"/>
      <c r="L552" s="34" t="str">
        <f>IFERROR(__xludf.DUMMYFUNCTION("IF(IF(L$1="""","""",REGEXMATCH(LOWER($E552),XLOOKUP(L$1,Metadata!$A$2:$A1000,Metadata!$B$2:$B1000))),L$1,"""")"),"")</f>
        <v/>
      </c>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J553" s="34"/>
      <c r="K553" s="34"/>
      <c r="L553" s="34" t="str">
        <f>IFERROR(__xludf.DUMMYFUNCTION("IF(IF(L$1="""","""",REGEXMATCH(LOWER($E553),XLOOKUP(L$1,Metadata!$A$2:$A1000,Metadata!$B$2:$B1000))),L$1,"""")"),"")</f>
        <v/>
      </c>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J554" s="34"/>
      <c r="K554" s="34"/>
      <c r="L554" s="34" t="str">
        <f>IFERROR(__xludf.DUMMYFUNCTION("IF(IF(L$1="""","""",REGEXMATCH(LOWER($E554),XLOOKUP(L$1,Metadata!$A$2:$A1000,Metadata!$B$2:$B1000))),L$1,"""")"),"")</f>
        <v/>
      </c>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J555" s="34"/>
      <c r="K555" s="34"/>
      <c r="L555" s="34" t="str">
        <f>IFERROR(__xludf.DUMMYFUNCTION("IF(IF(L$1="""","""",REGEXMATCH(LOWER($E555),XLOOKUP(L$1,Metadata!$A$2:$A1000,Metadata!$B$2:$B1000))),L$1,"""")"),"")</f>
        <v/>
      </c>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J556" s="34"/>
      <c r="K556" s="34"/>
      <c r="L556" s="34" t="str">
        <f>IFERROR(__xludf.DUMMYFUNCTION("IF(IF(L$1="""","""",REGEXMATCH(LOWER($E556),XLOOKUP(L$1,Metadata!$A$2:$A1000,Metadata!$B$2:$B1000))),L$1,"""")"),"")</f>
        <v/>
      </c>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J557" s="34"/>
      <c r="K557" s="34"/>
      <c r="L557" s="34" t="str">
        <f>IFERROR(__xludf.DUMMYFUNCTION("IF(IF(L$1="""","""",REGEXMATCH(LOWER($E557),XLOOKUP(L$1,Metadata!$A$2:$A1000,Metadata!$B$2:$B1000))),L$1,"""")"),"")</f>
        <v/>
      </c>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J558" s="34"/>
      <c r="K558" s="34"/>
      <c r="L558" s="34" t="str">
        <f>IFERROR(__xludf.DUMMYFUNCTION("IF(IF(L$1="""","""",REGEXMATCH(LOWER($E558),XLOOKUP(L$1,Metadata!$A$2:$A1000,Metadata!$B$2:$B1000))),L$1,"""")"),"")</f>
        <v/>
      </c>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J559" s="34"/>
      <c r="K559" s="34"/>
      <c r="L559" s="34" t="str">
        <f>IFERROR(__xludf.DUMMYFUNCTION("IF(IF(L$1="""","""",REGEXMATCH(LOWER($E559),XLOOKUP(L$1,Metadata!$A$2:$A1000,Metadata!$B$2:$B1000))),L$1,"""")"),"")</f>
        <v/>
      </c>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J560" s="34"/>
      <c r="K560" s="34"/>
      <c r="L560" s="34" t="str">
        <f>IFERROR(__xludf.DUMMYFUNCTION("IF(IF(L$1="""","""",REGEXMATCH(LOWER($E560),XLOOKUP(L$1,Metadata!$A$2:$A1000,Metadata!$B$2:$B1000))),L$1,"""")"),"")</f>
        <v/>
      </c>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J561" s="34"/>
      <c r="K561" s="34"/>
      <c r="L561" s="34" t="str">
        <f>IFERROR(__xludf.DUMMYFUNCTION("IF(IF(L$1="""","""",REGEXMATCH(LOWER($E561),XLOOKUP(L$1,Metadata!$A$2:$A1000,Metadata!$B$2:$B1000))),L$1,"""")"),"")</f>
        <v/>
      </c>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J562" s="34"/>
      <c r="K562" s="34"/>
      <c r="L562" s="34" t="str">
        <f>IFERROR(__xludf.DUMMYFUNCTION("IF(IF(L$1="""","""",REGEXMATCH(LOWER($E562),XLOOKUP(L$1,Metadata!$A$2:$A1000,Metadata!$B$2:$B1000))),L$1,"""")"),"")</f>
        <v/>
      </c>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J563" s="34"/>
      <c r="K563" s="34"/>
      <c r="L563" s="34" t="str">
        <f>IFERROR(__xludf.DUMMYFUNCTION("IF(IF(L$1="""","""",REGEXMATCH(LOWER($E563),XLOOKUP(L$1,Metadata!$A$2:$A1000,Metadata!$B$2:$B1000))),L$1,"""")"),"")</f>
        <v/>
      </c>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J564" s="34"/>
      <c r="K564" s="34"/>
      <c r="L564" s="34" t="str">
        <f>IFERROR(__xludf.DUMMYFUNCTION("IF(IF(L$1="""","""",REGEXMATCH(LOWER($E564),XLOOKUP(L$1,Metadata!$A$2:$A1000,Metadata!$B$2:$B1000))),L$1,"""")"),"")</f>
        <v/>
      </c>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J565" s="34"/>
      <c r="K565" s="34"/>
      <c r="L565" s="34" t="str">
        <f>IFERROR(__xludf.DUMMYFUNCTION("IF(IF(L$1="""","""",REGEXMATCH(LOWER($E565),XLOOKUP(L$1,Metadata!$A$2:$A1000,Metadata!$B$2:$B1000))),L$1,"""")"),"")</f>
        <v/>
      </c>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J566" s="34"/>
      <c r="K566" s="34"/>
      <c r="L566" s="34" t="str">
        <f>IFERROR(__xludf.DUMMYFUNCTION("IF(IF(L$1="""","""",REGEXMATCH(LOWER($E566),XLOOKUP(L$1,Metadata!$A$2:$A1000,Metadata!$B$2:$B1000))),L$1,"""")"),"")</f>
        <v/>
      </c>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J567" s="34"/>
      <c r="K567" s="34"/>
      <c r="L567" s="34" t="str">
        <f>IFERROR(__xludf.DUMMYFUNCTION("IF(IF(L$1="""","""",REGEXMATCH(LOWER($E567),XLOOKUP(L$1,Metadata!$A$2:$A1000,Metadata!$B$2:$B1000))),L$1,"""")"),"")</f>
        <v/>
      </c>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J568" s="34"/>
      <c r="K568" s="34"/>
      <c r="L568" s="34" t="str">
        <f>IFERROR(__xludf.DUMMYFUNCTION("IF(IF(L$1="""","""",REGEXMATCH(LOWER($E568),XLOOKUP(L$1,Metadata!$A$2:$A1000,Metadata!$B$2:$B1000))),L$1,"""")"),"")</f>
        <v/>
      </c>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J569" s="34"/>
      <c r="K569" s="34"/>
      <c r="L569" s="34" t="str">
        <f>IFERROR(__xludf.DUMMYFUNCTION("IF(IF(L$1="""","""",REGEXMATCH(LOWER($E569),XLOOKUP(L$1,Metadata!$A$2:$A1000,Metadata!$B$2:$B1000))),L$1,"""")"),"")</f>
        <v/>
      </c>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J570" s="34"/>
      <c r="K570" s="34"/>
      <c r="L570" s="34" t="str">
        <f>IFERROR(__xludf.DUMMYFUNCTION("IF(IF(L$1="""","""",REGEXMATCH(LOWER($E570),XLOOKUP(L$1,Metadata!$A$2:$A1000,Metadata!$B$2:$B1000))),L$1,"""")"),"")</f>
        <v/>
      </c>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J571" s="34"/>
      <c r="K571" s="34"/>
      <c r="L571" s="34" t="str">
        <f>IFERROR(__xludf.DUMMYFUNCTION("IF(IF(L$1="""","""",REGEXMATCH(LOWER($E571),XLOOKUP(L$1,Metadata!$A$2:$A1000,Metadata!$B$2:$B1000))),L$1,"""")"),"")</f>
        <v/>
      </c>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J572" s="34"/>
      <c r="K572" s="34"/>
      <c r="L572" s="34" t="str">
        <f>IFERROR(__xludf.DUMMYFUNCTION("IF(IF(L$1="""","""",REGEXMATCH(LOWER($E572),XLOOKUP(L$1,Metadata!$A$2:$A1000,Metadata!$B$2:$B1000))),L$1,"""")"),"")</f>
        <v/>
      </c>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J573" s="34"/>
      <c r="K573" s="34"/>
      <c r="L573" s="34" t="str">
        <f>IFERROR(__xludf.DUMMYFUNCTION("IF(IF(L$1="""","""",REGEXMATCH(LOWER($E573),XLOOKUP(L$1,Metadata!$A$2:$A1000,Metadata!$B$2:$B1000))),L$1,"""")"),"")</f>
        <v/>
      </c>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J574" s="34"/>
      <c r="K574" s="34"/>
      <c r="L574" s="34" t="str">
        <f>IFERROR(__xludf.DUMMYFUNCTION("IF(IF(L$1="""","""",REGEXMATCH(LOWER($E574),XLOOKUP(L$1,Metadata!$A$2:$A1000,Metadata!$B$2:$B1000))),L$1,"""")"),"")</f>
        <v/>
      </c>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J575" s="34"/>
      <c r="K575" s="34"/>
      <c r="L575" s="34" t="str">
        <f>IFERROR(__xludf.DUMMYFUNCTION("IF(IF(L$1="""","""",REGEXMATCH(LOWER($E575),XLOOKUP(L$1,Metadata!$A$2:$A1000,Metadata!$B$2:$B1000))),L$1,"""")"),"")</f>
        <v/>
      </c>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J576" s="34"/>
      <c r="K576" s="34"/>
      <c r="L576" s="34" t="str">
        <f>IFERROR(__xludf.DUMMYFUNCTION("IF(IF(L$1="""","""",REGEXMATCH(LOWER($E576),XLOOKUP(L$1,Metadata!$A$2:$A1000,Metadata!$B$2:$B1000))),L$1,"""")"),"")</f>
        <v/>
      </c>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J577" s="34"/>
      <c r="K577" s="34"/>
      <c r="L577" s="34" t="str">
        <f>IFERROR(__xludf.DUMMYFUNCTION("IF(IF(L$1="""","""",REGEXMATCH(LOWER($E577),XLOOKUP(L$1,Metadata!$A$2:$A1000,Metadata!$B$2:$B1000))),L$1,"""")"),"")</f>
        <v/>
      </c>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J578" s="34"/>
      <c r="K578" s="34"/>
      <c r="L578" s="34" t="str">
        <f>IFERROR(__xludf.DUMMYFUNCTION("IF(IF(L$1="""","""",REGEXMATCH(LOWER($E578),XLOOKUP(L$1,Metadata!$A$2:$A1000,Metadata!$B$2:$B1000))),L$1,"""")"),"")</f>
        <v/>
      </c>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J579" s="34"/>
      <c r="K579" s="34"/>
      <c r="L579" s="34" t="str">
        <f>IFERROR(__xludf.DUMMYFUNCTION("IF(IF(L$1="""","""",REGEXMATCH(LOWER($E579),XLOOKUP(L$1,Metadata!$A$2:$A1000,Metadata!$B$2:$B1000))),L$1,"""")"),"")</f>
        <v/>
      </c>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J580" s="34"/>
      <c r="K580" s="34"/>
      <c r="L580" s="34" t="str">
        <f>IFERROR(__xludf.DUMMYFUNCTION("IF(IF(L$1="""","""",REGEXMATCH(LOWER($E580),XLOOKUP(L$1,Metadata!$A$2:$A1000,Metadata!$B$2:$B1000))),L$1,"""")"),"")</f>
        <v/>
      </c>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J581" s="34"/>
      <c r="K581" s="34"/>
      <c r="L581" s="34" t="str">
        <f>IFERROR(__xludf.DUMMYFUNCTION("IF(IF(L$1="""","""",REGEXMATCH(LOWER($E581),XLOOKUP(L$1,Metadata!$A$2:$A1000,Metadata!$B$2:$B1000))),L$1,"""")"),"")</f>
        <v/>
      </c>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J582" s="34"/>
      <c r="K582" s="34"/>
      <c r="L582" s="34" t="str">
        <f>IFERROR(__xludf.DUMMYFUNCTION("IF(IF(L$1="""","""",REGEXMATCH(LOWER($E582),XLOOKUP(L$1,Metadata!$A$2:$A1000,Metadata!$B$2:$B1000))),L$1,"""")"),"")</f>
        <v/>
      </c>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J583" s="34"/>
      <c r="K583" s="34"/>
      <c r="L583" s="34" t="str">
        <f>IFERROR(__xludf.DUMMYFUNCTION("IF(IF(L$1="""","""",REGEXMATCH(LOWER($E583),XLOOKUP(L$1,Metadata!$A$2:$A1000,Metadata!$B$2:$B1000))),L$1,"""")"),"")</f>
        <v/>
      </c>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J584" s="34"/>
      <c r="K584" s="34"/>
      <c r="L584" s="34" t="str">
        <f>IFERROR(__xludf.DUMMYFUNCTION("IF(IF(L$1="""","""",REGEXMATCH(LOWER($E584),XLOOKUP(L$1,Metadata!$A$2:$A1000,Metadata!$B$2:$B1000))),L$1,"""")"),"")</f>
        <v/>
      </c>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J585" s="34"/>
      <c r="K585" s="34"/>
      <c r="L585" s="34" t="str">
        <f>IFERROR(__xludf.DUMMYFUNCTION("IF(IF(L$1="""","""",REGEXMATCH(LOWER($E585),XLOOKUP(L$1,Metadata!$A$2:$A1000,Metadata!$B$2:$B1000))),L$1,"""")"),"")</f>
        <v/>
      </c>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J586" s="34"/>
      <c r="K586" s="34"/>
      <c r="L586" s="34" t="str">
        <f>IFERROR(__xludf.DUMMYFUNCTION("IF(IF(L$1="""","""",REGEXMATCH(LOWER($E586),XLOOKUP(L$1,Metadata!$A$2:$A1000,Metadata!$B$2:$B1000))),L$1,"""")"),"")</f>
        <v/>
      </c>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J587" s="34"/>
      <c r="K587" s="34"/>
      <c r="L587" s="34" t="str">
        <f>IFERROR(__xludf.DUMMYFUNCTION("IF(IF(L$1="""","""",REGEXMATCH(LOWER($E587),XLOOKUP(L$1,Metadata!$A$2:$A1000,Metadata!$B$2:$B1000))),L$1,"""")"),"")</f>
        <v/>
      </c>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J588" s="34"/>
      <c r="K588" s="34"/>
      <c r="L588" s="34" t="str">
        <f>IFERROR(__xludf.DUMMYFUNCTION("IF(IF(L$1="""","""",REGEXMATCH(LOWER($E588),XLOOKUP(L$1,Metadata!$A$2:$A1000,Metadata!$B$2:$B1000))),L$1,"""")"),"")</f>
        <v/>
      </c>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J589" s="34"/>
      <c r="K589" s="34"/>
      <c r="L589" s="34" t="str">
        <f>IFERROR(__xludf.DUMMYFUNCTION("IF(IF(L$1="""","""",REGEXMATCH(LOWER($E589),XLOOKUP(L$1,Metadata!$A$2:$A1000,Metadata!$B$2:$B1000))),L$1,"""")"),"")</f>
        <v/>
      </c>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J590" s="34"/>
      <c r="K590" s="34"/>
      <c r="L590" s="34" t="str">
        <f>IFERROR(__xludf.DUMMYFUNCTION("IF(IF(L$1="""","""",REGEXMATCH(LOWER($E590),XLOOKUP(L$1,Metadata!$A$2:$A1000,Metadata!$B$2:$B1000))),L$1,"""")"),"")</f>
        <v/>
      </c>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J591" s="34"/>
      <c r="K591" s="34"/>
      <c r="L591" s="34" t="str">
        <f>IFERROR(__xludf.DUMMYFUNCTION("IF(IF(L$1="""","""",REGEXMATCH(LOWER($E591),XLOOKUP(L$1,Metadata!$A$2:$A1000,Metadata!$B$2:$B1000))),L$1,"""")"),"")</f>
        <v/>
      </c>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J592" s="34"/>
      <c r="K592" s="34"/>
      <c r="L592" s="34" t="str">
        <f>IFERROR(__xludf.DUMMYFUNCTION("IF(IF(L$1="""","""",REGEXMATCH(LOWER($E592),XLOOKUP(L$1,Metadata!$A$2:$A1000,Metadata!$B$2:$B1000))),L$1,"""")"),"")</f>
        <v/>
      </c>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J593" s="34"/>
      <c r="K593" s="34"/>
      <c r="L593" s="34" t="str">
        <f>IFERROR(__xludf.DUMMYFUNCTION("IF(IF(L$1="""","""",REGEXMATCH(LOWER($E593),XLOOKUP(L$1,Metadata!$A$2:$A1000,Metadata!$B$2:$B1000))),L$1,"""")"),"")</f>
        <v/>
      </c>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J594" s="34"/>
      <c r="K594" s="34"/>
      <c r="L594" s="34" t="str">
        <f>IFERROR(__xludf.DUMMYFUNCTION("IF(IF(L$1="""","""",REGEXMATCH(LOWER($E594),XLOOKUP(L$1,Metadata!$A$2:$A1000,Metadata!$B$2:$B1000))),L$1,"""")"),"")</f>
        <v/>
      </c>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J595" s="34"/>
      <c r="K595" s="34"/>
      <c r="L595" s="34" t="str">
        <f>IFERROR(__xludf.DUMMYFUNCTION("IF(IF(L$1="""","""",REGEXMATCH(LOWER($E595),XLOOKUP(L$1,Metadata!$A$2:$A1000,Metadata!$B$2:$B1000))),L$1,"""")"),"")</f>
        <v/>
      </c>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J596" s="34"/>
      <c r="K596" s="34"/>
      <c r="L596" s="34" t="str">
        <f>IFERROR(__xludf.DUMMYFUNCTION("IF(IF(L$1="""","""",REGEXMATCH(LOWER($E596),XLOOKUP(L$1,Metadata!$A$2:$A1000,Metadata!$B$2:$B1000))),L$1,"""")"),"")</f>
        <v/>
      </c>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J597" s="34"/>
      <c r="K597" s="34"/>
      <c r="L597" s="34" t="str">
        <f>IFERROR(__xludf.DUMMYFUNCTION("IF(IF(L$1="""","""",REGEXMATCH(LOWER($E597),XLOOKUP(L$1,Metadata!$A$2:$A1000,Metadata!$B$2:$B1000))),L$1,"""")"),"")</f>
        <v/>
      </c>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J598" s="34"/>
      <c r="K598" s="34"/>
      <c r="L598" s="34" t="str">
        <f>IFERROR(__xludf.DUMMYFUNCTION("IF(IF(L$1="""","""",REGEXMATCH(LOWER($E598),XLOOKUP(L$1,Metadata!$A$2:$A1000,Metadata!$B$2:$B1000))),L$1,"""")"),"")</f>
        <v/>
      </c>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J599" s="34"/>
      <c r="K599" s="34"/>
      <c r="L599" s="34" t="str">
        <f>IFERROR(__xludf.DUMMYFUNCTION("IF(IF(L$1="""","""",REGEXMATCH(LOWER($E599),XLOOKUP(L$1,Metadata!$A$2:$A1000,Metadata!$B$2:$B1000))),L$1,"""")"),"")</f>
        <v/>
      </c>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J600" s="34"/>
      <c r="K600" s="34"/>
      <c r="L600" s="34" t="str">
        <f>IFERROR(__xludf.DUMMYFUNCTION("IF(IF(L$1="""","""",REGEXMATCH(LOWER($E600),XLOOKUP(L$1,Metadata!$A$2:$A1000,Metadata!$B$2:$B1000))),L$1,"""")"),"")</f>
        <v/>
      </c>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J601" s="34"/>
      <c r="K601" s="34"/>
      <c r="L601" s="34" t="str">
        <f>IFERROR(__xludf.DUMMYFUNCTION("IF(IF(L$1="""","""",REGEXMATCH(LOWER($E601),XLOOKUP(L$1,Metadata!$A$2:$A1000,Metadata!$B$2:$B1000))),L$1,"""")"),"")</f>
        <v/>
      </c>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J602" s="34"/>
      <c r="K602" s="34"/>
      <c r="L602" s="34" t="str">
        <f>IFERROR(__xludf.DUMMYFUNCTION("IF(IF(L$1="""","""",REGEXMATCH(LOWER($E602),XLOOKUP(L$1,Metadata!$A$2:$A1000,Metadata!$B$2:$B1000))),L$1,"""")"),"")</f>
        <v/>
      </c>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J603" s="34"/>
      <c r="K603" s="34"/>
      <c r="L603" s="34" t="str">
        <f>IFERROR(__xludf.DUMMYFUNCTION("IF(IF(L$1="""","""",REGEXMATCH(LOWER($E603),XLOOKUP(L$1,Metadata!$A$2:$A1000,Metadata!$B$2:$B1000))),L$1,"""")"),"")</f>
        <v/>
      </c>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J604" s="34"/>
      <c r="K604" s="34"/>
      <c r="L604" s="34" t="str">
        <f>IFERROR(__xludf.DUMMYFUNCTION("IF(IF(L$1="""","""",REGEXMATCH(LOWER($E604),XLOOKUP(L$1,Metadata!$A$2:$A1000,Metadata!$B$2:$B1000))),L$1,"""")"),"")</f>
        <v/>
      </c>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J605" s="34"/>
      <c r="K605" s="34"/>
      <c r="L605" s="34" t="str">
        <f>IFERROR(__xludf.DUMMYFUNCTION("IF(IF(L$1="""","""",REGEXMATCH(LOWER($E605),XLOOKUP(L$1,Metadata!$A$2:$A1000,Metadata!$B$2:$B1000))),L$1,"""")"),"")</f>
        <v/>
      </c>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J606" s="34"/>
      <c r="K606" s="34"/>
      <c r="L606" s="34" t="str">
        <f>IFERROR(__xludf.DUMMYFUNCTION("IF(IF(L$1="""","""",REGEXMATCH(LOWER($E606),XLOOKUP(L$1,Metadata!$A$2:$A1000,Metadata!$B$2:$B1000))),L$1,"""")"),"")</f>
        <v/>
      </c>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J607" s="34"/>
      <c r="K607" s="34"/>
      <c r="L607" s="34" t="str">
        <f>IFERROR(__xludf.DUMMYFUNCTION("IF(IF(L$1="""","""",REGEXMATCH(LOWER($E607),XLOOKUP(L$1,Metadata!$A$2:$A1000,Metadata!$B$2:$B1000))),L$1,"""")"),"")</f>
        <v/>
      </c>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J608" s="34"/>
      <c r="K608" s="34"/>
      <c r="L608" s="34" t="str">
        <f>IFERROR(__xludf.DUMMYFUNCTION("IF(IF(L$1="""","""",REGEXMATCH(LOWER($E608),XLOOKUP(L$1,Metadata!$A$2:$A1000,Metadata!$B$2:$B1000))),L$1,"""")"),"")</f>
        <v/>
      </c>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J609" s="34"/>
      <c r="K609" s="34"/>
      <c r="L609" s="34" t="str">
        <f>IFERROR(__xludf.DUMMYFUNCTION("IF(IF(L$1="""","""",REGEXMATCH(LOWER($E609),XLOOKUP(L$1,Metadata!$A$2:$A1000,Metadata!$B$2:$B1000))),L$1,"""")"),"")</f>
        <v/>
      </c>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J610" s="34"/>
      <c r="K610" s="34"/>
      <c r="L610" s="34" t="str">
        <f>IFERROR(__xludf.DUMMYFUNCTION("IF(IF(L$1="""","""",REGEXMATCH(LOWER($E610),XLOOKUP(L$1,Metadata!$A$2:$A1000,Metadata!$B$2:$B1000))),L$1,"""")"),"")</f>
        <v/>
      </c>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J611" s="34"/>
      <c r="K611" s="34"/>
      <c r="L611" s="34" t="str">
        <f>IFERROR(__xludf.DUMMYFUNCTION("IF(IF(L$1="""","""",REGEXMATCH(LOWER($E611),XLOOKUP(L$1,Metadata!$A$2:$A1000,Metadata!$B$2:$B1000))),L$1,"""")"),"")</f>
        <v/>
      </c>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J612" s="34"/>
      <c r="K612" s="34"/>
      <c r="L612" s="34" t="str">
        <f>IFERROR(__xludf.DUMMYFUNCTION("IF(IF(L$1="""","""",REGEXMATCH(LOWER($E612),XLOOKUP(L$1,Metadata!$A$2:$A1000,Metadata!$B$2:$B1000))),L$1,"""")"),"")</f>
        <v/>
      </c>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J613" s="34"/>
      <c r="K613" s="34"/>
      <c r="L613" s="34" t="str">
        <f>IFERROR(__xludf.DUMMYFUNCTION("IF(IF(L$1="""","""",REGEXMATCH(LOWER($E613),XLOOKUP(L$1,Metadata!$A$2:$A1000,Metadata!$B$2:$B1000))),L$1,"""")"),"")</f>
        <v/>
      </c>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J614" s="34"/>
      <c r="K614" s="34"/>
      <c r="L614" s="34" t="str">
        <f>IFERROR(__xludf.DUMMYFUNCTION("IF(IF(L$1="""","""",REGEXMATCH(LOWER($E614),XLOOKUP(L$1,Metadata!$A$2:$A1000,Metadata!$B$2:$B1000))),L$1,"""")"),"")</f>
        <v/>
      </c>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J615" s="34"/>
      <c r="K615" s="34"/>
      <c r="L615" s="34" t="str">
        <f>IFERROR(__xludf.DUMMYFUNCTION("IF(IF(L$1="""","""",REGEXMATCH(LOWER($E615),XLOOKUP(L$1,Metadata!$A$2:$A1000,Metadata!$B$2:$B1000))),L$1,"""")"),"")</f>
        <v/>
      </c>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J616" s="34"/>
      <c r="K616" s="34"/>
      <c r="L616" s="34" t="str">
        <f>IFERROR(__xludf.DUMMYFUNCTION("IF(IF(L$1="""","""",REGEXMATCH(LOWER($E616),XLOOKUP(L$1,Metadata!$A$2:$A1000,Metadata!$B$2:$B1000))),L$1,"""")"),"")</f>
        <v/>
      </c>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J617" s="34"/>
      <c r="K617" s="34"/>
      <c r="L617" s="34" t="str">
        <f>IFERROR(__xludf.DUMMYFUNCTION("IF(IF(L$1="""","""",REGEXMATCH(LOWER($E617),XLOOKUP(L$1,Metadata!$A$2:$A1000,Metadata!$B$2:$B1000))),L$1,"""")"),"")</f>
        <v/>
      </c>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J618" s="34"/>
      <c r="K618" s="34"/>
      <c r="L618" s="34" t="str">
        <f>IFERROR(__xludf.DUMMYFUNCTION("IF(IF(L$1="""","""",REGEXMATCH(LOWER($E618),XLOOKUP(L$1,Metadata!$A$2:$A1000,Metadata!$B$2:$B1000))),L$1,"""")"),"")</f>
        <v/>
      </c>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J619" s="34"/>
      <c r="K619" s="34"/>
      <c r="L619" s="34" t="str">
        <f>IFERROR(__xludf.DUMMYFUNCTION("IF(IF(L$1="""","""",REGEXMATCH(LOWER($E619),XLOOKUP(L$1,Metadata!$A$2:$A1000,Metadata!$B$2:$B1000))),L$1,"""")"),"")</f>
        <v/>
      </c>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J620" s="34"/>
      <c r="K620" s="34"/>
      <c r="L620" s="34" t="str">
        <f>IFERROR(__xludf.DUMMYFUNCTION("IF(IF(L$1="""","""",REGEXMATCH(LOWER($E620),XLOOKUP(L$1,Metadata!$A$2:$A1000,Metadata!$B$2:$B1000))),L$1,"""")"),"")</f>
        <v/>
      </c>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J621" s="34"/>
      <c r="K621" s="34"/>
      <c r="L621" s="34" t="str">
        <f>IFERROR(__xludf.DUMMYFUNCTION("IF(IF(L$1="""","""",REGEXMATCH(LOWER($E621),XLOOKUP(L$1,Metadata!$A$2:$A1000,Metadata!$B$2:$B1000))),L$1,"""")"),"")</f>
        <v/>
      </c>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J622" s="34"/>
      <c r="K622" s="34"/>
      <c r="L622" s="34" t="str">
        <f>IFERROR(__xludf.DUMMYFUNCTION("IF(IF(L$1="""","""",REGEXMATCH(LOWER($E622),XLOOKUP(L$1,Metadata!$A$2:$A1000,Metadata!$B$2:$B1000))),L$1,"""")"),"")</f>
        <v/>
      </c>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J623" s="34"/>
      <c r="K623" s="34"/>
      <c r="L623" s="34" t="str">
        <f>IFERROR(__xludf.DUMMYFUNCTION("IF(IF(L$1="""","""",REGEXMATCH(LOWER($E623),XLOOKUP(L$1,Metadata!$A$2:$A1000,Metadata!$B$2:$B1000))),L$1,"""")"),"")</f>
        <v/>
      </c>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J624" s="34"/>
      <c r="K624" s="34"/>
      <c r="L624" s="34" t="str">
        <f>IFERROR(__xludf.DUMMYFUNCTION("IF(IF(L$1="""","""",REGEXMATCH(LOWER($E624),XLOOKUP(L$1,Metadata!$A$2:$A1000,Metadata!$B$2:$B1000))),L$1,"""")"),"")</f>
        <v/>
      </c>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J625" s="34"/>
      <c r="K625" s="34"/>
      <c r="L625" s="34" t="str">
        <f>IFERROR(__xludf.DUMMYFUNCTION("IF(IF(L$1="""","""",REGEXMATCH(LOWER($E625),XLOOKUP(L$1,Metadata!$A$2:$A1000,Metadata!$B$2:$B1000))),L$1,"""")"),"")</f>
        <v/>
      </c>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J626" s="34"/>
      <c r="K626" s="34"/>
      <c r="L626" s="34" t="str">
        <f>IFERROR(__xludf.DUMMYFUNCTION("IF(IF(L$1="""","""",REGEXMATCH(LOWER($E626),XLOOKUP(L$1,Metadata!$A$2:$A1000,Metadata!$B$2:$B1000))),L$1,"""")"),"")</f>
        <v/>
      </c>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J627" s="34"/>
      <c r="K627" s="34"/>
      <c r="L627" s="34" t="str">
        <f>IFERROR(__xludf.DUMMYFUNCTION("IF(IF(L$1="""","""",REGEXMATCH(LOWER($E627),XLOOKUP(L$1,Metadata!$A$2:$A1000,Metadata!$B$2:$B1000))),L$1,"""")"),"")</f>
        <v/>
      </c>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J628" s="34"/>
      <c r="K628" s="34"/>
      <c r="L628" s="34" t="str">
        <f>IFERROR(__xludf.DUMMYFUNCTION("IF(IF(L$1="""","""",REGEXMATCH(LOWER($E628),XLOOKUP(L$1,Metadata!$A$2:$A1000,Metadata!$B$2:$B1000))),L$1,"""")"),"")</f>
        <v/>
      </c>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J629" s="34"/>
      <c r="K629" s="34"/>
      <c r="L629" s="34" t="str">
        <f>IFERROR(__xludf.DUMMYFUNCTION("IF(IF(L$1="""","""",REGEXMATCH(LOWER($E629),XLOOKUP(L$1,Metadata!$A$2:$A1000,Metadata!$B$2:$B1000))),L$1,"""")"),"")</f>
        <v/>
      </c>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J630" s="34"/>
      <c r="K630" s="34"/>
      <c r="L630" s="34" t="str">
        <f>IFERROR(__xludf.DUMMYFUNCTION("IF(IF(L$1="""","""",REGEXMATCH(LOWER($E630),XLOOKUP(L$1,Metadata!$A$2:$A1000,Metadata!$B$2:$B1000))),L$1,"""")"),"")</f>
        <v/>
      </c>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J631" s="34"/>
      <c r="K631" s="34"/>
      <c r="L631" s="34" t="str">
        <f>IFERROR(__xludf.DUMMYFUNCTION("IF(IF(L$1="""","""",REGEXMATCH(LOWER($E631),XLOOKUP(L$1,Metadata!$A$2:$A1000,Metadata!$B$2:$B1000))),L$1,"""")"),"")</f>
        <v/>
      </c>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J632" s="34"/>
      <c r="K632" s="34"/>
      <c r="L632" s="34" t="str">
        <f>IFERROR(__xludf.DUMMYFUNCTION("IF(IF(L$1="""","""",REGEXMATCH(LOWER($E632),XLOOKUP(L$1,Metadata!$A$2:$A1000,Metadata!$B$2:$B1000))),L$1,"""")"),"")</f>
        <v/>
      </c>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J633" s="34"/>
      <c r="K633" s="34"/>
      <c r="L633" s="34" t="str">
        <f>IFERROR(__xludf.DUMMYFUNCTION("IF(IF(L$1="""","""",REGEXMATCH(LOWER($E633),XLOOKUP(L$1,Metadata!$A$2:$A1000,Metadata!$B$2:$B1000))),L$1,"""")"),"")</f>
        <v/>
      </c>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J634" s="34"/>
      <c r="K634" s="34"/>
      <c r="L634" s="34" t="str">
        <f>IFERROR(__xludf.DUMMYFUNCTION("IF(IF(L$1="""","""",REGEXMATCH(LOWER($E634),XLOOKUP(L$1,Metadata!$A$2:$A1000,Metadata!$B$2:$B1000))),L$1,"""")"),"")</f>
        <v/>
      </c>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J635" s="34"/>
      <c r="K635" s="34"/>
      <c r="L635" s="34" t="str">
        <f>IFERROR(__xludf.DUMMYFUNCTION("IF(IF(L$1="""","""",REGEXMATCH(LOWER($E635),XLOOKUP(L$1,Metadata!$A$2:$A1000,Metadata!$B$2:$B1000))),L$1,"""")"),"")</f>
        <v/>
      </c>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J636" s="34"/>
      <c r="K636" s="34"/>
      <c r="L636" s="34" t="str">
        <f>IFERROR(__xludf.DUMMYFUNCTION("IF(IF(L$1="""","""",REGEXMATCH(LOWER($E636),XLOOKUP(L$1,Metadata!$A$2:$A1000,Metadata!$B$2:$B1000))),L$1,"""")"),"")</f>
        <v/>
      </c>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J637" s="34"/>
      <c r="K637" s="34"/>
      <c r="L637" s="34" t="str">
        <f>IFERROR(__xludf.DUMMYFUNCTION("IF(IF(L$1="""","""",REGEXMATCH(LOWER($E637),XLOOKUP(L$1,Metadata!$A$2:$A1000,Metadata!$B$2:$B1000))),L$1,"""")"),"")</f>
        <v/>
      </c>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J638" s="34"/>
      <c r="K638" s="34"/>
      <c r="L638" s="34" t="str">
        <f>IFERROR(__xludf.DUMMYFUNCTION("IF(IF(L$1="""","""",REGEXMATCH(LOWER($E638),XLOOKUP(L$1,Metadata!$A$2:$A1000,Metadata!$B$2:$B1000))),L$1,"""")"),"")</f>
        <v/>
      </c>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J639" s="34"/>
      <c r="K639" s="34"/>
      <c r="L639" s="34" t="str">
        <f>IFERROR(__xludf.DUMMYFUNCTION("IF(IF(L$1="""","""",REGEXMATCH(LOWER($E639),XLOOKUP(L$1,Metadata!$A$2:$A1000,Metadata!$B$2:$B1000))),L$1,"""")"),"")</f>
        <v/>
      </c>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J640" s="34"/>
      <c r="K640" s="34"/>
      <c r="L640" s="34" t="str">
        <f>IFERROR(__xludf.DUMMYFUNCTION("IF(IF(L$1="""","""",REGEXMATCH(LOWER($E640),XLOOKUP(L$1,Metadata!$A$2:$A1000,Metadata!$B$2:$B1000))),L$1,"""")"),"")</f>
        <v/>
      </c>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J641" s="34"/>
      <c r="K641" s="34"/>
      <c r="L641" s="34" t="str">
        <f>IFERROR(__xludf.DUMMYFUNCTION("IF(IF(L$1="""","""",REGEXMATCH(LOWER($E641),XLOOKUP(L$1,Metadata!$A$2:$A1000,Metadata!$B$2:$B1000))),L$1,"""")"),"")</f>
        <v/>
      </c>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J642" s="34"/>
      <c r="K642" s="34"/>
      <c r="L642" s="34" t="str">
        <f>IFERROR(__xludf.DUMMYFUNCTION("IF(IF(L$1="""","""",REGEXMATCH(LOWER($E642),XLOOKUP(L$1,Metadata!$A$2:$A1000,Metadata!$B$2:$B1000))),L$1,"""")"),"")</f>
        <v/>
      </c>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J643" s="34"/>
      <c r="K643" s="34"/>
      <c r="L643" s="34" t="str">
        <f>IFERROR(__xludf.DUMMYFUNCTION("IF(IF(L$1="""","""",REGEXMATCH(LOWER($E643),XLOOKUP(L$1,Metadata!$A$2:$A1000,Metadata!$B$2:$B1000))),L$1,"""")"),"")</f>
        <v/>
      </c>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J644" s="34"/>
      <c r="K644" s="34"/>
      <c r="L644" s="34" t="str">
        <f>IFERROR(__xludf.DUMMYFUNCTION("IF(IF(L$1="""","""",REGEXMATCH(LOWER($E644),XLOOKUP(L$1,Metadata!$A$2:$A1000,Metadata!$B$2:$B1000))),L$1,"""")"),"")</f>
        <v/>
      </c>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J645" s="34"/>
      <c r="K645" s="34"/>
      <c r="L645" s="34" t="str">
        <f>IFERROR(__xludf.DUMMYFUNCTION("IF(IF(L$1="""","""",REGEXMATCH(LOWER($E645),XLOOKUP(L$1,Metadata!$A$2:$A1000,Metadata!$B$2:$B1000))),L$1,"""")"),"")</f>
        <v/>
      </c>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J646" s="34"/>
      <c r="K646" s="34"/>
      <c r="L646" s="34" t="str">
        <f>IFERROR(__xludf.DUMMYFUNCTION("IF(IF(L$1="""","""",REGEXMATCH(LOWER($E646),XLOOKUP(L$1,Metadata!$A$2:$A1000,Metadata!$B$2:$B1000))),L$1,"""")"),"")</f>
        <v/>
      </c>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J647" s="34"/>
      <c r="K647" s="34"/>
      <c r="L647" s="34" t="str">
        <f>IFERROR(__xludf.DUMMYFUNCTION("IF(IF(L$1="""","""",REGEXMATCH(LOWER($E647),XLOOKUP(L$1,Metadata!$A$2:$A1000,Metadata!$B$2:$B1000))),L$1,"""")"),"")</f>
        <v/>
      </c>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J648" s="34"/>
      <c r="K648" s="34"/>
      <c r="L648" s="34" t="str">
        <f>IFERROR(__xludf.DUMMYFUNCTION("IF(IF(L$1="""","""",REGEXMATCH(LOWER($E648),XLOOKUP(L$1,Metadata!$A$2:$A1000,Metadata!$B$2:$B1000))),L$1,"""")"),"")</f>
        <v/>
      </c>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J649" s="34"/>
      <c r="K649" s="34"/>
      <c r="L649" s="34" t="str">
        <f>IFERROR(__xludf.DUMMYFUNCTION("IF(IF(L$1="""","""",REGEXMATCH(LOWER($E649),XLOOKUP(L$1,Metadata!$A$2:$A1000,Metadata!$B$2:$B1000))),L$1,"""")"),"")</f>
        <v/>
      </c>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J650" s="34"/>
      <c r="K650" s="34"/>
      <c r="L650" s="34" t="str">
        <f>IFERROR(__xludf.DUMMYFUNCTION("IF(IF(L$1="""","""",REGEXMATCH(LOWER($E650),XLOOKUP(L$1,Metadata!$A$2:$A1000,Metadata!$B$2:$B1000))),L$1,"""")"),"")</f>
        <v/>
      </c>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J651" s="34"/>
      <c r="K651" s="34"/>
      <c r="L651" s="34" t="str">
        <f>IFERROR(__xludf.DUMMYFUNCTION("IF(IF(L$1="""","""",REGEXMATCH(LOWER($E651),XLOOKUP(L$1,Metadata!$A$2:$A1000,Metadata!$B$2:$B1000))),L$1,"""")"),"")</f>
        <v/>
      </c>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J652" s="34"/>
      <c r="K652" s="34"/>
      <c r="L652" s="34" t="str">
        <f>IFERROR(__xludf.DUMMYFUNCTION("IF(IF(L$1="""","""",REGEXMATCH(LOWER($E652),XLOOKUP(L$1,Metadata!$A$2:$A1000,Metadata!$B$2:$B1000))),L$1,"""")"),"")</f>
        <v/>
      </c>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J653" s="34"/>
      <c r="K653" s="34"/>
      <c r="L653" s="34" t="str">
        <f>IFERROR(__xludf.DUMMYFUNCTION("IF(IF(L$1="""","""",REGEXMATCH(LOWER($E653),XLOOKUP(L$1,Metadata!$A$2:$A1000,Metadata!$B$2:$B1000))),L$1,"""")"),"")</f>
        <v/>
      </c>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J654" s="34"/>
      <c r="K654" s="34"/>
      <c r="L654" s="34" t="str">
        <f>IFERROR(__xludf.DUMMYFUNCTION("IF(IF(L$1="""","""",REGEXMATCH(LOWER($E654),XLOOKUP(L$1,Metadata!$A$2:$A1000,Metadata!$B$2:$B1000))),L$1,"""")"),"")</f>
        <v/>
      </c>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J655" s="34"/>
      <c r="K655" s="34"/>
      <c r="L655" s="34" t="str">
        <f>IFERROR(__xludf.DUMMYFUNCTION("IF(IF(L$1="""","""",REGEXMATCH(LOWER($E655),XLOOKUP(L$1,Metadata!$A$2:$A1000,Metadata!$B$2:$B1000))),L$1,"""")"),"")</f>
        <v/>
      </c>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J656" s="34"/>
      <c r="K656" s="34"/>
      <c r="L656" s="34" t="str">
        <f>IFERROR(__xludf.DUMMYFUNCTION("IF(IF(L$1="""","""",REGEXMATCH(LOWER($E656),XLOOKUP(L$1,Metadata!$A$2:$A1000,Metadata!$B$2:$B1000))),L$1,"""")"),"")</f>
        <v/>
      </c>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J657" s="34"/>
      <c r="K657" s="34"/>
      <c r="L657" s="34" t="str">
        <f>IFERROR(__xludf.DUMMYFUNCTION("IF(IF(L$1="""","""",REGEXMATCH(LOWER($E657),XLOOKUP(L$1,Metadata!$A$2:$A1000,Metadata!$B$2:$B1000))),L$1,"""")"),"")</f>
        <v/>
      </c>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J658" s="34"/>
      <c r="K658" s="34"/>
      <c r="L658" s="34" t="str">
        <f>IFERROR(__xludf.DUMMYFUNCTION("IF(IF(L$1="""","""",REGEXMATCH(LOWER($E658),XLOOKUP(L$1,Metadata!$A$2:$A1000,Metadata!$B$2:$B1000))),L$1,"""")"),"")</f>
        <v/>
      </c>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J659" s="34"/>
      <c r="K659" s="34"/>
      <c r="L659" s="34" t="str">
        <f>IFERROR(__xludf.DUMMYFUNCTION("IF(IF(L$1="""","""",REGEXMATCH(LOWER($E659),XLOOKUP(L$1,Metadata!$A$2:$A1000,Metadata!$B$2:$B1000))),L$1,"""")"),"")</f>
        <v/>
      </c>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J660" s="34"/>
      <c r="K660" s="34"/>
      <c r="L660" s="34" t="str">
        <f>IFERROR(__xludf.DUMMYFUNCTION("IF(IF(L$1="""","""",REGEXMATCH(LOWER($E660),XLOOKUP(L$1,Metadata!$A$2:$A1000,Metadata!$B$2:$B1000))),L$1,"""")"),"")</f>
        <v/>
      </c>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J661" s="34"/>
      <c r="K661" s="34"/>
      <c r="L661" s="34" t="str">
        <f>IFERROR(__xludf.DUMMYFUNCTION("IF(IF(L$1="""","""",REGEXMATCH(LOWER($E661),XLOOKUP(L$1,Metadata!$A$2:$A1000,Metadata!$B$2:$B1000))),L$1,"""")"),"")</f>
        <v/>
      </c>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J662" s="34"/>
      <c r="K662" s="34"/>
      <c r="L662" s="34" t="str">
        <f>IFERROR(__xludf.DUMMYFUNCTION("IF(IF(L$1="""","""",REGEXMATCH(LOWER($E662),XLOOKUP(L$1,Metadata!$A$2:$A1000,Metadata!$B$2:$B1000))),L$1,"""")"),"")</f>
        <v/>
      </c>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J663" s="34"/>
      <c r="K663" s="34"/>
      <c r="L663" s="34" t="str">
        <f>IFERROR(__xludf.DUMMYFUNCTION("IF(IF(L$1="""","""",REGEXMATCH(LOWER($E663),XLOOKUP(L$1,Metadata!$A$2:$A1000,Metadata!$B$2:$B1000))),L$1,"""")"),"")</f>
        <v/>
      </c>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J664" s="34"/>
      <c r="K664" s="34"/>
      <c r="L664" s="34" t="str">
        <f>IFERROR(__xludf.DUMMYFUNCTION("IF(IF(L$1="""","""",REGEXMATCH(LOWER($E664),XLOOKUP(L$1,Metadata!$A$2:$A1000,Metadata!$B$2:$B1000))),L$1,"""")"),"")</f>
        <v/>
      </c>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J665" s="34"/>
      <c r="K665" s="34"/>
      <c r="L665" s="34" t="str">
        <f>IFERROR(__xludf.DUMMYFUNCTION("IF(IF(L$1="""","""",REGEXMATCH(LOWER($E665),XLOOKUP(L$1,Metadata!$A$2:$A1000,Metadata!$B$2:$B1000))),L$1,"""")"),"")</f>
        <v/>
      </c>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J666" s="34"/>
      <c r="K666" s="34"/>
      <c r="L666" s="34" t="str">
        <f>IFERROR(__xludf.DUMMYFUNCTION("IF(IF(L$1="""","""",REGEXMATCH(LOWER($E666),XLOOKUP(L$1,Metadata!$A$2:$A1000,Metadata!$B$2:$B1000))),L$1,"""")"),"")</f>
        <v/>
      </c>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J667" s="34"/>
      <c r="K667" s="34"/>
      <c r="L667" s="34" t="str">
        <f>IFERROR(__xludf.DUMMYFUNCTION("IF(IF(L$1="""","""",REGEXMATCH(LOWER($E667),XLOOKUP(L$1,Metadata!$A$2:$A1000,Metadata!$B$2:$B1000))),L$1,"""")"),"")</f>
        <v/>
      </c>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J668" s="34"/>
      <c r="K668" s="34"/>
      <c r="L668" s="34"/>
    </row>
    <row r="669">
      <c r="A669" s="34"/>
      <c r="B669" s="34"/>
      <c r="C669" s="34"/>
      <c r="D669" s="34"/>
      <c r="E669" s="34"/>
      <c r="F669" s="34"/>
      <c r="G669" s="34"/>
      <c r="H669" s="34"/>
      <c r="I669" s="34"/>
      <c r="J669" s="34"/>
      <c r="K669" s="34"/>
      <c r="L669" s="34"/>
    </row>
    <row r="670">
      <c r="A670" s="34"/>
      <c r="B670" s="34"/>
      <c r="C670" s="34"/>
      <c r="D670" s="34"/>
      <c r="E670" s="34"/>
      <c r="F670" s="34"/>
      <c r="G670" s="34"/>
      <c r="H670" s="34"/>
      <c r="I670" s="34"/>
      <c r="J670" s="34"/>
      <c r="K670" s="34"/>
      <c r="L670" s="34"/>
    </row>
    <row r="671">
      <c r="A671" s="34"/>
      <c r="B671" s="34"/>
      <c r="C671" s="34"/>
      <c r="D671" s="34"/>
      <c r="E671" s="34"/>
      <c r="F671" s="34"/>
      <c r="G671" s="34"/>
      <c r="H671" s="34"/>
      <c r="I671" s="34"/>
      <c r="J671" s="34"/>
      <c r="K671" s="34"/>
      <c r="L671" s="34"/>
    </row>
    <row r="672">
      <c r="A672" s="34"/>
      <c r="B672" s="34"/>
      <c r="C672" s="34"/>
      <c r="D672" s="34"/>
      <c r="E672" s="34"/>
      <c r="F672" s="34"/>
      <c r="G672" s="34"/>
      <c r="H672" s="34"/>
      <c r="I672" s="34"/>
      <c r="J672" s="34"/>
      <c r="K672" s="34"/>
      <c r="L672" s="34"/>
    </row>
    <row r="673">
      <c r="A673" s="34"/>
      <c r="B673" s="34"/>
      <c r="C673" s="34"/>
      <c r="D673" s="34"/>
      <c r="E673" s="34"/>
      <c r="F673" s="34"/>
      <c r="G673" s="34"/>
      <c r="H673" s="34"/>
      <c r="I673" s="34"/>
      <c r="J673" s="34"/>
      <c r="K673" s="34"/>
      <c r="L673" s="34"/>
    </row>
    <row r="674">
      <c r="A674" s="34"/>
      <c r="B674" s="34"/>
      <c r="C674" s="34"/>
      <c r="D674" s="34"/>
      <c r="E674" s="34"/>
      <c r="F674" s="34"/>
      <c r="G674" s="34"/>
      <c r="H674" s="34"/>
      <c r="I674" s="34"/>
      <c r="J674" s="34"/>
      <c r="K674" s="34"/>
      <c r="L674" s="34"/>
    </row>
    <row r="675">
      <c r="A675" s="34"/>
      <c r="B675" s="34"/>
      <c r="C675" s="34"/>
      <c r="D675" s="34"/>
      <c r="E675" s="34"/>
      <c r="F675" s="34"/>
      <c r="G675" s="34"/>
      <c r="H675" s="34"/>
      <c r="I675" s="34"/>
      <c r="J675" s="34"/>
      <c r="K675" s="34"/>
      <c r="L675" s="34"/>
    </row>
    <row r="676">
      <c r="A676" s="34"/>
      <c r="B676" s="34"/>
      <c r="C676" s="34"/>
      <c r="D676" s="34"/>
      <c r="E676" s="34"/>
      <c r="F676" s="34"/>
      <c r="G676" s="34"/>
      <c r="H676" s="34"/>
      <c r="I676" s="34"/>
      <c r="J676" s="34"/>
      <c r="K676" s="34"/>
      <c r="L676" s="34"/>
    </row>
    <row r="677">
      <c r="A677" s="34"/>
      <c r="B677" s="34"/>
      <c r="C677" s="34"/>
      <c r="D677" s="34"/>
      <c r="E677" s="34"/>
      <c r="F677" s="34"/>
      <c r="G677" s="34"/>
      <c r="H677" s="34"/>
      <c r="I677" s="34"/>
      <c r="J677" s="34"/>
      <c r="K677" s="34"/>
      <c r="L677" s="34"/>
    </row>
    <row r="678">
      <c r="A678" s="34"/>
      <c r="B678" s="34"/>
      <c r="C678" s="34"/>
      <c r="D678" s="34"/>
      <c r="E678" s="34"/>
      <c r="F678" s="34"/>
      <c r="G678" s="34"/>
      <c r="H678" s="34"/>
      <c r="I678" s="34"/>
      <c r="J678" s="34"/>
      <c r="K678" s="34"/>
      <c r="L678" s="34"/>
    </row>
    <row r="679">
      <c r="A679" s="34"/>
      <c r="B679" s="34"/>
      <c r="C679" s="34"/>
      <c r="D679" s="34"/>
      <c r="E679" s="34"/>
      <c r="F679" s="34"/>
      <c r="G679" s="34"/>
      <c r="H679" s="34"/>
      <c r="I679" s="34"/>
      <c r="J679" s="34"/>
      <c r="K679" s="34"/>
      <c r="L679" s="34"/>
    </row>
    <row r="680">
      <c r="A680" s="34"/>
      <c r="B680" s="34"/>
      <c r="C680" s="34"/>
      <c r="D680" s="34"/>
      <c r="E680" s="34"/>
      <c r="F680" s="34"/>
      <c r="G680" s="34"/>
      <c r="H680" s="34"/>
      <c r="I680" s="34"/>
      <c r="J680" s="34"/>
      <c r="K680" s="34"/>
      <c r="L680" s="34"/>
    </row>
    <row r="681">
      <c r="A681" s="34"/>
      <c r="B681" s="34"/>
      <c r="C681" s="34"/>
      <c r="D681" s="34"/>
      <c r="E681" s="34"/>
      <c r="F681" s="34"/>
      <c r="G681" s="34"/>
      <c r="H681" s="34"/>
      <c r="I681" s="34"/>
      <c r="J681" s="34"/>
      <c r="K681" s="34"/>
      <c r="L681" s="34"/>
    </row>
    <row r="682">
      <c r="A682" s="34"/>
      <c r="B682" s="34"/>
      <c r="C682" s="34"/>
      <c r="D682" s="34"/>
      <c r="E682" s="34"/>
      <c r="F682" s="34"/>
      <c r="G682" s="34"/>
      <c r="H682" s="34"/>
      <c r="I682" s="34"/>
      <c r="J682" s="34"/>
      <c r="K682" s="34"/>
      <c r="L682" s="34"/>
    </row>
    <row r="683">
      <c r="A683" s="34"/>
      <c r="B683" s="34"/>
      <c r="C683" s="34"/>
      <c r="D683" s="34"/>
      <c r="E683" s="34"/>
      <c r="F683" s="34"/>
      <c r="G683" s="34"/>
      <c r="H683" s="34"/>
      <c r="I683" s="34"/>
      <c r="J683" s="34"/>
      <c r="K683" s="34"/>
      <c r="L683" s="34"/>
    </row>
    <row r="684">
      <c r="A684" s="34"/>
      <c r="B684" s="34"/>
      <c r="C684" s="34"/>
      <c r="D684" s="34"/>
      <c r="E684" s="34"/>
      <c r="F684" s="34"/>
      <c r="G684" s="34"/>
      <c r="H684" s="34"/>
      <c r="I684" s="34"/>
      <c r="J684" s="34"/>
      <c r="K684" s="34"/>
      <c r="L684" s="34"/>
    </row>
    <row r="685">
      <c r="A685" s="34"/>
      <c r="B685" s="34"/>
      <c r="C685" s="34"/>
      <c r="D685" s="34"/>
      <c r="E685" s="34"/>
      <c r="F685" s="34"/>
      <c r="G685" s="34"/>
      <c r="H685" s="34"/>
      <c r="I685" s="34"/>
      <c r="J685" s="34"/>
      <c r="K685" s="34"/>
      <c r="L685" s="34"/>
    </row>
    <row r="686">
      <c r="A686" s="34"/>
      <c r="B686" s="34"/>
      <c r="C686" s="34"/>
      <c r="D686" s="34"/>
      <c r="E686" s="34"/>
      <c r="F686" s="34"/>
      <c r="G686" s="34"/>
      <c r="H686" s="34"/>
      <c r="I686" s="34"/>
      <c r="J686" s="34"/>
      <c r="K686" s="34"/>
      <c r="L686" s="34"/>
    </row>
    <row r="687">
      <c r="A687" s="34"/>
      <c r="B687" s="34"/>
      <c r="C687" s="34"/>
      <c r="D687" s="34"/>
      <c r="E687" s="34"/>
      <c r="F687" s="34"/>
      <c r="G687" s="34"/>
      <c r="H687" s="34"/>
      <c r="I687" s="34"/>
      <c r="J687" s="34"/>
      <c r="K687" s="34"/>
      <c r="L687" s="34"/>
    </row>
    <row r="688">
      <c r="A688" s="34"/>
      <c r="B688" s="34"/>
      <c r="C688" s="34"/>
      <c r="D688" s="34"/>
      <c r="E688" s="34"/>
      <c r="F688" s="34"/>
      <c r="G688" s="34"/>
      <c r="H688" s="34"/>
      <c r="I688" s="34"/>
      <c r="J688" s="34"/>
      <c r="K688" s="34"/>
      <c r="L688" s="34"/>
    </row>
    <row r="689">
      <c r="A689" s="34"/>
      <c r="B689" s="34"/>
      <c r="C689" s="34"/>
      <c r="D689" s="34"/>
      <c r="E689" s="34"/>
      <c r="F689" s="34"/>
      <c r="G689" s="34"/>
      <c r="H689" s="34"/>
      <c r="I689" s="34"/>
      <c r="J689" s="34"/>
      <c r="K689" s="34"/>
      <c r="L689" s="34"/>
    </row>
    <row r="690">
      <c r="A690" s="34"/>
      <c r="B690" s="34"/>
      <c r="C690" s="34"/>
      <c r="D690" s="34"/>
      <c r="E690" s="34"/>
      <c r="F690" s="34"/>
      <c r="G690" s="34"/>
      <c r="H690" s="34"/>
      <c r="I690" s="34"/>
      <c r="J690" s="34"/>
      <c r="K690" s="34"/>
      <c r="L690" s="34"/>
    </row>
    <row r="691">
      <c r="A691" s="34"/>
      <c r="B691" s="34"/>
      <c r="C691" s="34"/>
      <c r="D691" s="34"/>
      <c r="E691" s="34"/>
      <c r="F691" s="34"/>
      <c r="G691" s="34"/>
      <c r="H691" s="34"/>
      <c r="I691" s="34"/>
      <c r="J691" s="34"/>
      <c r="K691" s="34"/>
      <c r="L691" s="34"/>
    </row>
    <row r="692">
      <c r="A692" s="34"/>
      <c r="B692" s="34"/>
      <c r="C692" s="34"/>
      <c r="D692" s="34"/>
      <c r="E692" s="34"/>
      <c r="F692" s="34"/>
      <c r="G692" s="34"/>
      <c r="H692" s="34"/>
      <c r="I692" s="34"/>
      <c r="J692" s="34"/>
      <c r="K692" s="34"/>
      <c r="L692" s="34"/>
    </row>
    <row r="693">
      <c r="A693" s="34"/>
      <c r="B693" s="34"/>
      <c r="C693" s="34"/>
      <c r="D693" s="34"/>
      <c r="E693" s="34"/>
      <c r="F693" s="34"/>
      <c r="G693" s="34"/>
      <c r="H693" s="34"/>
      <c r="I693" s="34"/>
      <c r="J693" s="34"/>
      <c r="K693" s="34"/>
      <c r="L693" s="34"/>
    </row>
    <row r="694">
      <c r="A694" s="34"/>
      <c r="B694" s="34"/>
      <c r="C694" s="34"/>
      <c r="D694" s="34"/>
      <c r="E694" s="34"/>
      <c r="F694" s="34"/>
      <c r="G694" s="34"/>
      <c r="H694" s="34"/>
      <c r="I694" s="34"/>
      <c r="J694" s="34"/>
      <c r="K694" s="34"/>
      <c r="L694" s="34"/>
    </row>
    <row r="695">
      <c r="A695" s="34"/>
      <c r="B695" s="34"/>
      <c r="C695" s="34"/>
      <c r="D695" s="34"/>
      <c r="E695" s="34"/>
      <c r="F695" s="34"/>
      <c r="G695" s="34"/>
      <c r="H695" s="34"/>
      <c r="I695" s="34"/>
      <c r="J695" s="34"/>
      <c r="K695" s="34"/>
      <c r="L695" s="34"/>
    </row>
    <row r="696">
      <c r="A696" s="34"/>
      <c r="B696" s="34"/>
      <c r="C696" s="34"/>
      <c r="D696" s="34"/>
      <c r="E696" s="34"/>
      <c r="F696" s="34"/>
      <c r="G696" s="34"/>
      <c r="H696" s="34"/>
      <c r="I696" s="34"/>
      <c r="J696" s="34"/>
      <c r="K696" s="34"/>
      <c r="L696" s="34"/>
    </row>
    <row r="697">
      <c r="A697" s="34"/>
      <c r="B697" s="34"/>
      <c r="C697" s="34"/>
      <c r="D697" s="34"/>
      <c r="E697" s="34"/>
      <c r="F697" s="34"/>
      <c r="G697" s="34"/>
      <c r="H697" s="34"/>
      <c r="I697" s="34"/>
      <c r="J697" s="34"/>
      <c r="K697" s="34"/>
      <c r="L697" s="34"/>
    </row>
    <row r="698">
      <c r="A698" s="34"/>
      <c r="B698" s="34"/>
      <c r="C698" s="34"/>
      <c r="D698" s="34"/>
      <c r="E698" s="34"/>
      <c r="F698" s="34"/>
      <c r="G698" s="34"/>
      <c r="H698" s="34"/>
      <c r="I698" s="34"/>
      <c r="J698" s="34"/>
      <c r="K698" s="34"/>
      <c r="L698" s="34"/>
    </row>
    <row r="699">
      <c r="A699" s="34"/>
      <c r="B699" s="34"/>
      <c r="C699" s="34"/>
      <c r="D699" s="34"/>
      <c r="E699" s="34"/>
      <c r="F699" s="34"/>
      <c r="G699" s="34"/>
      <c r="H699" s="34"/>
      <c r="I699" s="34"/>
      <c r="J699" s="34"/>
      <c r="K699" s="34"/>
      <c r="L699" s="34"/>
    </row>
    <row r="700">
      <c r="A700" s="34"/>
      <c r="B700" s="34"/>
      <c r="C700" s="34"/>
      <c r="D700" s="34"/>
      <c r="E700" s="34"/>
      <c r="F700" s="34"/>
      <c r="G700" s="34"/>
      <c r="H700" s="34"/>
      <c r="I700" s="34"/>
      <c r="J700" s="34"/>
      <c r="K700" s="34"/>
      <c r="L700" s="34"/>
    </row>
    <row r="701">
      <c r="A701" s="34"/>
      <c r="B701" s="34"/>
      <c r="C701" s="34"/>
      <c r="D701" s="34"/>
      <c r="E701" s="34"/>
      <c r="F701" s="34"/>
      <c r="G701" s="34"/>
      <c r="H701" s="34"/>
      <c r="I701" s="34"/>
      <c r="J701" s="34"/>
      <c r="K701" s="34"/>
      <c r="L701" s="34"/>
    </row>
    <row r="702">
      <c r="A702" s="34"/>
      <c r="B702" s="34"/>
      <c r="C702" s="34"/>
      <c r="D702" s="34"/>
      <c r="E702" s="34"/>
      <c r="F702" s="34"/>
      <c r="G702" s="34"/>
      <c r="H702" s="34"/>
      <c r="I702" s="34"/>
      <c r="J702" s="34"/>
      <c r="K702" s="34"/>
      <c r="L702" s="34"/>
    </row>
    <row r="703">
      <c r="A703" s="34"/>
      <c r="B703" s="34"/>
      <c r="C703" s="34"/>
      <c r="D703" s="34"/>
      <c r="E703" s="34"/>
      <c r="F703" s="34"/>
      <c r="G703" s="34"/>
      <c r="H703" s="34"/>
      <c r="I703" s="34"/>
      <c r="J703" s="34"/>
      <c r="K703" s="34"/>
      <c r="L703" s="34"/>
    </row>
    <row r="704">
      <c r="A704" s="34"/>
      <c r="B704" s="34"/>
      <c r="C704" s="34"/>
      <c r="D704" s="34"/>
      <c r="E704" s="34"/>
      <c r="F704" s="34"/>
      <c r="G704" s="34"/>
      <c r="H704" s="34"/>
      <c r="I704" s="34"/>
      <c r="J704" s="34"/>
      <c r="K704" s="34"/>
      <c r="L704" s="34"/>
    </row>
    <row r="705">
      <c r="A705" s="34"/>
      <c r="B705" s="34"/>
      <c r="C705" s="34"/>
      <c r="D705" s="34"/>
      <c r="E705" s="34"/>
      <c r="F705" s="34"/>
      <c r="G705" s="34"/>
      <c r="H705" s="34"/>
      <c r="I705" s="34"/>
      <c r="J705" s="34"/>
      <c r="K705" s="34"/>
      <c r="L705" s="34"/>
    </row>
    <row r="706">
      <c r="A706" s="34"/>
      <c r="B706" s="34"/>
      <c r="C706" s="34"/>
      <c r="D706" s="34"/>
      <c r="E706" s="34"/>
      <c r="F706" s="34"/>
      <c r="G706" s="34"/>
      <c r="H706" s="34"/>
      <c r="I706" s="34"/>
      <c r="J706" s="34"/>
      <c r="K706" s="34"/>
      <c r="L706" s="34"/>
    </row>
    <row r="707">
      <c r="A707" s="34"/>
      <c r="B707" s="34"/>
      <c r="C707" s="34"/>
      <c r="D707" s="34"/>
      <c r="E707" s="34"/>
      <c r="F707" s="34"/>
      <c r="G707" s="34"/>
      <c r="H707" s="34"/>
      <c r="I707" s="34"/>
      <c r="J707" s="34"/>
      <c r="K707" s="34"/>
      <c r="L707" s="34"/>
    </row>
    <row r="708">
      <c r="A708" s="34"/>
      <c r="B708" s="34"/>
      <c r="C708" s="34"/>
      <c r="D708" s="34"/>
      <c r="E708" s="34"/>
      <c r="F708" s="34"/>
      <c r="G708" s="34"/>
      <c r="H708" s="34"/>
      <c r="I708" s="34"/>
      <c r="J708" s="34"/>
      <c r="K708" s="34"/>
      <c r="L708" s="34"/>
    </row>
    <row r="709">
      <c r="A709" s="34"/>
      <c r="B709" s="34"/>
      <c r="C709" s="34"/>
      <c r="D709" s="34"/>
      <c r="E709" s="34"/>
      <c r="F709" s="34"/>
      <c r="G709" s="34"/>
      <c r="H709" s="34"/>
      <c r="I709" s="34"/>
      <c r="J709" s="34"/>
      <c r="K709" s="34"/>
      <c r="L709" s="34"/>
    </row>
    <row r="710">
      <c r="A710" s="34"/>
      <c r="B710" s="34"/>
      <c r="C710" s="34"/>
      <c r="D710" s="34"/>
      <c r="E710" s="34"/>
      <c r="F710" s="34"/>
      <c r="G710" s="34"/>
      <c r="H710" s="34"/>
      <c r="I710" s="34"/>
      <c r="J710" s="34"/>
      <c r="K710" s="34"/>
      <c r="L710" s="34"/>
    </row>
    <row r="711">
      <c r="A711" s="34"/>
      <c r="B711" s="34"/>
      <c r="C711" s="34"/>
      <c r="D711" s="34"/>
      <c r="E711" s="34"/>
      <c r="F711" s="34"/>
      <c r="G711" s="34"/>
      <c r="H711" s="34"/>
      <c r="I711" s="34"/>
      <c r="J711" s="34"/>
      <c r="K711" s="34"/>
      <c r="L711" s="34"/>
    </row>
    <row r="712">
      <c r="A712" s="34"/>
      <c r="B712" s="34"/>
      <c r="C712" s="34"/>
      <c r="D712" s="34"/>
      <c r="E712" s="34"/>
      <c r="F712" s="34"/>
      <c r="G712" s="34"/>
      <c r="H712" s="34"/>
      <c r="I712" s="34"/>
      <c r="J712" s="34"/>
      <c r="K712" s="34"/>
      <c r="L712" s="34"/>
    </row>
    <row r="713">
      <c r="A713" s="34"/>
      <c r="B713" s="34"/>
      <c r="C713" s="34"/>
      <c r="D713" s="34"/>
      <c r="E713" s="34"/>
      <c r="F713" s="34"/>
      <c r="G713" s="34"/>
      <c r="H713" s="34"/>
      <c r="I713" s="34"/>
      <c r="J713" s="34"/>
      <c r="K713" s="34"/>
      <c r="L713" s="34"/>
    </row>
    <row r="714">
      <c r="A714" s="34"/>
      <c r="B714" s="34"/>
      <c r="C714" s="34"/>
      <c r="D714" s="34"/>
      <c r="E714" s="34"/>
      <c r="F714" s="34"/>
      <c r="G714" s="34"/>
      <c r="H714" s="34"/>
      <c r="I714" s="34"/>
      <c r="J714" s="34"/>
      <c r="K714" s="34"/>
      <c r="L714" s="34"/>
    </row>
    <row r="715">
      <c r="A715" s="34"/>
      <c r="B715" s="34"/>
      <c r="C715" s="34"/>
      <c r="D715" s="34"/>
      <c r="E715" s="34"/>
      <c r="F715" s="34"/>
      <c r="G715" s="34"/>
      <c r="H715" s="34"/>
      <c r="I715" s="34"/>
      <c r="J715" s="34"/>
      <c r="K715" s="34"/>
      <c r="L715" s="34"/>
    </row>
    <row r="716">
      <c r="A716" s="34"/>
      <c r="B716" s="34"/>
      <c r="C716" s="34"/>
      <c r="D716" s="34"/>
      <c r="E716" s="34"/>
      <c r="F716" s="34"/>
      <c r="G716" s="34"/>
      <c r="H716" s="34"/>
      <c r="I716" s="34"/>
      <c r="J716" s="34"/>
      <c r="K716" s="34"/>
      <c r="L716" s="34"/>
    </row>
    <row r="717">
      <c r="A717" s="34"/>
      <c r="B717" s="34"/>
      <c r="C717" s="34"/>
      <c r="D717" s="34"/>
      <c r="E717" s="34"/>
      <c r="F717" s="34"/>
      <c r="G717" s="34"/>
      <c r="H717" s="34"/>
      <c r="I717" s="34"/>
      <c r="J717" s="34"/>
      <c r="K717" s="34"/>
      <c r="L717" s="34"/>
    </row>
    <row r="718">
      <c r="A718" s="34"/>
      <c r="B718" s="34"/>
      <c r="C718" s="34"/>
      <c r="D718" s="34"/>
      <c r="E718" s="34"/>
      <c r="F718" s="34"/>
      <c r="G718" s="34"/>
      <c r="H718" s="34"/>
      <c r="I718" s="34"/>
      <c r="J718" s="34"/>
      <c r="K718" s="34"/>
      <c r="L718" s="34"/>
    </row>
    <row r="719">
      <c r="A719" s="34"/>
      <c r="B719" s="34"/>
      <c r="C719" s="34"/>
      <c r="D719" s="34"/>
      <c r="E719" s="34"/>
      <c r="F719" s="34"/>
      <c r="G719" s="34"/>
      <c r="H719" s="34"/>
      <c r="I719" s="34"/>
      <c r="J719" s="34"/>
      <c r="K719" s="34"/>
      <c r="L719" s="34"/>
    </row>
    <row r="720">
      <c r="A720" s="34"/>
      <c r="B720" s="34"/>
      <c r="C720" s="34"/>
      <c r="D720" s="34"/>
      <c r="E720" s="34"/>
      <c r="F720" s="34"/>
      <c r="G720" s="34"/>
      <c r="H720" s="34"/>
      <c r="I720" s="34"/>
      <c r="J720" s="34"/>
      <c r="K720" s="34"/>
      <c r="L720" s="34"/>
    </row>
    <row r="721">
      <c r="A721" s="34"/>
      <c r="B721" s="34"/>
      <c r="C721" s="34"/>
      <c r="D721" s="34"/>
      <c r="E721" s="34"/>
      <c r="F721" s="34"/>
      <c r="G721" s="34"/>
      <c r="H721" s="34"/>
      <c r="I721" s="34"/>
      <c r="J721" s="34"/>
      <c r="K721" s="34"/>
      <c r="L721" s="34"/>
    </row>
    <row r="722">
      <c r="A722" s="34"/>
      <c r="B722" s="34"/>
      <c r="C722" s="34"/>
      <c r="D722" s="34"/>
      <c r="E722" s="34"/>
      <c r="F722" s="34"/>
      <c r="G722" s="34"/>
      <c r="H722" s="34"/>
      <c r="I722" s="34"/>
      <c r="J722" s="34"/>
      <c r="K722" s="34"/>
      <c r="L722" s="34"/>
    </row>
    <row r="723">
      <c r="A723" s="34"/>
      <c r="B723" s="34"/>
      <c r="C723" s="34"/>
      <c r="D723" s="34"/>
      <c r="E723" s="34"/>
      <c r="F723" s="34"/>
      <c r="G723" s="34"/>
      <c r="H723" s="34"/>
      <c r="I723" s="34"/>
      <c r="J723" s="34"/>
      <c r="K723" s="34"/>
      <c r="L723" s="34"/>
    </row>
    <row r="724">
      <c r="A724" s="34"/>
      <c r="B724" s="34"/>
      <c r="C724" s="34"/>
      <c r="D724" s="34"/>
      <c r="E724" s="34"/>
      <c r="F724" s="34"/>
      <c r="G724" s="34"/>
      <c r="H724" s="34"/>
      <c r="I724" s="34"/>
      <c r="J724" s="34"/>
      <c r="K724" s="34"/>
      <c r="L724" s="34"/>
    </row>
    <row r="725">
      <c r="A725" s="34"/>
      <c r="B725" s="34"/>
      <c r="C725" s="34"/>
      <c r="D725" s="34"/>
      <c r="E725" s="34"/>
      <c r="F725" s="34"/>
      <c r="G725" s="34"/>
      <c r="H725" s="34"/>
      <c r="I725" s="34"/>
      <c r="J725" s="34"/>
      <c r="K725" s="34"/>
      <c r="L725" s="34"/>
    </row>
    <row r="726">
      <c r="A726" s="34"/>
      <c r="B726" s="34"/>
      <c r="C726" s="34"/>
      <c r="D726" s="34"/>
      <c r="E726" s="34"/>
      <c r="F726" s="34"/>
      <c r="G726" s="34"/>
      <c r="H726" s="34"/>
      <c r="I726" s="34"/>
      <c r="J726" s="34"/>
      <c r="K726" s="34"/>
      <c r="L726" s="34"/>
    </row>
    <row r="727">
      <c r="A727" s="34"/>
      <c r="B727" s="34"/>
      <c r="C727" s="34"/>
      <c r="D727" s="34"/>
      <c r="E727" s="34"/>
      <c r="F727" s="34"/>
      <c r="G727" s="34"/>
      <c r="H727" s="34"/>
      <c r="I727" s="34"/>
      <c r="J727" s="34"/>
      <c r="K727" s="34"/>
      <c r="L727" s="34"/>
    </row>
    <row r="728">
      <c r="A728" s="34"/>
      <c r="B728" s="34"/>
      <c r="C728" s="34"/>
      <c r="D728" s="34"/>
      <c r="E728" s="34"/>
      <c r="F728" s="34"/>
      <c r="G728" s="34"/>
      <c r="H728" s="34"/>
      <c r="I728" s="34"/>
      <c r="J728" s="34"/>
      <c r="K728" s="34"/>
      <c r="L728" s="34"/>
    </row>
    <row r="729">
      <c r="A729" s="34"/>
      <c r="B729" s="34"/>
      <c r="C729" s="34"/>
      <c r="D729" s="34"/>
      <c r="E729" s="34"/>
      <c r="F729" s="34"/>
      <c r="G729" s="34"/>
      <c r="H729" s="34"/>
      <c r="I729" s="34"/>
      <c r="J729" s="34"/>
      <c r="K729" s="34"/>
      <c r="L729" s="34"/>
    </row>
    <row r="730">
      <c r="A730" s="34"/>
      <c r="B730" s="34"/>
      <c r="C730" s="34"/>
      <c r="D730" s="34"/>
      <c r="E730" s="34"/>
      <c r="F730" s="34"/>
      <c r="G730" s="34"/>
      <c r="H730" s="34"/>
      <c r="I730" s="34"/>
      <c r="J730" s="34"/>
      <c r="K730" s="34"/>
      <c r="L730" s="34"/>
    </row>
    <row r="731">
      <c r="A731" s="34"/>
      <c r="B731" s="34"/>
      <c r="C731" s="34"/>
      <c r="D731" s="34"/>
      <c r="E731" s="34"/>
      <c r="F731" s="34"/>
      <c r="G731" s="34"/>
      <c r="H731" s="34"/>
      <c r="I731" s="34"/>
      <c r="J731" s="34"/>
      <c r="K731" s="34"/>
      <c r="L731" s="34"/>
    </row>
    <row r="732">
      <c r="A732" s="34"/>
      <c r="B732" s="34"/>
      <c r="C732" s="34"/>
      <c r="D732" s="34"/>
      <c r="E732" s="34"/>
      <c r="F732" s="34"/>
      <c r="G732" s="34"/>
      <c r="H732" s="34"/>
      <c r="I732" s="34"/>
      <c r="J732" s="34"/>
      <c r="K732" s="34"/>
      <c r="L732" s="34"/>
    </row>
    <row r="733">
      <c r="A733" s="34"/>
      <c r="B733" s="34"/>
      <c r="C733" s="34"/>
      <c r="D733" s="34"/>
      <c r="E733" s="34"/>
      <c r="F733" s="34"/>
      <c r="G733" s="34"/>
      <c r="H733" s="34"/>
      <c r="I733" s="34"/>
      <c r="J733" s="34"/>
      <c r="K733" s="34"/>
      <c r="L733" s="34"/>
    </row>
    <row r="734">
      <c r="A734" s="34"/>
      <c r="B734" s="34"/>
      <c r="C734" s="34"/>
      <c r="D734" s="34"/>
      <c r="E734" s="34"/>
      <c r="F734" s="34"/>
      <c r="G734" s="34"/>
      <c r="H734" s="34"/>
      <c r="I734" s="34"/>
      <c r="J734" s="34"/>
      <c r="K734" s="34"/>
      <c r="L734" s="34"/>
    </row>
    <row r="735">
      <c r="A735" s="34"/>
      <c r="B735" s="34"/>
      <c r="C735" s="34"/>
      <c r="D735" s="34"/>
      <c r="E735" s="34"/>
      <c r="F735" s="34"/>
      <c r="G735" s="34"/>
      <c r="H735" s="34"/>
      <c r="I735" s="34"/>
      <c r="J735" s="34"/>
      <c r="K735" s="34"/>
      <c r="L735" s="34"/>
    </row>
    <row r="736">
      <c r="A736" s="34"/>
      <c r="B736" s="34"/>
      <c r="C736" s="34"/>
      <c r="D736" s="34"/>
      <c r="E736" s="34"/>
      <c r="F736" s="34"/>
      <c r="G736" s="34"/>
      <c r="H736" s="34"/>
      <c r="I736" s="34"/>
      <c r="J736" s="34"/>
      <c r="K736" s="34"/>
      <c r="L736" s="34"/>
    </row>
    <row r="737">
      <c r="A737" s="34"/>
      <c r="B737" s="34"/>
      <c r="C737" s="34"/>
      <c r="D737" s="34"/>
      <c r="E737" s="34"/>
      <c r="F737" s="34"/>
      <c r="G737" s="34"/>
      <c r="H737" s="34"/>
      <c r="I737" s="34"/>
      <c r="J737" s="34"/>
      <c r="K737" s="34"/>
      <c r="L737" s="34"/>
    </row>
    <row r="738">
      <c r="A738" s="34"/>
      <c r="B738" s="34"/>
      <c r="C738" s="34"/>
      <c r="D738" s="34"/>
      <c r="E738" s="34"/>
      <c r="F738" s="34"/>
      <c r="G738" s="34"/>
      <c r="H738" s="34"/>
      <c r="I738" s="34"/>
      <c r="J738" s="34"/>
      <c r="K738" s="34"/>
      <c r="L738" s="34"/>
    </row>
    <row r="739">
      <c r="A739" s="34"/>
      <c r="B739" s="34"/>
      <c r="C739" s="34"/>
      <c r="D739" s="34"/>
      <c r="E739" s="34"/>
      <c r="F739" s="34"/>
      <c r="G739" s="34"/>
      <c r="H739" s="34"/>
      <c r="I739" s="34"/>
      <c r="J739" s="34"/>
      <c r="K739" s="34"/>
      <c r="L739" s="34"/>
    </row>
    <row r="740">
      <c r="A740" s="34"/>
      <c r="B740" s="34"/>
      <c r="C740" s="34"/>
      <c r="D740" s="34"/>
      <c r="E740" s="34"/>
      <c r="F740" s="34"/>
      <c r="G740" s="34"/>
      <c r="H740" s="34"/>
      <c r="I740" s="34"/>
      <c r="J740" s="34"/>
      <c r="K740" s="34"/>
      <c r="L740" s="34"/>
    </row>
    <row r="741">
      <c r="A741" s="34"/>
      <c r="B741" s="34"/>
      <c r="C741" s="34"/>
      <c r="D741" s="34"/>
      <c r="E741" s="34"/>
      <c r="F741" s="34"/>
      <c r="G741" s="34"/>
      <c r="H741" s="34"/>
      <c r="I741" s="34"/>
      <c r="J741" s="34"/>
      <c r="K741" s="34"/>
      <c r="L741" s="34"/>
    </row>
    <row r="742">
      <c r="A742" s="34"/>
      <c r="B742" s="34"/>
      <c r="C742" s="34"/>
      <c r="D742" s="34"/>
      <c r="E742" s="34"/>
      <c r="F742" s="34"/>
      <c r="G742" s="34"/>
      <c r="H742" s="34"/>
      <c r="I742" s="34"/>
      <c r="J742" s="34"/>
      <c r="K742" s="34"/>
      <c r="L742" s="34"/>
    </row>
    <row r="743">
      <c r="A743" s="34"/>
      <c r="B743" s="34"/>
      <c r="C743" s="34"/>
      <c r="D743" s="34"/>
      <c r="E743" s="34"/>
      <c r="F743" s="34"/>
      <c r="G743" s="34"/>
      <c r="H743" s="34"/>
      <c r="I743" s="34"/>
      <c r="J743" s="34"/>
      <c r="K743" s="34"/>
      <c r="L743" s="34"/>
    </row>
    <row r="744">
      <c r="A744" s="34"/>
      <c r="B744" s="34"/>
      <c r="C744" s="34"/>
      <c r="D744" s="34"/>
      <c r="E744" s="34"/>
      <c r="F744" s="34"/>
      <c r="G744" s="34"/>
      <c r="H744" s="34"/>
      <c r="I744" s="34"/>
      <c r="J744" s="34"/>
      <c r="K744" s="34"/>
      <c r="L744" s="34"/>
    </row>
    <row r="745">
      <c r="A745" s="34"/>
      <c r="B745" s="34"/>
      <c r="C745" s="34"/>
      <c r="D745" s="34"/>
      <c r="E745" s="34"/>
      <c r="F745" s="34"/>
      <c r="G745" s="34"/>
      <c r="H745" s="34"/>
      <c r="I745" s="34"/>
      <c r="J745" s="34"/>
      <c r="K745" s="34"/>
      <c r="L745" s="34"/>
    </row>
    <row r="746">
      <c r="A746" s="34"/>
      <c r="B746" s="34"/>
      <c r="C746" s="34"/>
      <c r="D746" s="34"/>
      <c r="E746" s="34"/>
      <c r="F746" s="34"/>
      <c r="G746" s="34"/>
      <c r="H746" s="34"/>
      <c r="I746" s="34"/>
      <c r="J746" s="34"/>
      <c r="K746" s="34"/>
      <c r="L746" s="34"/>
    </row>
    <row r="747">
      <c r="A747" s="34"/>
      <c r="B747" s="34"/>
      <c r="C747" s="34"/>
      <c r="D747" s="34"/>
      <c r="E747" s="34"/>
      <c r="F747" s="34"/>
      <c r="G747" s="34"/>
      <c r="H747" s="34"/>
      <c r="I747" s="34"/>
      <c r="J747" s="34"/>
      <c r="K747" s="34"/>
      <c r="L747" s="34"/>
    </row>
    <row r="748">
      <c r="A748" s="34"/>
      <c r="B748" s="34"/>
      <c r="C748" s="34"/>
      <c r="D748" s="34"/>
      <c r="E748" s="34"/>
      <c r="F748" s="34"/>
      <c r="G748" s="34"/>
      <c r="H748" s="34"/>
      <c r="I748" s="34"/>
      <c r="J748" s="34"/>
      <c r="K748" s="34"/>
      <c r="L748" s="34"/>
    </row>
    <row r="749">
      <c r="A749" s="34"/>
      <c r="B749" s="34"/>
      <c r="C749" s="34"/>
      <c r="D749" s="34"/>
      <c r="E749" s="34"/>
      <c r="F749" s="34"/>
      <c r="G749" s="34"/>
      <c r="H749" s="34"/>
      <c r="I749" s="34"/>
      <c r="J749" s="34"/>
      <c r="K749" s="34"/>
      <c r="L749" s="34"/>
    </row>
    <row r="750">
      <c r="A750" s="34"/>
      <c r="B750" s="34"/>
      <c r="C750" s="34"/>
      <c r="D750" s="34"/>
      <c r="E750" s="34"/>
      <c r="F750" s="34"/>
      <c r="G750" s="34"/>
      <c r="H750" s="34"/>
      <c r="I750" s="34"/>
      <c r="J750" s="34"/>
      <c r="K750" s="34"/>
      <c r="L750" s="34"/>
    </row>
    <row r="751">
      <c r="A751" s="34"/>
      <c r="B751" s="34"/>
      <c r="C751" s="34"/>
      <c r="D751" s="34"/>
      <c r="E751" s="34"/>
      <c r="F751" s="34"/>
      <c r="G751" s="34"/>
      <c r="H751" s="34"/>
      <c r="I751" s="34"/>
      <c r="J751" s="34"/>
      <c r="K751" s="34"/>
      <c r="L751" s="34"/>
    </row>
    <row r="752">
      <c r="A752" s="34"/>
      <c r="B752" s="34"/>
      <c r="C752" s="34"/>
      <c r="D752" s="34"/>
      <c r="E752" s="34"/>
      <c r="F752" s="34"/>
      <c r="G752" s="34"/>
      <c r="H752" s="34"/>
      <c r="I752" s="34"/>
      <c r="J752" s="34"/>
      <c r="K752" s="34"/>
      <c r="L752" s="34"/>
    </row>
    <row r="753">
      <c r="A753" s="34"/>
      <c r="B753" s="34"/>
      <c r="C753" s="34"/>
      <c r="D753" s="34"/>
      <c r="E753" s="34"/>
      <c r="F753" s="34"/>
      <c r="G753" s="34"/>
      <c r="H753" s="34"/>
      <c r="I753" s="34"/>
      <c r="J753" s="34"/>
      <c r="K753" s="34"/>
      <c r="L753" s="34"/>
    </row>
    <row r="754">
      <c r="A754" s="34"/>
      <c r="B754" s="34"/>
      <c r="C754" s="34"/>
      <c r="D754" s="34"/>
      <c r="E754" s="34"/>
      <c r="F754" s="34"/>
      <c r="G754" s="34"/>
      <c r="H754" s="34"/>
      <c r="I754" s="34"/>
      <c r="J754" s="34"/>
      <c r="K754" s="34"/>
      <c r="L754" s="34"/>
    </row>
    <row r="755">
      <c r="A755" s="34"/>
      <c r="B755" s="34"/>
      <c r="C755" s="34"/>
      <c r="D755" s="34"/>
      <c r="E755" s="34"/>
      <c r="F755" s="34"/>
      <c r="G755" s="34"/>
      <c r="H755" s="34"/>
      <c r="I755" s="34"/>
      <c r="J755" s="34"/>
      <c r="K755" s="34"/>
      <c r="L755" s="34"/>
    </row>
    <row r="756">
      <c r="A756" s="34"/>
      <c r="B756" s="34"/>
      <c r="C756" s="34"/>
      <c r="D756" s="34"/>
      <c r="E756" s="34"/>
      <c r="F756" s="34"/>
      <c r="G756" s="34"/>
      <c r="H756" s="34"/>
      <c r="I756" s="34"/>
      <c r="J756" s="34"/>
      <c r="K756" s="34"/>
      <c r="L756" s="34"/>
    </row>
    <row r="757">
      <c r="A757" s="34"/>
      <c r="B757" s="34"/>
      <c r="C757" s="34"/>
      <c r="D757" s="34"/>
      <c r="E757" s="34"/>
      <c r="F757" s="34"/>
      <c r="G757" s="34"/>
      <c r="H757" s="34"/>
      <c r="I757" s="34"/>
      <c r="J757" s="34"/>
      <c r="K757" s="34"/>
      <c r="L757" s="34"/>
    </row>
    <row r="758">
      <c r="A758" s="34"/>
      <c r="B758" s="34"/>
      <c r="C758" s="34"/>
      <c r="D758" s="34"/>
      <c r="E758" s="34"/>
      <c r="F758" s="34"/>
      <c r="G758" s="34"/>
      <c r="H758" s="34"/>
      <c r="I758" s="34"/>
      <c r="J758" s="34"/>
      <c r="K758" s="34"/>
      <c r="L758" s="34"/>
    </row>
    <row r="759">
      <c r="A759" s="34"/>
      <c r="B759" s="34"/>
      <c r="C759" s="34"/>
      <c r="D759" s="34"/>
      <c r="E759" s="34"/>
      <c r="F759" s="34"/>
      <c r="G759" s="34"/>
      <c r="H759" s="34"/>
      <c r="I759" s="34"/>
      <c r="J759" s="34"/>
      <c r="K759" s="34"/>
      <c r="L759" s="34"/>
    </row>
    <row r="760">
      <c r="A760" s="34"/>
      <c r="B760" s="34"/>
      <c r="C760" s="34"/>
      <c r="D760" s="34"/>
      <c r="E760" s="34"/>
      <c r="F760" s="34"/>
      <c r="G760" s="34"/>
      <c r="H760" s="34"/>
      <c r="I760" s="34"/>
      <c r="J760" s="34"/>
      <c r="K760" s="34"/>
      <c r="L760" s="34"/>
    </row>
    <row r="761">
      <c r="A761" s="34"/>
      <c r="B761" s="34"/>
      <c r="C761" s="34"/>
      <c r="D761" s="34"/>
      <c r="E761" s="34"/>
      <c r="F761" s="34"/>
      <c r="G761" s="34"/>
      <c r="H761" s="34"/>
      <c r="I761" s="34"/>
      <c r="J761" s="34"/>
      <c r="K761" s="34"/>
      <c r="L761" s="34"/>
    </row>
    <row r="762">
      <c r="A762" s="34"/>
      <c r="B762" s="34"/>
      <c r="C762" s="34"/>
      <c r="D762" s="34"/>
      <c r="E762" s="34"/>
      <c r="F762" s="34"/>
      <c r="G762" s="34"/>
      <c r="H762" s="34"/>
      <c r="I762" s="34"/>
      <c r="J762" s="34"/>
      <c r="K762" s="34"/>
      <c r="L762" s="34"/>
    </row>
    <row r="763">
      <c r="A763" s="34"/>
      <c r="B763" s="34"/>
      <c r="C763" s="34"/>
      <c r="D763" s="34"/>
      <c r="E763" s="34"/>
      <c r="F763" s="34"/>
      <c r="G763" s="34"/>
      <c r="H763" s="34"/>
      <c r="I763" s="34"/>
      <c r="J763" s="34"/>
      <c r="K763" s="34"/>
      <c r="L763" s="34"/>
    </row>
    <row r="764">
      <c r="A764" s="34"/>
      <c r="B764" s="34"/>
      <c r="C764" s="34"/>
      <c r="D764" s="34"/>
      <c r="E764" s="34"/>
      <c r="F764" s="34"/>
      <c r="G764" s="34"/>
      <c r="H764" s="34"/>
      <c r="I764" s="34"/>
      <c r="J764" s="34"/>
      <c r="K764" s="34"/>
      <c r="L764" s="34"/>
    </row>
    <row r="765">
      <c r="A765" s="34"/>
      <c r="B765" s="34"/>
      <c r="C765" s="34"/>
      <c r="D765" s="34"/>
      <c r="E765" s="34"/>
      <c r="F765" s="34"/>
      <c r="G765" s="34"/>
      <c r="H765" s="34"/>
      <c r="I765" s="34"/>
      <c r="J765" s="34"/>
      <c r="K765" s="34"/>
      <c r="L765" s="34"/>
    </row>
    <row r="766">
      <c r="A766" s="34"/>
      <c r="B766" s="34"/>
      <c r="C766" s="34"/>
      <c r="D766" s="34"/>
      <c r="E766" s="34"/>
      <c r="F766" s="34"/>
      <c r="G766" s="34"/>
      <c r="H766" s="34"/>
      <c r="I766" s="34"/>
      <c r="J766" s="34"/>
      <c r="K766" s="34"/>
      <c r="L766" s="34"/>
    </row>
    <row r="767">
      <c r="A767" s="34"/>
      <c r="B767" s="34"/>
      <c r="C767" s="34"/>
      <c r="D767" s="34"/>
      <c r="E767" s="34"/>
      <c r="F767" s="34"/>
      <c r="G767" s="34"/>
      <c r="H767" s="34"/>
      <c r="I767" s="34"/>
      <c r="J767" s="34"/>
      <c r="K767" s="34"/>
      <c r="L767" s="34"/>
    </row>
    <row r="768">
      <c r="A768" s="34"/>
      <c r="B768" s="34"/>
      <c r="C768" s="34"/>
      <c r="D768" s="34"/>
      <c r="E768" s="34"/>
      <c r="F768" s="34"/>
      <c r="G768" s="34"/>
      <c r="H768" s="34"/>
      <c r="I768" s="34"/>
      <c r="J768" s="34"/>
      <c r="K768" s="34"/>
      <c r="L768" s="34"/>
    </row>
    <row r="769">
      <c r="A769" s="34"/>
      <c r="B769" s="34"/>
      <c r="C769" s="34"/>
      <c r="D769" s="34"/>
      <c r="E769" s="34"/>
      <c r="F769" s="34"/>
      <c r="G769" s="34"/>
      <c r="H769" s="34"/>
      <c r="I769" s="34"/>
      <c r="J769" s="34"/>
      <c r="K769" s="34"/>
      <c r="L769" s="34"/>
    </row>
    <row r="770">
      <c r="A770" s="34"/>
      <c r="B770" s="34"/>
      <c r="C770" s="34"/>
      <c r="D770" s="34"/>
      <c r="E770" s="34"/>
      <c r="F770" s="34"/>
      <c r="G770" s="34"/>
      <c r="H770" s="34"/>
      <c r="I770" s="34"/>
      <c r="J770" s="34"/>
      <c r="K770" s="34"/>
      <c r="L770" s="34"/>
    </row>
    <row r="771">
      <c r="A771" s="34"/>
      <c r="B771" s="34"/>
      <c r="C771" s="34"/>
      <c r="D771" s="34"/>
      <c r="E771" s="34"/>
      <c r="F771" s="34"/>
      <c r="G771" s="34"/>
      <c r="H771" s="34"/>
      <c r="I771" s="34"/>
      <c r="J771" s="34"/>
      <c r="K771" s="34"/>
      <c r="L771" s="34"/>
    </row>
    <row r="772">
      <c r="A772" s="34"/>
      <c r="B772" s="34"/>
      <c r="C772" s="34"/>
      <c r="D772" s="34"/>
      <c r="E772" s="34"/>
      <c r="F772" s="34"/>
      <c r="G772" s="34"/>
      <c r="H772" s="34"/>
      <c r="I772" s="34"/>
      <c r="J772" s="34"/>
      <c r="K772" s="34"/>
      <c r="L772" s="34"/>
    </row>
    <row r="773">
      <c r="A773" s="34"/>
      <c r="B773" s="34"/>
      <c r="C773" s="34"/>
      <c r="D773" s="34"/>
      <c r="E773" s="34"/>
      <c r="F773" s="34"/>
      <c r="G773" s="34"/>
      <c r="H773" s="34"/>
      <c r="I773" s="34"/>
      <c r="J773" s="34"/>
      <c r="K773" s="34"/>
      <c r="L773" s="34"/>
    </row>
    <row r="774">
      <c r="A774" s="34"/>
      <c r="B774" s="34"/>
      <c r="C774" s="34"/>
      <c r="D774" s="34"/>
      <c r="E774" s="34"/>
      <c r="F774" s="34"/>
      <c r="G774" s="34"/>
      <c r="H774" s="34"/>
      <c r="I774" s="34"/>
      <c r="J774" s="34"/>
      <c r="K774" s="34"/>
      <c r="L774" s="34"/>
    </row>
    <row r="775">
      <c r="A775" s="34"/>
      <c r="B775" s="34"/>
      <c r="C775" s="34"/>
      <c r="D775" s="34"/>
      <c r="E775" s="34"/>
      <c r="F775" s="34"/>
      <c r="G775" s="34"/>
      <c r="H775" s="34"/>
      <c r="I775" s="34"/>
      <c r="J775" s="34"/>
      <c r="K775" s="34"/>
      <c r="L775" s="34"/>
    </row>
    <row r="776">
      <c r="A776" s="34"/>
      <c r="B776" s="34"/>
      <c r="C776" s="34"/>
      <c r="D776" s="34"/>
      <c r="E776" s="34"/>
      <c r="F776" s="34"/>
      <c r="G776" s="34"/>
      <c r="H776" s="34"/>
      <c r="I776" s="34"/>
      <c r="J776" s="34"/>
      <c r="K776" s="34"/>
      <c r="L776" s="34"/>
    </row>
    <row r="777">
      <c r="A777" s="34"/>
      <c r="B777" s="34"/>
      <c r="C777" s="34"/>
      <c r="D777" s="34"/>
      <c r="E777" s="34"/>
      <c r="F777" s="34"/>
      <c r="G777" s="34"/>
      <c r="H777" s="34"/>
      <c r="I777" s="34"/>
      <c r="J777" s="34"/>
      <c r="K777" s="34"/>
      <c r="L777" s="34"/>
    </row>
    <row r="778">
      <c r="A778" s="34"/>
      <c r="B778" s="34"/>
      <c r="C778" s="34"/>
      <c r="D778" s="34"/>
      <c r="E778" s="34"/>
      <c r="F778" s="34"/>
      <c r="G778" s="34"/>
      <c r="H778" s="34"/>
      <c r="I778" s="34"/>
      <c r="J778" s="34"/>
      <c r="K778" s="34"/>
      <c r="L778" s="34"/>
    </row>
    <row r="779">
      <c r="A779" s="34"/>
      <c r="B779" s="34"/>
      <c r="C779" s="34"/>
      <c r="D779" s="34"/>
      <c r="E779" s="34"/>
      <c r="F779" s="34"/>
      <c r="G779" s="34"/>
      <c r="H779" s="34"/>
      <c r="I779" s="34"/>
      <c r="J779" s="34"/>
      <c r="K779" s="34"/>
      <c r="L779" s="34"/>
    </row>
    <row r="780">
      <c r="A780" s="34"/>
      <c r="B780" s="34"/>
      <c r="C780" s="34"/>
      <c r="D780" s="34"/>
      <c r="E780" s="34"/>
      <c r="F780" s="34"/>
      <c r="G780" s="34"/>
      <c r="H780" s="34"/>
      <c r="I780" s="34"/>
      <c r="J780" s="34"/>
      <c r="K780" s="34"/>
      <c r="L780" s="34"/>
    </row>
    <row r="781">
      <c r="A781" s="34"/>
      <c r="B781" s="34"/>
      <c r="C781" s="34"/>
      <c r="D781" s="34"/>
      <c r="E781" s="34"/>
      <c r="F781" s="34"/>
      <c r="G781" s="34"/>
      <c r="H781" s="34"/>
      <c r="I781" s="34"/>
      <c r="J781" s="34"/>
      <c r="K781" s="34"/>
      <c r="L781" s="34"/>
    </row>
    <row r="782">
      <c r="A782" s="34"/>
      <c r="B782" s="34"/>
      <c r="C782" s="34"/>
      <c r="D782" s="34"/>
      <c r="E782" s="34"/>
      <c r="F782" s="34"/>
      <c r="G782" s="34"/>
      <c r="H782" s="34"/>
      <c r="I782" s="34"/>
      <c r="J782" s="34"/>
      <c r="K782" s="34"/>
      <c r="L782" s="34"/>
    </row>
    <row r="783">
      <c r="A783" s="34"/>
      <c r="B783" s="34"/>
      <c r="C783" s="34"/>
      <c r="D783" s="34"/>
      <c r="E783" s="34"/>
      <c r="F783" s="34"/>
      <c r="G783" s="34"/>
      <c r="H783" s="34"/>
      <c r="I783" s="34"/>
      <c r="J783" s="34"/>
      <c r="K783" s="34"/>
      <c r="L783" s="34"/>
    </row>
    <row r="784">
      <c r="A784" s="34"/>
      <c r="B784" s="34"/>
      <c r="C784" s="34"/>
      <c r="D784" s="34"/>
      <c r="E784" s="34"/>
      <c r="F784" s="34"/>
      <c r="G784" s="34"/>
      <c r="H784" s="34"/>
      <c r="I784" s="34"/>
      <c r="J784" s="34"/>
      <c r="K784" s="34"/>
      <c r="L784" s="34"/>
    </row>
    <row r="785">
      <c r="A785" s="34"/>
      <c r="B785" s="34"/>
      <c r="C785" s="34"/>
      <c r="D785" s="34"/>
      <c r="E785" s="34"/>
      <c r="F785" s="34"/>
      <c r="G785" s="34"/>
      <c r="H785" s="34"/>
      <c r="I785" s="34"/>
      <c r="J785" s="34"/>
      <c r="K785" s="34"/>
      <c r="L785" s="34"/>
    </row>
    <row r="786">
      <c r="A786" s="34"/>
      <c r="B786" s="34"/>
      <c r="C786" s="34"/>
      <c r="D786" s="34"/>
      <c r="E786" s="34"/>
      <c r="F786" s="34"/>
      <c r="G786" s="34"/>
      <c r="H786" s="34"/>
      <c r="I786" s="34"/>
      <c r="J786" s="34"/>
      <c r="K786" s="34"/>
      <c r="L786" s="34"/>
    </row>
    <row r="787">
      <c r="A787" s="34"/>
      <c r="B787" s="34"/>
      <c r="C787" s="34"/>
      <c r="D787" s="34"/>
      <c r="E787" s="34"/>
      <c r="F787" s="34"/>
      <c r="G787" s="34"/>
      <c r="H787" s="34"/>
      <c r="I787" s="34"/>
      <c r="J787" s="34"/>
      <c r="K787" s="34"/>
      <c r="L787" s="34"/>
    </row>
    <row r="788">
      <c r="A788" s="34"/>
      <c r="B788" s="34"/>
      <c r="C788" s="34"/>
      <c r="D788" s="34"/>
      <c r="E788" s="34"/>
      <c r="F788" s="34"/>
      <c r="G788" s="34"/>
      <c r="H788" s="34"/>
      <c r="I788" s="34"/>
      <c r="J788" s="34"/>
      <c r="K788" s="34"/>
      <c r="L788" s="34"/>
    </row>
    <row r="789">
      <c r="A789" s="34"/>
      <c r="B789" s="34"/>
      <c r="C789" s="34"/>
      <c r="D789" s="34"/>
      <c r="E789" s="34"/>
      <c r="F789" s="34"/>
      <c r="G789" s="34"/>
      <c r="H789" s="34"/>
      <c r="I789" s="34"/>
      <c r="J789" s="34"/>
      <c r="K789" s="34"/>
      <c r="L789" s="34"/>
    </row>
    <row r="790">
      <c r="A790" s="34"/>
      <c r="B790" s="34"/>
      <c r="C790" s="34"/>
      <c r="D790" s="34"/>
      <c r="E790" s="34"/>
      <c r="F790" s="34"/>
      <c r="G790" s="34"/>
      <c r="H790" s="34"/>
      <c r="I790" s="34"/>
      <c r="J790" s="34"/>
      <c r="K790" s="34"/>
      <c r="L790" s="34"/>
    </row>
    <row r="791">
      <c r="A791" s="34"/>
      <c r="B791" s="34"/>
      <c r="C791" s="34"/>
      <c r="D791" s="34"/>
      <c r="E791" s="34"/>
      <c r="F791" s="34"/>
      <c r="G791" s="34"/>
      <c r="H791" s="34"/>
      <c r="I791" s="34"/>
      <c r="J791" s="34"/>
      <c r="K791" s="34"/>
      <c r="L791" s="34"/>
    </row>
    <row r="792">
      <c r="A792" s="34"/>
      <c r="B792" s="34"/>
      <c r="C792" s="34"/>
      <c r="D792" s="34"/>
      <c r="E792" s="34"/>
      <c r="F792" s="34"/>
      <c r="G792" s="34"/>
      <c r="H792" s="34"/>
      <c r="I792" s="34"/>
      <c r="J792" s="34"/>
      <c r="K792" s="34"/>
      <c r="L792" s="34"/>
    </row>
    <row r="793">
      <c r="A793" s="34"/>
      <c r="B793" s="34"/>
      <c r="C793" s="34"/>
      <c r="D793" s="34"/>
      <c r="E793" s="34"/>
      <c r="F793" s="34"/>
      <c r="G793" s="34"/>
      <c r="H793" s="34"/>
      <c r="I793" s="34"/>
      <c r="J793" s="34"/>
      <c r="K793" s="34"/>
      <c r="L793" s="34"/>
    </row>
    <row r="794">
      <c r="A794" s="34"/>
      <c r="B794" s="34"/>
      <c r="C794" s="34"/>
      <c r="D794" s="34"/>
      <c r="E794" s="34"/>
      <c r="F794" s="34"/>
      <c r="G794" s="34"/>
      <c r="H794" s="34"/>
      <c r="I794" s="34"/>
      <c r="J794" s="34"/>
      <c r="K794" s="34"/>
      <c r="L794" s="34"/>
    </row>
    <row r="795">
      <c r="A795" s="34"/>
      <c r="B795" s="34"/>
      <c r="C795" s="34"/>
      <c r="D795" s="34"/>
      <c r="E795" s="34"/>
      <c r="F795" s="34"/>
      <c r="G795" s="34"/>
      <c r="H795" s="34"/>
      <c r="I795" s="34"/>
      <c r="J795" s="34"/>
      <c r="K795" s="34"/>
      <c r="L795" s="34"/>
    </row>
    <row r="796">
      <c r="A796" s="34"/>
      <c r="B796" s="34"/>
      <c r="C796" s="34"/>
      <c r="D796" s="34"/>
      <c r="E796" s="34"/>
      <c r="F796" s="34"/>
      <c r="G796" s="34"/>
      <c r="H796" s="34"/>
      <c r="I796" s="34"/>
      <c r="J796" s="34"/>
      <c r="K796" s="34"/>
      <c r="L796" s="34"/>
    </row>
    <row r="797">
      <c r="A797" s="34"/>
      <c r="B797" s="34"/>
      <c r="C797" s="34"/>
      <c r="D797" s="34"/>
      <c r="E797" s="34"/>
      <c r="F797" s="34"/>
      <c r="G797" s="34"/>
      <c r="H797" s="34"/>
      <c r="I797" s="34"/>
      <c r="J797" s="34"/>
      <c r="K797" s="34"/>
      <c r="L797" s="34"/>
    </row>
    <row r="798">
      <c r="A798" s="34"/>
      <c r="B798" s="34"/>
      <c r="C798" s="34"/>
      <c r="D798" s="34"/>
      <c r="E798" s="34"/>
      <c r="F798" s="34"/>
      <c r="G798" s="34"/>
      <c r="H798" s="34"/>
      <c r="I798" s="34"/>
      <c r="J798" s="34"/>
      <c r="K798" s="34"/>
      <c r="L798" s="34"/>
    </row>
    <row r="799">
      <c r="A799" s="34"/>
      <c r="B799" s="34"/>
      <c r="C799" s="34"/>
      <c r="D799" s="34"/>
      <c r="E799" s="34"/>
      <c r="F799" s="34"/>
      <c r="G799" s="34"/>
      <c r="H799" s="34"/>
      <c r="I799" s="34"/>
      <c r="J799" s="34"/>
      <c r="K799" s="34"/>
      <c r="L799" s="34"/>
    </row>
    <row r="800">
      <c r="A800" s="34"/>
      <c r="B800" s="34"/>
      <c r="C800" s="34"/>
      <c r="D800" s="34"/>
      <c r="E800" s="34"/>
      <c r="F800" s="34"/>
      <c r="G800" s="34"/>
      <c r="H800" s="34"/>
      <c r="I800" s="34"/>
      <c r="J800" s="34"/>
      <c r="K800" s="34"/>
      <c r="L800" s="34"/>
    </row>
    <row r="801">
      <c r="A801" s="34"/>
      <c r="B801" s="34"/>
      <c r="C801" s="34"/>
      <c r="D801" s="34"/>
      <c r="E801" s="34"/>
      <c r="F801" s="34"/>
      <c r="G801" s="34"/>
      <c r="H801" s="34"/>
      <c r="I801" s="34"/>
      <c r="J801" s="34"/>
      <c r="K801" s="34"/>
      <c r="L801" s="34"/>
    </row>
    <row r="802">
      <c r="A802" s="34"/>
      <c r="B802" s="34"/>
      <c r="C802" s="34"/>
      <c r="D802" s="34"/>
      <c r="E802" s="34"/>
      <c r="F802" s="34"/>
      <c r="G802" s="34"/>
      <c r="H802" s="34"/>
      <c r="I802" s="34"/>
      <c r="J802" s="34"/>
      <c r="K802" s="34"/>
      <c r="L802" s="34"/>
    </row>
    <row r="803">
      <c r="A803" s="34"/>
      <c r="B803" s="34"/>
      <c r="C803" s="34"/>
      <c r="D803" s="34"/>
      <c r="E803" s="34"/>
      <c r="F803" s="34"/>
      <c r="G803" s="34"/>
      <c r="H803" s="34"/>
      <c r="I803" s="34"/>
      <c r="J803" s="34"/>
      <c r="K803" s="34"/>
      <c r="L803" s="34"/>
    </row>
    <row r="804">
      <c r="A804" s="34"/>
      <c r="B804" s="34"/>
      <c r="C804" s="34"/>
      <c r="D804" s="34"/>
      <c r="E804" s="34"/>
      <c r="F804" s="34"/>
      <c r="G804" s="34"/>
      <c r="H804" s="34"/>
      <c r="I804" s="34"/>
      <c r="J804" s="34"/>
      <c r="K804" s="34"/>
      <c r="L804" s="34"/>
    </row>
    <row r="805">
      <c r="A805" s="34"/>
      <c r="B805" s="34"/>
      <c r="C805" s="34"/>
      <c r="D805" s="34"/>
      <c r="E805" s="34"/>
      <c r="F805" s="34"/>
      <c r="G805" s="34"/>
      <c r="H805" s="34"/>
      <c r="I805" s="34"/>
      <c r="J805" s="34"/>
      <c r="K805" s="34"/>
      <c r="L805" s="34"/>
    </row>
    <row r="806">
      <c r="A806" s="34"/>
      <c r="B806" s="34"/>
      <c r="C806" s="34"/>
      <c r="D806" s="34"/>
      <c r="E806" s="34"/>
      <c r="F806" s="34"/>
      <c r="G806" s="34"/>
      <c r="H806" s="34"/>
      <c r="I806" s="34"/>
      <c r="J806" s="34"/>
      <c r="K806" s="34"/>
      <c r="L806" s="34"/>
    </row>
    <row r="807">
      <c r="A807" s="34"/>
      <c r="B807" s="34"/>
      <c r="C807" s="34"/>
      <c r="D807" s="34"/>
      <c r="E807" s="34"/>
      <c r="F807" s="34"/>
      <c r="G807" s="34"/>
      <c r="H807" s="34"/>
      <c r="I807" s="34"/>
      <c r="J807" s="34"/>
      <c r="K807" s="34"/>
      <c r="L807" s="34"/>
    </row>
    <row r="808">
      <c r="A808" s="34"/>
      <c r="B808" s="34"/>
      <c r="C808" s="34"/>
      <c r="D808" s="34"/>
      <c r="E808" s="34"/>
      <c r="F808" s="34"/>
      <c r="G808" s="34"/>
      <c r="H808" s="34"/>
      <c r="I808" s="34"/>
      <c r="J808" s="34"/>
      <c r="K808" s="34"/>
      <c r="L808" s="34"/>
    </row>
    <row r="809">
      <c r="A809" s="34"/>
      <c r="B809" s="34"/>
      <c r="C809" s="34"/>
      <c r="D809" s="34"/>
      <c r="E809" s="34"/>
      <c r="F809" s="34"/>
      <c r="G809" s="34"/>
      <c r="H809" s="34"/>
      <c r="I809" s="34"/>
      <c r="J809" s="34"/>
      <c r="K809" s="34"/>
      <c r="L809" s="34"/>
    </row>
    <row r="810">
      <c r="A810" s="34"/>
      <c r="B810" s="34"/>
      <c r="C810" s="34"/>
      <c r="D810" s="34"/>
      <c r="E810" s="34"/>
      <c r="F810" s="34"/>
      <c r="G810" s="34"/>
      <c r="H810" s="34"/>
      <c r="I810" s="34"/>
      <c r="J810" s="34"/>
      <c r="K810" s="34"/>
      <c r="L810" s="34"/>
    </row>
    <row r="811">
      <c r="A811" s="34"/>
      <c r="B811" s="34"/>
      <c r="C811" s="34"/>
      <c r="D811" s="34"/>
      <c r="E811" s="34"/>
      <c r="F811" s="34"/>
      <c r="G811" s="34"/>
      <c r="H811" s="34"/>
      <c r="I811" s="34"/>
      <c r="J811" s="34"/>
      <c r="K811" s="34"/>
      <c r="L811" s="34"/>
    </row>
    <row r="812">
      <c r="A812" s="34"/>
      <c r="B812" s="34"/>
      <c r="C812" s="34"/>
      <c r="D812" s="34"/>
      <c r="E812" s="34"/>
      <c r="F812" s="34"/>
      <c r="G812" s="34"/>
      <c r="H812" s="34"/>
      <c r="I812" s="34"/>
      <c r="J812" s="34"/>
      <c r="K812" s="34"/>
      <c r="L812" s="34"/>
    </row>
    <row r="813">
      <c r="A813" s="34"/>
      <c r="B813" s="34"/>
      <c r="C813" s="34"/>
      <c r="D813" s="34"/>
      <c r="E813" s="34"/>
      <c r="F813" s="34"/>
      <c r="G813" s="34"/>
      <c r="H813" s="34"/>
      <c r="I813" s="34"/>
      <c r="J813" s="34"/>
      <c r="K813" s="34"/>
      <c r="L813" s="34"/>
    </row>
    <row r="814">
      <c r="A814" s="34"/>
      <c r="B814" s="34"/>
      <c r="C814" s="34"/>
      <c r="D814" s="34"/>
      <c r="E814" s="34"/>
      <c r="F814" s="34"/>
      <c r="G814" s="34"/>
      <c r="H814" s="34"/>
      <c r="I814" s="34"/>
      <c r="J814" s="34"/>
      <c r="K814" s="34"/>
      <c r="L814" s="34"/>
    </row>
    <row r="815">
      <c r="A815" s="34"/>
      <c r="B815" s="34"/>
      <c r="C815" s="34"/>
      <c r="D815" s="34"/>
      <c r="E815" s="34"/>
      <c r="F815" s="34"/>
      <c r="G815" s="34"/>
      <c r="H815" s="34"/>
      <c r="I815" s="34"/>
      <c r="J815" s="34"/>
      <c r="K815" s="34"/>
      <c r="L815" s="34"/>
    </row>
    <row r="816">
      <c r="A816" s="34"/>
      <c r="B816" s="34"/>
      <c r="C816" s="34"/>
      <c r="D816" s="34"/>
      <c r="E816" s="34"/>
      <c r="F816" s="34"/>
      <c r="G816" s="34"/>
      <c r="H816" s="34"/>
      <c r="I816" s="34"/>
      <c r="J816" s="34"/>
      <c r="K816" s="34"/>
      <c r="L816" s="34"/>
    </row>
    <row r="817">
      <c r="A817" s="34"/>
      <c r="B817" s="34"/>
      <c r="C817" s="34"/>
      <c r="D817" s="34"/>
      <c r="E817" s="34"/>
      <c r="F817" s="34"/>
      <c r="G817" s="34"/>
      <c r="H817" s="34"/>
      <c r="I817" s="34"/>
      <c r="J817" s="34"/>
      <c r="K817" s="34"/>
      <c r="L817" s="34"/>
    </row>
    <row r="818">
      <c r="A818" s="34"/>
      <c r="B818" s="34"/>
      <c r="C818" s="34"/>
      <c r="D818" s="34"/>
      <c r="E818" s="34"/>
      <c r="F818" s="34"/>
      <c r="G818" s="34"/>
      <c r="H818" s="34"/>
      <c r="I818" s="34"/>
      <c r="J818" s="34"/>
      <c r="K818" s="34"/>
      <c r="L818" s="34"/>
    </row>
    <row r="819">
      <c r="A819" s="34"/>
      <c r="B819" s="34"/>
      <c r="C819" s="34"/>
      <c r="D819" s="34"/>
      <c r="E819" s="34"/>
      <c r="F819" s="34"/>
      <c r="G819" s="34"/>
      <c r="H819" s="34"/>
      <c r="I819" s="34"/>
      <c r="J819" s="34"/>
      <c r="K819" s="34"/>
      <c r="L819" s="34"/>
    </row>
    <row r="820">
      <c r="A820" s="34"/>
      <c r="B820" s="34"/>
      <c r="C820" s="34"/>
      <c r="D820" s="34"/>
      <c r="E820" s="34"/>
      <c r="F820" s="34"/>
      <c r="G820" s="34"/>
      <c r="H820" s="34"/>
      <c r="I820" s="34"/>
      <c r="J820" s="34"/>
      <c r="K820" s="34"/>
      <c r="L820" s="34"/>
    </row>
    <row r="821">
      <c r="A821" s="34"/>
      <c r="B821" s="34"/>
      <c r="C821" s="34"/>
      <c r="D821" s="34"/>
      <c r="E821" s="34"/>
      <c r="F821" s="34"/>
      <c r="G821" s="34"/>
      <c r="H821" s="34"/>
      <c r="I821" s="34"/>
      <c r="J821" s="34"/>
      <c r="K821" s="34"/>
      <c r="L821" s="34"/>
    </row>
    <row r="822">
      <c r="A822" s="34"/>
      <c r="B822" s="34"/>
      <c r="C822" s="34"/>
      <c r="D822" s="34"/>
      <c r="E822" s="34"/>
      <c r="F822" s="34"/>
      <c r="G822" s="34"/>
      <c r="H822" s="34"/>
      <c r="I822" s="34"/>
      <c r="J822" s="34"/>
      <c r="K822" s="34"/>
      <c r="L822" s="34"/>
    </row>
    <row r="823">
      <c r="A823" s="34"/>
      <c r="B823" s="34"/>
      <c r="C823" s="34"/>
      <c r="D823" s="34"/>
      <c r="E823" s="34"/>
      <c r="F823" s="34"/>
      <c r="G823" s="34"/>
      <c r="H823" s="34"/>
      <c r="I823" s="34"/>
      <c r="J823" s="34"/>
      <c r="K823" s="34"/>
      <c r="L823" s="34"/>
    </row>
    <row r="824">
      <c r="A824" s="34"/>
      <c r="B824" s="34"/>
      <c r="C824" s="34"/>
      <c r="D824" s="34"/>
      <c r="E824" s="34"/>
      <c r="F824" s="34"/>
      <c r="G824" s="34"/>
      <c r="H824" s="34"/>
      <c r="I824" s="34"/>
      <c r="J824" s="34"/>
      <c r="K824" s="34"/>
      <c r="L824" s="34"/>
    </row>
    <row r="825">
      <c r="A825" s="34"/>
      <c r="B825" s="34"/>
      <c r="C825" s="34"/>
      <c r="D825" s="34"/>
      <c r="E825" s="34"/>
      <c r="F825" s="34"/>
      <c r="G825" s="34"/>
      <c r="H825" s="34"/>
      <c r="I825" s="34"/>
      <c r="J825" s="34"/>
      <c r="K825" s="34"/>
      <c r="L825" s="34"/>
    </row>
    <row r="826">
      <c r="A826" s="34"/>
      <c r="B826" s="34"/>
      <c r="C826" s="34"/>
      <c r="D826" s="34"/>
      <c r="E826" s="34"/>
      <c r="F826" s="34"/>
      <c r="G826" s="34"/>
      <c r="H826" s="34"/>
      <c r="I826" s="34"/>
      <c r="J826" s="34"/>
      <c r="K826" s="34"/>
      <c r="L826" s="34"/>
    </row>
    <row r="827">
      <c r="A827" s="34"/>
      <c r="B827" s="34"/>
      <c r="C827" s="34"/>
      <c r="D827" s="34"/>
      <c r="E827" s="34"/>
      <c r="F827" s="34"/>
      <c r="G827" s="34"/>
      <c r="H827" s="34"/>
      <c r="I827" s="34"/>
      <c r="J827" s="34"/>
      <c r="K827" s="34"/>
      <c r="L827" s="34"/>
    </row>
    <row r="828">
      <c r="A828" s="34"/>
      <c r="B828" s="34"/>
      <c r="C828" s="34"/>
      <c r="D828" s="34"/>
      <c r="E828" s="34"/>
      <c r="F828" s="34"/>
      <c r="G828" s="34"/>
      <c r="H828" s="34"/>
      <c r="I828" s="34"/>
      <c r="J828" s="34"/>
      <c r="K828" s="34"/>
      <c r="L828" s="34"/>
    </row>
    <row r="829">
      <c r="A829" s="34"/>
      <c r="B829" s="34"/>
      <c r="C829" s="34"/>
      <c r="D829" s="34"/>
      <c r="E829" s="34"/>
      <c r="F829" s="34"/>
      <c r="G829" s="34"/>
      <c r="H829" s="34"/>
      <c r="I829" s="34"/>
      <c r="J829" s="34"/>
      <c r="K829" s="34"/>
      <c r="L829" s="34"/>
    </row>
    <row r="830">
      <c r="A830" s="34"/>
      <c r="B830" s="34"/>
      <c r="C830" s="34"/>
      <c r="D830" s="34"/>
      <c r="E830" s="34"/>
      <c r="F830" s="34"/>
      <c r="G830" s="34"/>
      <c r="H830" s="34"/>
      <c r="I830" s="34"/>
      <c r="J830" s="34"/>
      <c r="K830" s="34"/>
      <c r="L830" s="34"/>
    </row>
    <row r="831">
      <c r="A831" s="34"/>
      <c r="B831" s="34"/>
      <c r="C831" s="34"/>
      <c r="D831" s="34"/>
      <c r="E831" s="34"/>
      <c r="F831" s="34"/>
      <c r="G831" s="34"/>
      <c r="H831" s="34"/>
      <c r="I831" s="34"/>
      <c r="J831" s="34"/>
      <c r="K831" s="34"/>
      <c r="L831" s="34"/>
    </row>
    <row r="832">
      <c r="A832" s="34"/>
      <c r="B832" s="34"/>
      <c r="C832" s="34"/>
      <c r="D832" s="34"/>
      <c r="E832" s="34"/>
      <c r="F832" s="34"/>
      <c r="G832" s="34"/>
      <c r="H832" s="34"/>
      <c r="I832" s="34"/>
      <c r="J832" s="34"/>
      <c r="K832" s="34"/>
      <c r="L832" s="34"/>
    </row>
    <row r="833">
      <c r="A833" s="34"/>
      <c r="B833" s="34"/>
      <c r="C833" s="34"/>
      <c r="D833" s="34"/>
      <c r="E833" s="34"/>
      <c r="F833" s="34"/>
      <c r="G833" s="34"/>
      <c r="H833" s="34"/>
      <c r="I833" s="34"/>
      <c r="J833" s="34"/>
      <c r="K833" s="34"/>
      <c r="L833" s="34"/>
    </row>
    <row r="834">
      <c r="A834" s="34"/>
      <c r="B834" s="34"/>
      <c r="C834" s="34"/>
      <c r="D834" s="34"/>
      <c r="E834" s="34"/>
      <c r="F834" s="34"/>
      <c r="G834" s="34"/>
      <c r="H834" s="34"/>
      <c r="I834" s="34"/>
      <c r="J834" s="34"/>
      <c r="K834" s="34"/>
      <c r="L834" s="34"/>
    </row>
    <row r="835">
      <c r="A835" s="34"/>
      <c r="B835" s="34"/>
      <c r="C835" s="34"/>
      <c r="D835" s="34"/>
      <c r="E835" s="34"/>
      <c r="F835" s="34"/>
      <c r="G835" s="34"/>
      <c r="H835" s="34"/>
      <c r="I835" s="34"/>
      <c r="J835" s="34"/>
      <c r="K835" s="34"/>
      <c r="L835" s="34"/>
    </row>
    <row r="836">
      <c r="A836" s="34"/>
      <c r="B836" s="34"/>
      <c r="C836" s="34"/>
      <c r="D836" s="34"/>
      <c r="E836" s="34"/>
      <c r="F836" s="34"/>
      <c r="G836" s="34"/>
      <c r="H836" s="34"/>
      <c r="I836" s="34"/>
      <c r="J836" s="34"/>
      <c r="K836" s="34"/>
      <c r="L836" s="34"/>
    </row>
    <row r="837">
      <c r="A837" s="34"/>
      <c r="B837" s="34"/>
      <c r="C837" s="34"/>
      <c r="D837" s="34"/>
      <c r="E837" s="34"/>
      <c r="F837" s="34"/>
      <c r="G837" s="34"/>
      <c r="H837" s="34"/>
      <c r="I837" s="34"/>
      <c r="J837" s="34"/>
      <c r="K837" s="34"/>
      <c r="L837" s="34"/>
    </row>
    <row r="838">
      <c r="A838" s="34"/>
      <c r="B838" s="34"/>
      <c r="C838" s="34"/>
      <c r="D838" s="34"/>
      <c r="E838" s="34"/>
      <c r="F838" s="34"/>
      <c r="G838" s="34"/>
      <c r="H838" s="34"/>
      <c r="I838" s="34"/>
      <c r="J838" s="34"/>
      <c r="K838" s="34"/>
      <c r="L838" s="34"/>
    </row>
    <row r="839">
      <c r="A839" s="34"/>
      <c r="B839" s="34"/>
      <c r="C839" s="34"/>
      <c r="D839" s="34"/>
      <c r="E839" s="34"/>
      <c r="F839" s="34"/>
      <c r="G839" s="34"/>
      <c r="H839" s="34"/>
      <c r="I839" s="34"/>
      <c r="J839" s="34"/>
      <c r="K839" s="34"/>
      <c r="L839" s="34"/>
    </row>
    <row r="840">
      <c r="A840" s="34"/>
      <c r="B840" s="34"/>
      <c r="C840" s="34"/>
      <c r="D840" s="34"/>
      <c r="E840" s="34"/>
      <c r="F840" s="34"/>
      <c r="G840" s="34"/>
      <c r="H840" s="34"/>
      <c r="I840" s="34"/>
      <c r="J840" s="34"/>
      <c r="K840" s="34"/>
      <c r="L840" s="34"/>
    </row>
    <row r="841">
      <c r="A841" s="34"/>
      <c r="B841" s="34"/>
      <c r="C841" s="34"/>
      <c r="D841" s="34"/>
      <c r="E841" s="34"/>
      <c r="F841" s="34"/>
      <c r="G841" s="34"/>
      <c r="H841" s="34"/>
      <c r="I841" s="34"/>
      <c r="J841" s="34"/>
      <c r="K841" s="34"/>
      <c r="L841" s="34"/>
    </row>
    <row r="842">
      <c r="A842" s="34"/>
      <c r="B842" s="34"/>
      <c r="C842" s="34"/>
      <c r="D842" s="34"/>
      <c r="E842" s="34"/>
      <c r="F842" s="34"/>
      <c r="G842" s="34"/>
      <c r="H842" s="34"/>
      <c r="I842" s="34"/>
      <c r="J842" s="34"/>
      <c r="K842" s="34"/>
      <c r="L842" s="34"/>
    </row>
    <row r="843">
      <c r="A843" s="34"/>
      <c r="B843" s="34"/>
      <c r="C843" s="34"/>
      <c r="D843" s="34"/>
      <c r="E843" s="34"/>
      <c r="F843" s="34"/>
      <c r="G843" s="34"/>
      <c r="H843" s="34"/>
      <c r="I843" s="34"/>
      <c r="J843" s="34"/>
      <c r="K843" s="34"/>
      <c r="L843" s="34"/>
    </row>
    <row r="844">
      <c r="A844" s="34"/>
      <c r="B844" s="34"/>
      <c r="C844" s="34"/>
      <c r="D844" s="34"/>
      <c r="E844" s="34"/>
      <c r="F844" s="34"/>
      <c r="G844" s="34"/>
      <c r="H844" s="34"/>
      <c r="I844" s="34"/>
      <c r="J844" s="34"/>
      <c r="K844" s="34"/>
      <c r="L844" s="34"/>
    </row>
    <row r="845">
      <c r="A845" s="34"/>
      <c r="B845" s="34"/>
      <c r="C845" s="34"/>
      <c r="D845" s="34"/>
      <c r="E845" s="34"/>
      <c r="F845" s="34"/>
      <c r="G845" s="34"/>
      <c r="H845" s="34"/>
      <c r="I845" s="34"/>
      <c r="J845" s="34"/>
      <c r="K845" s="34"/>
      <c r="L845" s="34"/>
    </row>
    <row r="846">
      <c r="A846" s="34"/>
      <c r="B846" s="34"/>
      <c r="C846" s="34"/>
      <c r="D846" s="34"/>
      <c r="E846" s="34"/>
      <c r="F846" s="34"/>
      <c r="G846" s="34"/>
      <c r="H846" s="34"/>
      <c r="I846" s="34"/>
      <c r="J846" s="34"/>
      <c r="K846" s="34"/>
      <c r="L846" s="34"/>
    </row>
    <row r="847">
      <c r="A847" s="34"/>
      <c r="B847" s="34"/>
      <c r="C847" s="34"/>
      <c r="D847" s="34"/>
      <c r="E847" s="34"/>
      <c r="F847" s="34"/>
      <c r="G847" s="34"/>
      <c r="H847" s="34"/>
      <c r="I847" s="34"/>
      <c r="J847" s="34"/>
      <c r="K847" s="34"/>
      <c r="L847" s="34"/>
    </row>
    <row r="848">
      <c r="A848" s="34"/>
      <c r="B848" s="34"/>
      <c r="C848" s="34"/>
      <c r="D848" s="34"/>
      <c r="E848" s="34"/>
      <c r="F848" s="34"/>
      <c r="G848" s="34"/>
      <c r="H848" s="34"/>
      <c r="I848" s="34"/>
      <c r="J848" s="34"/>
      <c r="K848" s="34"/>
      <c r="L848" s="34"/>
    </row>
    <row r="849">
      <c r="A849" s="34"/>
      <c r="B849" s="34"/>
      <c r="C849" s="34"/>
      <c r="D849" s="34"/>
      <c r="E849" s="34"/>
      <c r="F849" s="34"/>
      <c r="G849" s="34"/>
      <c r="H849" s="34"/>
      <c r="I849" s="34"/>
      <c r="J849" s="34"/>
      <c r="K849" s="34"/>
      <c r="L849" s="34"/>
    </row>
    <row r="850">
      <c r="A850" s="34"/>
      <c r="B850" s="34"/>
      <c r="C850" s="34"/>
      <c r="D850" s="34"/>
      <c r="E850" s="34"/>
      <c r="F850" s="34"/>
      <c r="G850" s="34"/>
      <c r="H850" s="34"/>
      <c r="I850" s="34"/>
      <c r="J850" s="34"/>
      <c r="K850" s="34"/>
      <c r="L850" s="34"/>
    </row>
    <row r="851">
      <c r="A851" s="34"/>
      <c r="B851" s="34"/>
      <c r="C851" s="34"/>
      <c r="D851" s="34"/>
      <c r="E851" s="34"/>
      <c r="F851" s="34"/>
      <c r="G851" s="34"/>
      <c r="H851" s="34"/>
      <c r="I851" s="34"/>
      <c r="J851" s="34"/>
      <c r="K851" s="34"/>
      <c r="L851" s="34"/>
    </row>
    <row r="852">
      <c r="A852" s="34"/>
      <c r="B852" s="34"/>
      <c r="C852" s="34"/>
      <c r="D852" s="34"/>
      <c r="E852" s="34"/>
      <c r="F852" s="34"/>
      <c r="G852" s="34"/>
      <c r="H852" s="34"/>
      <c r="I852" s="34"/>
      <c r="J852" s="34"/>
      <c r="K852" s="34"/>
      <c r="L852" s="34"/>
    </row>
    <row r="853">
      <c r="A853" s="34"/>
      <c r="B853" s="34"/>
      <c r="C853" s="34"/>
      <c r="D853" s="34"/>
      <c r="E853" s="34"/>
      <c r="F853" s="34"/>
      <c r="G853" s="34"/>
      <c r="H853" s="34"/>
      <c r="I853" s="34"/>
      <c r="J853" s="34"/>
      <c r="K853" s="34"/>
      <c r="L853" s="34"/>
    </row>
    <row r="854">
      <c r="A854" s="34"/>
      <c r="B854" s="34"/>
      <c r="C854" s="34"/>
      <c r="D854" s="34"/>
      <c r="E854" s="34"/>
      <c r="F854" s="34"/>
      <c r="G854" s="34"/>
      <c r="H854" s="34"/>
      <c r="I854" s="34"/>
      <c r="J854" s="34"/>
      <c r="K854" s="34"/>
      <c r="L854" s="34"/>
    </row>
    <row r="855">
      <c r="A855" s="34"/>
      <c r="B855" s="34"/>
      <c r="C855" s="34"/>
      <c r="D855" s="34"/>
      <c r="E855" s="34"/>
      <c r="F855" s="34"/>
      <c r="G855" s="34"/>
      <c r="H855" s="34"/>
      <c r="I855" s="34"/>
      <c r="J855" s="34"/>
      <c r="K855" s="34"/>
      <c r="L855" s="34"/>
    </row>
    <row r="856">
      <c r="A856" s="34"/>
      <c r="B856" s="34"/>
      <c r="C856" s="34"/>
      <c r="D856" s="34"/>
      <c r="E856" s="34"/>
      <c r="F856" s="34"/>
      <c r="G856" s="34"/>
      <c r="H856" s="34"/>
      <c r="I856" s="34"/>
      <c r="J856" s="34"/>
      <c r="K856" s="34"/>
      <c r="L856" s="34"/>
    </row>
    <row r="857">
      <c r="A857" s="34"/>
      <c r="B857" s="34"/>
      <c r="C857" s="34"/>
      <c r="D857" s="34"/>
      <c r="E857" s="34"/>
      <c r="F857" s="34"/>
      <c r="G857" s="34"/>
      <c r="H857" s="34"/>
      <c r="I857" s="34"/>
      <c r="J857" s="34"/>
      <c r="K857" s="34"/>
      <c r="L857" s="34"/>
    </row>
    <row r="858">
      <c r="A858" s="34"/>
      <c r="B858" s="34"/>
      <c r="C858" s="34"/>
      <c r="D858" s="34"/>
      <c r="E858" s="34"/>
      <c r="F858" s="34"/>
      <c r="G858" s="34"/>
      <c r="H858" s="34"/>
      <c r="I858" s="34"/>
      <c r="J858" s="34"/>
      <c r="K858" s="34"/>
      <c r="L858" s="34"/>
    </row>
    <row r="859">
      <c r="A859" s="34"/>
      <c r="B859" s="34"/>
      <c r="C859" s="34"/>
      <c r="D859" s="34"/>
      <c r="E859" s="34"/>
      <c r="F859" s="34"/>
      <c r="G859" s="34"/>
      <c r="H859" s="34"/>
      <c r="I859" s="34"/>
      <c r="J859" s="34"/>
      <c r="K859" s="34"/>
      <c r="L859" s="34"/>
    </row>
    <row r="860">
      <c r="A860" s="34"/>
      <c r="B860" s="34"/>
      <c r="C860" s="34"/>
      <c r="D860" s="34"/>
      <c r="E860" s="34"/>
      <c r="F860" s="34"/>
      <c r="G860" s="34"/>
      <c r="H860" s="34"/>
      <c r="I860" s="34"/>
      <c r="J860" s="34"/>
      <c r="K860" s="34"/>
      <c r="L860" s="34"/>
    </row>
    <row r="861">
      <c r="A861" s="34"/>
      <c r="B861" s="34"/>
      <c r="C861" s="34"/>
      <c r="D861" s="34"/>
      <c r="E861" s="34"/>
      <c r="F861" s="34"/>
      <c r="G861" s="34"/>
      <c r="H861" s="34"/>
      <c r="I861" s="34"/>
      <c r="J861" s="34"/>
      <c r="K861" s="34"/>
      <c r="L861" s="34"/>
    </row>
    <row r="862">
      <c r="A862" s="34"/>
      <c r="B862" s="34"/>
      <c r="C862" s="34"/>
      <c r="D862" s="34"/>
      <c r="E862" s="34"/>
      <c r="F862" s="34"/>
      <c r="G862" s="34"/>
      <c r="H862" s="34"/>
      <c r="I862" s="34"/>
      <c r="J862" s="34"/>
      <c r="K862" s="34"/>
      <c r="L862" s="34"/>
    </row>
    <row r="863">
      <c r="A863" s="34"/>
      <c r="B863" s="34"/>
      <c r="C863" s="34"/>
      <c r="D863" s="34"/>
      <c r="E863" s="34"/>
      <c r="F863" s="34"/>
      <c r="G863" s="34"/>
      <c r="H863" s="34"/>
      <c r="I863" s="34"/>
      <c r="J863" s="34"/>
      <c r="K863" s="34"/>
      <c r="L863" s="34"/>
    </row>
    <row r="864">
      <c r="A864" s="34"/>
      <c r="B864" s="34"/>
      <c r="C864" s="34"/>
      <c r="D864" s="34"/>
      <c r="E864" s="34"/>
      <c r="F864" s="34"/>
      <c r="G864" s="34"/>
      <c r="H864" s="34"/>
      <c r="I864" s="34"/>
      <c r="J864" s="34"/>
      <c r="K864" s="34"/>
      <c r="L864" s="34"/>
    </row>
    <row r="865">
      <c r="A865" s="34"/>
      <c r="B865" s="34"/>
      <c r="C865" s="34"/>
      <c r="D865" s="34"/>
      <c r="E865" s="34"/>
      <c r="F865" s="34"/>
      <c r="G865" s="34"/>
      <c r="H865" s="34"/>
      <c r="I865" s="34"/>
      <c r="J865" s="34"/>
      <c r="K865" s="34"/>
      <c r="L865" s="34"/>
    </row>
    <row r="866">
      <c r="A866" s="34"/>
      <c r="B866" s="34"/>
      <c r="C866" s="34"/>
      <c r="D866" s="34"/>
      <c r="E866" s="34"/>
      <c r="F866" s="34"/>
      <c r="G866" s="34"/>
      <c r="H866" s="34"/>
      <c r="I866" s="34"/>
      <c r="J866" s="34"/>
      <c r="K866" s="34"/>
      <c r="L866" s="34"/>
    </row>
    <row r="867">
      <c r="A867" s="34"/>
      <c r="B867" s="34"/>
      <c r="C867" s="34"/>
      <c r="D867" s="34"/>
      <c r="E867" s="34"/>
      <c r="F867" s="34"/>
      <c r="G867" s="34"/>
      <c r="H867" s="34"/>
      <c r="I867" s="34"/>
      <c r="J867" s="34"/>
      <c r="K867" s="34"/>
      <c r="L867" s="34"/>
    </row>
    <row r="868">
      <c r="A868" s="34"/>
      <c r="B868" s="34"/>
      <c r="C868" s="34"/>
      <c r="D868" s="34"/>
      <c r="E868" s="34"/>
      <c r="F868" s="34"/>
      <c r="G868" s="34"/>
      <c r="H868" s="34"/>
      <c r="I868" s="34"/>
      <c r="J868" s="34"/>
      <c r="K868" s="34"/>
      <c r="L868" s="34"/>
    </row>
    <row r="869">
      <c r="A869" s="34"/>
      <c r="B869" s="34"/>
      <c r="C869" s="34"/>
      <c r="D869" s="34"/>
      <c r="E869" s="34"/>
      <c r="F869" s="34"/>
      <c r="G869" s="34"/>
      <c r="H869" s="34"/>
      <c r="I869" s="34"/>
      <c r="J869" s="34"/>
      <c r="K869" s="34"/>
      <c r="L869" s="34"/>
    </row>
    <row r="870">
      <c r="A870" s="34"/>
      <c r="B870" s="34"/>
      <c r="C870" s="34"/>
      <c r="D870" s="34"/>
      <c r="E870" s="34"/>
      <c r="F870" s="34"/>
      <c r="G870" s="34"/>
      <c r="H870" s="34"/>
      <c r="I870" s="34"/>
      <c r="J870" s="34"/>
      <c r="K870" s="34"/>
      <c r="L870" s="34"/>
    </row>
    <row r="871">
      <c r="A871" s="34"/>
      <c r="B871" s="34"/>
      <c r="C871" s="34"/>
      <c r="D871" s="34"/>
      <c r="E871" s="34"/>
      <c r="F871" s="34"/>
      <c r="G871" s="34"/>
      <c r="H871" s="34"/>
      <c r="I871" s="34"/>
      <c r="J871" s="34"/>
      <c r="K871" s="34"/>
      <c r="L871" s="34"/>
    </row>
    <row r="872">
      <c r="A872" s="34"/>
      <c r="B872" s="34"/>
      <c r="C872" s="34"/>
      <c r="D872" s="34"/>
      <c r="E872" s="34"/>
      <c r="F872" s="34"/>
      <c r="G872" s="34"/>
      <c r="H872" s="34"/>
      <c r="I872" s="34"/>
      <c r="J872" s="34"/>
      <c r="K872" s="34"/>
      <c r="L872" s="34"/>
    </row>
    <row r="873">
      <c r="A873" s="34"/>
      <c r="B873" s="34"/>
      <c r="C873" s="34"/>
      <c r="D873" s="34"/>
      <c r="E873" s="34"/>
      <c r="F873" s="34"/>
      <c r="G873" s="34"/>
      <c r="H873" s="34"/>
      <c r="I873" s="34"/>
      <c r="J873" s="34"/>
      <c r="K873" s="34"/>
      <c r="L873" s="34"/>
    </row>
    <row r="874">
      <c r="A874" s="34"/>
      <c r="B874" s="34"/>
      <c r="C874" s="34"/>
      <c r="D874" s="34"/>
      <c r="E874" s="34"/>
      <c r="F874" s="34"/>
      <c r="G874" s="34"/>
      <c r="H874" s="34"/>
      <c r="I874" s="34"/>
      <c r="J874" s="34"/>
      <c r="K874" s="34"/>
      <c r="L874" s="34"/>
    </row>
    <row r="875">
      <c r="A875" s="34"/>
      <c r="B875" s="34"/>
      <c r="C875" s="34"/>
      <c r="D875" s="34"/>
      <c r="E875" s="34"/>
      <c r="F875" s="34"/>
      <c r="G875" s="34"/>
      <c r="H875" s="34"/>
      <c r="I875" s="34"/>
      <c r="J875" s="34"/>
      <c r="K875" s="34"/>
      <c r="L875" s="34"/>
    </row>
    <row r="876">
      <c r="A876" s="34"/>
      <c r="B876" s="34"/>
      <c r="C876" s="34"/>
      <c r="D876" s="34"/>
      <c r="E876" s="34"/>
      <c r="F876" s="34"/>
      <c r="G876" s="34"/>
      <c r="H876" s="34"/>
      <c r="I876" s="34"/>
      <c r="J876" s="34"/>
      <c r="K876" s="34"/>
      <c r="L876" s="34"/>
    </row>
    <row r="877">
      <c r="A877" s="34"/>
      <c r="B877" s="34"/>
      <c r="C877" s="34"/>
      <c r="D877" s="34"/>
      <c r="E877" s="34"/>
      <c r="F877" s="34"/>
      <c r="G877" s="34"/>
      <c r="H877" s="34"/>
      <c r="I877" s="34"/>
      <c r="J877" s="34"/>
      <c r="K877" s="34"/>
      <c r="L877" s="34"/>
    </row>
    <row r="878">
      <c r="A878" s="34"/>
      <c r="B878" s="34"/>
      <c r="C878" s="34"/>
      <c r="D878" s="34"/>
      <c r="E878" s="34"/>
      <c r="F878" s="34"/>
      <c r="G878" s="34"/>
      <c r="H878" s="34"/>
      <c r="I878" s="34"/>
      <c r="J878" s="34"/>
      <c r="K878" s="34"/>
      <c r="L878" s="34"/>
    </row>
    <row r="879">
      <c r="A879" s="34"/>
      <c r="B879" s="34"/>
      <c r="C879" s="34"/>
      <c r="D879" s="34"/>
      <c r="E879" s="34"/>
      <c r="F879" s="34"/>
      <c r="G879" s="34"/>
      <c r="H879" s="34"/>
      <c r="I879" s="34"/>
      <c r="J879" s="34"/>
      <c r="K879" s="34"/>
      <c r="L879" s="34"/>
    </row>
    <row r="880">
      <c r="A880" s="34"/>
      <c r="B880" s="34"/>
      <c r="C880" s="34"/>
      <c r="D880" s="34"/>
      <c r="E880" s="34"/>
      <c r="F880" s="34"/>
      <c r="G880" s="34"/>
      <c r="H880" s="34"/>
      <c r="I880" s="34"/>
      <c r="J880" s="34"/>
      <c r="K880" s="34"/>
      <c r="L880" s="34"/>
    </row>
    <row r="881">
      <c r="A881" s="34"/>
      <c r="B881" s="34"/>
      <c r="C881" s="34"/>
      <c r="D881" s="34"/>
      <c r="E881" s="34"/>
      <c r="F881" s="34"/>
      <c r="G881" s="34"/>
      <c r="H881" s="34"/>
      <c r="I881" s="34"/>
      <c r="J881" s="34"/>
      <c r="K881" s="34"/>
      <c r="L881" s="34"/>
    </row>
    <row r="882">
      <c r="A882" s="34"/>
      <c r="B882" s="34"/>
      <c r="C882" s="34"/>
      <c r="D882" s="34"/>
      <c r="E882" s="34"/>
      <c r="F882" s="34"/>
      <c r="G882" s="34"/>
      <c r="H882" s="34"/>
      <c r="I882" s="34"/>
      <c r="J882" s="34"/>
      <c r="K882" s="34"/>
      <c r="L882" s="34"/>
    </row>
    <row r="883">
      <c r="A883" s="34"/>
      <c r="B883" s="34"/>
      <c r="C883" s="34"/>
      <c r="D883" s="34"/>
      <c r="E883" s="34"/>
      <c r="F883" s="34"/>
      <c r="G883" s="34"/>
      <c r="H883" s="34"/>
      <c r="I883" s="34"/>
      <c r="J883" s="34"/>
      <c r="K883" s="34"/>
      <c r="L883" s="34"/>
    </row>
    <row r="884">
      <c r="A884" s="34"/>
      <c r="B884" s="34"/>
      <c r="C884" s="34"/>
      <c r="D884" s="34"/>
      <c r="E884" s="34"/>
      <c r="F884" s="34"/>
      <c r="G884" s="34"/>
      <c r="H884" s="34"/>
      <c r="I884" s="34"/>
      <c r="J884" s="34"/>
      <c r="K884" s="34"/>
      <c r="L884" s="34"/>
    </row>
    <row r="885">
      <c r="A885" s="34"/>
      <c r="B885" s="34"/>
      <c r="C885" s="34"/>
      <c r="D885" s="34"/>
      <c r="E885" s="34"/>
      <c r="F885" s="34"/>
      <c r="G885" s="34"/>
      <c r="H885" s="34"/>
      <c r="I885" s="34"/>
      <c r="J885" s="34"/>
      <c r="K885" s="34"/>
      <c r="L885" s="34"/>
    </row>
    <row r="886">
      <c r="A886" s="34"/>
      <c r="B886" s="34"/>
      <c r="C886" s="34"/>
      <c r="D886" s="34"/>
      <c r="E886" s="34"/>
      <c r="F886" s="34"/>
      <c r="G886" s="34"/>
      <c r="H886" s="34"/>
      <c r="I886" s="34"/>
      <c r="J886" s="34"/>
      <c r="K886" s="34"/>
      <c r="L886" s="34"/>
    </row>
    <row r="887">
      <c r="A887" s="34"/>
      <c r="B887" s="34"/>
      <c r="C887" s="34"/>
      <c r="D887" s="34"/>
      <c r="E887" s="34"/>
      <c r="F887" s="34"/>
      <c r="G887" s="34"/>
      <c r="H887" s="34"/>
      <c r="I887" s="34"/>
      <c r="J887" s="34"/>
      <c r="K887" s="34"/>
      <c r="L887" s="34"/>
    </row>
    <row r="888">
      <c r="A888" s="34"/>
      <c r="B888" s="34"/>
      <c r="C888" s="34"/>
      <c r="D888" s="34"/>
      <c r="E888" s="34"/>
      <c r="F888" s="34"/>
      <c r="G888" s="34"/>
      <c r="H888" s="34"/>
      <c r="I888" s="34"/>
      <c r="J888" s="34"/>
      <c r="K888" s="34"/>
      <c r="L888" s="34"/>
    </row>
    <row r="889">
      <c r="A889" s="34"/>
      <c r="B889" s="34"/>
      <c r="C889" s="34"/>
      <c r="D889" s="34"/>
      <c r="E889" s="34"/>
      <c r="F889" s="34"/>
      <c r="G889" s="34"/>
      <c r="H889" s="34"/>
      <c r="I889" s="34"/>
      <c r="J889" s="34"/>
      <c r="K889" s="34"/>
      <c r="L889" s="34"/>
    </row>
    <row r="890">
      <c r="A890" s="34"/>
      <c r="B890" s="34"/>
      <c r="C890" s="34"/>
      <c r="D890" s="34"/>
      <c r="E890" s="34"/>
      <c r="F890" s="34"/>
      <c r="G890" s="34"/>
      <c r="H890" s="34"/>
      <c r="I890" s="34"/>
      <c r="J890" s="34"/>
      <c r="K890" s="34"/>
      <c r="L890" s="34"/>
    </row>
    <row r="891">
      <c r="A891" s="34"/>
      <c r="B891" s="34"/>
      <c r="C891" s="34"/>
      <c r="D891" s="34"/>
      <c r="E891" s="34"/>
      <c r="F891" s="34"/>
      <c r="G891" s="34"/>
      <c r="H891" s="34"/>
      <c r="I891" s="34"/>
      <c r="J891" s="34"/>
      <c r="K891" s="34"/>
      <c r="L891" s="34"/>
    </row>
    <row r="892">
      <c r="A892" s="34"/>
      <c r="B892" s="34"/>
      <c r="C892" s="34"/>
      <c r="D892" s="34"/>
      <c r="E892" s="34"/>
      <c r="F892" s="34"/>
      <c r="G892" s="34"/>
      <c r="H892" s="34"/>
      <c r="I892" s="34"/>
      <c r="J892" s="34"/>
      <c r="K892" s="34"/>
      <c r="L892" s="34"/>
    </row>
    <row r="893">
      <c r="A893" s="34"/>
      <c r="B893" s="34"/>
      <c r="C893" s="34"/>
      <c r="D893" s="34"/>
      <c r="E893" s="34"/>
      <c r="F893" s="34"/>
      <c r="G893" s="34"/>
      <c r="H893" s="34"/>
      <c r="I893" s="34"/>
      <c r="J893" s="34"/>
      <c r="K893" s="34"/>
      <c r="L893" s="34"/>
    </row>
    <row r="894">
      <c r="A894" s="34"/>
      <c r="B894" s="34"/>
      <c r="C894" s="34"/>
      <c r="D894" s="34"/>
      <c r="E894" s="34"/>
      <c r="F894" s="34"/>
      <c r="G894" s="34"/>
      <c r="H894" s="34"/>
      <c r="I894" s="34"/>
      <c r="J894" s="34"/>
      <c r="K894" s="34"/>
      <c r="L894" s="34"/>
    </row>
    <row r="895">
      <c r="A895" s="34"/>
      <c r="B895" s="34"/>
      <c r="C895" s="34"/>
      <c r="D895" s="34"/>
      <c r="E895" s="34"/>
      <c r="F895" s="34"/>
      <c r="G895" s="34"/>
      <c r="H895" s="34"/>
      <c r="I895" s="34"/>
      <c r="J895" s="34"/>
      <c r="K895" s="34"/>
      <c r="L895" s="34"/>
    </row>
    <row r="896">
      <c r="A896" s="34"/>
      <c r="B896" s="34"/>
      <c r="C896" s="34"/>
      <c r="D896" s="34"/>
      <c r="E896" s="34"/>
      <c r="F896" s="34"/>
      <c r="G896" s="34"/>
      <c r="H896" s="34"/>
      <c r="I896" s="34"/>
      <c r="J896" s="34"/>
      <c r="K896" s="34"/>
      <c r="L896" s="34"/>
    </row>
    <row r="897">
      <c r="A897" s="34"/>
      <c r="B897" s="34"/>
      <c r="C897" s="34"/>
      <c r="D897" s="34"/>
      <c r="E897" s="34"/>
      <c r="F897" s="34"/>
      <c r="G897" s="34"/>
      <c r="H897" s="34"/>
      <c r="I897" s="34"/>
      <c r="J897" s="34"/>
      <c r="K897" s="34"/>
      <c r="L897" s="34"/>
    </row>
    <row r="898">
      <c r="A898" s="34"/>
      <c r="B898" s="34"/>
      <c r="C898" s="34"/>
      <c r="D898" s="34"/>
      <c r="E898" s="34"/>
      <c r="F898" s="34"/>
      <c r="G898" s="34"/>
      <c r="H898" s="34"/>
      <c r="I898" s="34"/>
      <c r="J898" s="34"/>
      <c r="K898" s="34"/>
      <c r="L898" s="34"/>
    </row>
    <row r="899">
      <c r="A899" s="34"/>
      <c r="B899" s="34"/>
      <c r="C899" s="34"/>
      <c r="D899" s="34"/>
      <c r="E899" s="34"/>
      <c r="F899" s="34"/>
      <c r="G899" s="34"/>
      <c r="H899" s="34"/>
      <c r="I899" s="34"/>
      <c r="J899" s="34"/>
      <c r="K899" s="34"/>
      <c r="L899" s="34"/>
    </row>
    <row r="900">
      <c r="A900" s="34"/>
      <c r="B900" s="34"/>
      <c r="C900" s="34"/>
      <c r="D900" s="34"/>
      <c r="E900" s="34"/>
      <c r="F900" s="34"/>
      <c r="G900" s="34"/>
      <c r="H900" s="34"/>
      <c r="I900" s="34"/>
      <c r="J900" s="34"/>
      <c r="K900" s="34"/>
      <c r="L900" s="34"/>
    </row>
    <row r="901">
      <c r="A901" s="34"/>
      <c r="B901" s="34"/>
      <c r="C901" s="34"/>
      <c r="D901" s="34"/>
      <c r="E901" s="34"/>
      <c r="F901" s="34"/>
      <c r="G901" s="34"/>
      <c r="H901" s="34"/>
      <c r="I901" s="34"/>
      <c r="J901" s="34"/>
      <c r="K901" s="34"/>
      <c r="L901" s="34"/>
    </row>
    <row r="902">
      <c r="A902" s="34"/>
      <c r="B902" s="34"/>
      <c r="C902" s="34"/>
      <c r="D902" s="34"/>
      <c r="E902" s="34"/>
      <c r="F902" s="34"/>
      <c r="G902" s="34"/>
      <c r="H902" s="34"/>
      <c r="I902" s="34"/>
      <c r="J902" s="34"/>
      <c r="K902" s="34"/>
      <c r="L902" s="34"/>
    </row>
    <row r="903">
      <c r="A903" s="34"/>
      <c r="B903" s="34"/>
      <c r="C903" s="34"/>
      <c r="D903" s="34"/>
      <c r="E903" s="34"/>
      <c r="F903" s="34"/>
      <c r="G903" s="34"/>
      <c r="H903" s="34"/>
      <c r="I903" s="34"/>
      <c r="J903" s="34"/>
      <c r="K903" s="34"/>
      <c r="L903" s="34"/>
    </row>
    <row r="904">
      <c r="A904" s="34"/>
      <c r="B904" s="34"/>
      <c r="C904" s="34"/>
      <c r="D904" s="34"/>
      <c r="E904" s="34"/>
      <c r="F904" s="34"/>
      <c r="G904" s="34"/>
      <c r="H904" s="34"/>
      <c r="I904" s="34"/>
      <c r="J904" s="34"/>
      <c r="K904" s="34"/>
      <c r="L904" s="34"/>
    </row>
    <row r="905">
      <c r="A905" s="34"/>
      <c r="B905" s="34"/>
      <c r="C905" s="34"/>
      <c r="D905" s="34"/>
      <c r="E905" s="34"/>
      <c r="F905" s="34"/>
      <c r="G905" s="34"/>
      <c r="H905" s="34"/>
      <c r="I905" s="34"/>
      <c r="J905" s="34"/>
      <c r="K905" s="34"/>
      <c r="L905" s="34"/>
    </row>
    <row r="906">
      <c r="A906" s="34"/>
      <c r="B906" s="34"/>
      <c r="C906" s="34"/>
      <c r="D906" s="34"/>
      <c r="E906" s="34"/>
      <c r="F906" s="34"/>
      <c r="G906" s="34"/>
      <c r="H906" s="34"/>
      <c r="I906" s="34"/>
      <c r="J906" s="34"/>
      <c r="K906" s="34"/>
      <c r="L906" s="34"/>
    </row>
    <row r="907">
      <c r="A907" s="34"/>
      <c r="B907" s="34"/>
      <c r="C907" s="34"/>
      <c r="D907" s="34"/>
      <c r="E907" s="34"/>
      <c r="F907" s="34"/>
      <c r="G907" s="34"/>
      <c r="H907" s="34"/>
      <c r="I907" s="34"/>
      <c r="J907" s="34"/>
      <c r="K907" s="34"/>
      <c r="L907" s="34"/>
    </row>
    <row r="908">
      <c r="A908" s="34"/>
      <c r="B908" s="34"/>
      <c r="C908" s="34"/>
      <c r="D908" s="34"/>
      <c r="E908" s="34"/>
      <c r="F908" s="34"/>
      <c r="G908" s="34"/>
      <c r="H908" s="34"/>
      <c r="I908" s="34"/>
      <c r="J908" s="34"/>
      <c r="K908" s="34"/>
      <c r="L908" s="34"/>
    </row>
    <row r="909">
      <c r="A909" s="34"/>
      <c r="B909" s="34"/>
      <c r="C909" s="34"/>
      <c r="D909" s="34"/>
      <c r="E909" s="34"/>
      <c r="F909" s="34"/>
      <c r="G909" s="34"/>
      <c r="H909" s="34"/>
      <c r="I909" s="34"/>
      <c r="J909" s="34"/>
      <c r="K909" s="34"/>
      <c r="L909" s="34"/>
    </row>
    <row r="910">
      <c r="A910" s="34"/>
      <c r="B910" s="34"/>
      <c r="C910" s="34"/>
      <c r="D910" s="34"/>
      <c r="E910" s="34"/>
      <c r="F910" s="34"/>
      <c r="G910" s="34"/>
      <c r="H910" s="34"/>
      <c r="I910" s="34"/>
      <c r="J910" s="34"/>
      <c r="K910" s="34"/>
      <c r="L910" s="34"/>
    </row>
    <row r="911">
      <c r="A911" s="34"/>
      <c r="B911" s="34"/>
      <c r="C911" s="34"/>
      <c r="D911" s="34"/>
      <c r="E911" s="34"/>
      <c r="F911" s="34"/>
      <c r="G911" s="34"/>
      <c r="H911" s="34"/>
      <c r="I911" s="34"/>
      <c r="J911" s="34"/>
      <c r="K911" s="34"/>
      <c r="L911" s="34"/>
    </row>
    <row r="912">
      <c r="A912" s="34"/>
      <c r="B912" s="34"/>
      <c r="C912" s="34"/>
      <c r="D912" s="34"/>
      <c r="E912" s="34"/>
      <c r="F912" s="34"/>
      <c r="G912" s="34"/>
      <c r="H912" s="34"/>
      <c r="I912" s="34"/>
      <c r="J912" s="34"/>
      <c r="K912" s="34"/>
      <c r="L912" s="34"/>
    </row>
    <row r="913">
      <c r="A913" s="34"/>
      <c r="B913" s="34"/>
      <c r="C913" s="34"/>
      <c r="D913" s="34"/>
      <c r="E913" s="34"/>
      <c r="F913" s="34"/>
      <c r="G913" s="34"/>
      <c r="H913" s="34"/>
      <c r="I913" s="34"/>
      <c r="J913" s="34"/>
      <c r="K913" s="34"/>
      <c r="L913" s="34"/>
    </row>
    <row r="914">
      <c r="A914" s="34"/>
      <c r="B914" s="34"/>
      <c r="C914" s="34"/>
      <c r="D914" s="34"/>
      <c r="E914" s="34"/>
      <c r="F914" s="34"/>
      <c r="G914" s="34"/>
      <c r="H914" s="34"/>
      <c r="I914" s="34"/>
      <c r="J914" s="34"/>
      <c r="K914" s="34"/>
      <c r="L914" s="34"/>
    </row>
    <row r="915">
      <c r="A915" s="34"/>
      <c r="B915" s="34"/>
      <c r="C915" s="34"/>
      <c r="D915" s="34"/>
      <c r="E915" s="34"/>
      <c r="F915" s="34"/>
      <c r="G915" s="34"/>
      <c r="H915" s="34"/>
      <c r="I915" s="34"/>
      <c r="J915" s="34"/>
      <c r="K915" s="34"/>
      <c r="L915" s="34"/>
    </row>
    <row r="916">
      <c r="A916" s="34"/>
      <c r="B916" s="34"/>
      <c r="C916" s="34"/>
      <c r="D916" s="34"/>
      <c r="E916" s="34"/>
      <c r="F916" s="34"/>
      <c r="G916" s="34"/>
      <c r="H916" s="34"/>
      <c r="I916" s="34"/>
      <c r="J916" s="34"/>
      <c r="K916" s="34"/>
      <c r="L916" s="34"/>
    </row>
    <row r="917">
      <c r="A917" s="34"/>
      <c r="B917" s="34"/>
      <c r="C917" s="34"/>
      <c r="D917" s="34"/>
      <c r="E917" s="34"/>
      <c r="F917" s="34"/>
      <c r="G917" s="34"/>
      <c r="H917" s="34"/>
      <c r="I917" s="34"/>
      <c r="J917" s="34"/>
      <c r="K917" s="34"/>
      <c r="L917" s="34"/>
    </row>
    <row r="918">
      <c r="A918" s="34"/>
      <c r="B918" s="34"/>
      <c r="C918" s="34"/>
      <c r="D918" s="34"/>
      <c r="E918" s="34"/>
      <c r="F918" s="34"/>
      <c r="G918" s="34"/>
      <c r="H918" s="34"/>
      <c r="I918" s="34"/>
      <c r="J918" s="34"/>
      <c r="K918" s="34"/>
      <c r="L918" s="34"/>
    </row>
    <row r="919">
      <c r="A919" s="34"/>
      <c r="B919" s="34"/>
      <c r="C919" s="34"/>
      <c r="D919" s="34"/>
      <c r="E919" s="34"/>
      <c r="F919" s="34"/>
      <c r="G919" s="34"/>
      <c r="H919" s="34"/>
      <c r="I919" s="34"/>
      <c r="J919" s="34"/>
      <c r="K919" s="34"/>
      <c r="L919" s="34"/>
    </row>
    <row r="920">
      <c r="A920" s="34"/>
      <c r="B920" s="34"/>
      <c r="C920" s="34"/>
      <c r="D920" s="34"/>
      <c r="E920" s="34"/>
      <c r="F920" s="34"/>
      <c r="G920" s="34"/>
      <c r="H920" s="34"/>
      <c r="I920" s="34"/>
      <c r="J920" s="34"/>
      <c r="K920" s="34"/>
      <c r="L920" s="34"/>
    </row>
    <row r="921">
      <c r="A921" s="34"/>
      <c r="B921" s="34"/>
      <c r="C921" s="34"/>
      <c r="D921" s="34"/>
      <c r="E921" s="34"/>
      <c r="F921" s="34"/>
      <c r="G921" s="34"/>
      <c r="H921" s="34"/>
      <c r="I921" s="34"/>
      <c r="J921" s="34"/>
      <c r="K921" s="34"/>
      <c r="L921" s="34"/>
    </row>
    <row r="922">
      <c r="A922" s="34"/>
      <c r="B922" s="34"/>
      <c r="C922" s="34"/>
      <c r="D922" s="34"/>
      <c r="E922" s="34"/>
      <c r="F922" s="34"/>
      <c r="G922" s="34"/>
      <c r="H922" s="34"/>
      <c r="I922" s="34"/>
      <c r="J922" s="34"/>
      <c r="K922" s="34"/>
      <c r="L922" s="34"/>
    </row>
    <row r="923">
      <c r="A923" s="34"/>
      <c r="B923" s="34"/>
      <c r="C923" s="34"/>
      <c r="D923" s="34"/>
      <c r="E923" s="34"/>
      <c r="F923" s="34"/>
      <c r="G923" s="34"/>
      <c r="H923" s="34"/>
      <c r="I923" s="34"/>
      <c r="J923" s="34"/>
      <c r="K923" s="34"/>
      <c r="L923" s="34"/>
    </row>
    <row r="924">
      <c r="A924" s="34"/>
      <c r="B924" s="34"/>
      <c r="C924" s="34"/>
      <c r="D924" s="34"/>
      <c r="E924" s="34"/>
      <c r="F924" s="34"/>
      <c r="G924" s="34"/>
      <c r="H924" s="34"/>
      <c r="I924" s="34"/>
      <c r="J924" s="34"/>
      <c r="K924" s="34"/>
      <c r="L924" s="34"/>
    </row>
    <row r="925">
      <c r="A925" s="34"/>
      <c r="B925" s="34"/>
      <c r="C925" s="34"/>
      <c r="D925" s="34"/>
      <c r="E925" s="34"/>
      <c r="F925" s="34"/>
      <c r="G925" s="34"/>
      <c r="H925" s="34"/>
      <c r="I925" s="34"/>
      <c r="J925" s="34"/>
      <c r="K925" s="34"/>
      <c r="L925" s="34"/>
    </row>
    <row r="926">
      <c r="A926" s="34"/>
      <c r="B926" s="34"/>
      <c r="C926" s="34"/>
      <c r="D926" s="34"/>
      <c r="E926" s="34"/>
      <c r="F926" s="34"/>
      <c r="G926" s="34"/>
      <c r="H926" s="34"/>
      <c r="I926" s="34"/>
      <c r="J926" s="34"/>
      <c r="K926" s="34"/>
      <c r="L926" s="34"/>
    </row>
    <row r="927">
      <c r="A927" s="34"/>
      <c r="B927" s="34"/>
      <c r="C927" s="34"/>
      <c r="D927" s="34"/>
      <c r="E927" s="34"/>
      <c r="F927" s="34"/>
      <c r="G927" s="34"/>
      <c r="H927" s="34"/>
      <c r="I927" s="34"/>
      <c r="J927" s="34"/>
      <c r="K927" s="34"/>
      <c r="L927" s="34"/>
    </row>
    <row r="928">
      <c r="A928" s="34"/>
      <c r="B928" s="34"/>
      <c r="C928" s="34"/>
      <c r="D928" s="34"/>
      <c r="E928" s="34"/>
      <c r="F928" s="34"/>
      <c r="G928" s="34"/>
      <c r="H928" s="34"/>
      <c r="I928" s="34"/>
      <c r="J928" s="34"/>
      <c r="K928" s="34"/>
      <c r="L928" s="34"/>
    </row>
    <row r="929">
      <c r="A929" s="34"/>
      <c r="B929" s="34"/>
      <c r="C929" s="34"/>
      <c r="D929" s="34"/>
      <c r="E929" s="34"/>
      <c r="F929" s="34"/>
      <c r="G929" s="34"/>
      <c r="H929" s="34"/>
      <c r="I929" s="34"/>
      <c r="J929" s="34"/>
      <c r="K929" s="34"/>
      <c r="L929" s="34"/>
    </row>
    <row r="930">
      <c r="A930" s="34"/>
      <c r="B930" s="34"/>
      <c r="C930" s="34"/>
      <c r="D930" s="34"/>
      <c r="E930" s="34"/>
      <c r="F930" s="34"/>
      <c r="G930" s="34"/>
      <c r="H930" s="34"/>
      <c r="I930" s="34"/>
      <c r="J930" s="34"/>
      <c r="K930" s="34"/>
      <c r="L930" s="34"/>
    </row>
    <row r="931">
      <c r="A931" s="34"/>
      <c r="B931" s="34"/>
      <c r="C931" s="34"/>
      <c r="D931" s="34"/>
      <c r="E931" s="34"/>
      <c r="F931" s="34"/>
      <c r="G931" s="34"/>
      <c r="H931" s="34"/>
      <c r="I931" s="34"/>
      <c r="J931" s="34"/>
      <c r="K931" s="34"/>
      <c r="L931" s="34"/>
    </row>
    <row r="932">
      <c r="A932" s="34"/>
      <c r="B932" s="34"/>
      <c r="C932" s="34"/>
      <c r="D932" s="34"/>
      <c r="E932" s="34"/>
      <c r="F932" s="34"/>
      <c r="G932" s="34"/>
      <c r="H932" s="34"/>
      <c r="I932" s="34"/>
      <c r="J932" s="34"/>
      <c r="K932" s="34"/>
      <c r="L932" s="34"/>
    </row>
    <row r="933">
      <c r="A933" s="34"/>
      <c r="B933" s="34"/>
      <c r="C933" s="34"/>
      <c r="D933" s="34"/>
      <c r="E933" s="34"/>
      <c r="F933" s="34"/>
      <c r="G933" s="34"/>
      <c r="H933" s="34"/>
      <c r="I933" s="34"/>
      <c r="J933" s="34"/>
      <c r="K933" s="34"/>
      <c r="L933" s="34"/>
    </row>
    <row r="934">
      <c r="A934" s="34"/>
      <c r="B934" s="34"/>
      <c r="C934" s="34"/>
      <c r="D934" s="34"/>
      <c r="E934" s="34"/>
      <c r="F934" s="34"/>
      <c r="G934" s="34"/>
      <c r="H934" s="34"/>
      <c r="I934" s="34"/>
      <c r="J934" s="34"/>
      <c r="K934" s="34"/>
      <c r="L934" s="34"/>
    </row>
    <row r="935">
      <c r="A935" s="34"/>
      <c r="B935" s="34"/>
      <c r="C935" s="34"/>
      <c r="D935" s="34"/>
      <c r="E935" s="34"/>
      <c r="F935" s="34"/>
      <c r="G935" s="34"/>
      <c r="H935" s="34"/>
      <c r="I935" s="34"/>
      <c r="J935" s="34"/>
      <c r="K935" s="34"/>
      <c r="L935" s="34"/>
    </row>
    <row r="936">
      <c r="A936" s="34"/>
      <c r="B936" s="34"/>
      <c r="C936" s="34"/>
      <c r="D936" s="34"/>
      <c r="E936" s="34"/>
      <c r="F936" s="34"/>
      <c r="G936" s="34"/>
      <c r="H936" s="34"/>
      <c r="I936" s="34"/>
      <c r="J936" s="34"/>
      <c r="K936" s="34"/>
      <c r="L936" s="34"/>
    </row>
    <row r="937">
      <c r="A937" s="34"/>
      <c r="B937" s="34"/>
      <c r="C937" s="34"/>
      <c r="D937" s="34"/>
      <c r="E937" s="34"/>
      <c r="F937" s="34"/>
      <c r="G937" s="34"/>
      <c r="H937" s="34"/>
      <c r="I937" s="34"/>
      <c r="J937" s="34"/>
      <c r="K937" s="34"/>
      <c r="L937" s="34"/>
    </row>
    <row r="938">
      <c r="A938" s="34"/>
      <c r="B938" s="34"/>
      <c r="C938" s="34"/>
      <c r="D938" s="34"/>
      <c r="E938" s="34"/>
      <c r="F938" s="34"/>
      <c r="G938" s="34"/>
      <c r="H938" s="34"/>
      <c r="I938" s="34"/>
      <c r="J938" s="34"/>
      <c r="K938" s="34"/>
      <c r="L938" s="34"/>
    </row>
    <row r="939">
      <c r="A939" s="34"/>
      <c r="B939" s="34"/>
      <c r="C939" s="34"/>
      <c r="D939" s="34"/>
      <c r="E939" s="34"/>
      <c r="F939" s="34"/>
      <c r="G939" s="34"/>
      <c r="H939" s="34"/>
      <c r="I939" s="34"/>
      <c r="J939" s="34"/>
      <c r="K939" s="34"/>
      <c r="L939" s="34"/>
    </row>
    <row r="940">
      <c r="A940" s="34"/>
      <c r="B940" s="34"/>
      <c r="C940" s="34"/>
      <c r="D940" s="34"/>
      <c r="E940" s="34"/>
      <c r="F940" s="34"/>
      <c r="G940" s="34"/>
      <c r="H940" s="34"/>
      <c r="I940" s="34"/>
      <c r="J940" s="34"/>
      <c r="K940" s="34"/>
      <c r="L940" s="34"/>
    </row>
    <row r="941">
      <c r="A941" s="34"/>
      <c r="B941" s="34"/>
      <c r="C941" s="34"/>
      <c r="D941" s="34"/>
      <c r="E941" s="34"/>
      <c r="F941" s="34"/>
      <c r="G941" s="34"/>
      <c r="H941" s="34"/>
      <c r="I941" s="34"/>
      <c r="J941" s="34"/>
      <c r="K941" s="34"/>
      <c r="L941" s="34"/>
    </row>
    <row r="942">
      <c r="A942" s="34"/>
      <c r="B942" s="34"/>
      <c r="C942" s="34"/>
      <c r="D942" s="34"/>
      <c r="E942" s="34"/>
      <c r="F942" s="34"/>
      <c r="G942" s="34"/>
      <c r="H942" s="34"/>
      <c r="I942" s="34"/>
      <c r="J942" s="34"/>
      <c r="K942" s="34"/>
      <c r="L942" s="34"/>
    </row>
    <row r="943">
      <c r="A943" s="34"/>
      <c r="B943" s="34"/>
      <c r="C943" s="34"/>
      <c r="D943" s="34"/>
      <c r="E943" s="34"/>
      <c r="F943" s="34"/>
      <c r="G943" s="34"/>
      <c r="H943" s="34"/>
      <c r="I943" s="34"/>
      <c r="J943" s="34"/>
      <c r="K943" s="34"/>
      <c r="L943" s="34"/>
    </row>
    <row r="944">
      <c r="A944" s="34"/>
      <c r="B944" s="34"/>
      <c r="C944" s="34"/>
      <c r="D944" s="34"/>
      <c r="E944" s="34"/>
      <c r="F944" s="34"/>
      <c r="G944" s="34"/>
      <c r="H944" s="34"/>
      <c r="I944" s="34"/>
      <c r="J944" s="34"/>
      <c r="K944" s="34"/>
      <c r="L944" s="34"/>
    </row>
    <row r="945">
      <c r="A945" s="34"/>
      <c r="B945" s="34"/>
      <c r="C945" s="34"/>
      <c r="D945" s="34"/>
      <c r="E945" s="34"/>
      <c r="F945" s="34"/>
      <c r="G945" s="34"/>
      <c r="H945" s="34"/>
      <c r="I945" s="34"/>
      <c r="J945" s="34"/>
      <c r="K945" s="34"/>
      <c r="L945" s="34"/>
    </row>
    <row r="946">
      <c r="A946" s="34"/>
      <c r="B946" s="34"/>
      <c r="C946" s="34"/>
      <c r="D946" s="34"/>
      <c r="E946" s="34"/>
      <c r="F946" s="34"/>
      <c r="G946" s="34"/>
      <c r="H946" s="34"/>
      <c r="I946" s="34"/>
      <c r="J946" s="34"/>
      <c r="K946" s="34"/>
      <c r="L946" s="34"/>
    </row>
    <row r="947">
      <c r="A947" s="34"/>
      <c r="B947" s="34"/>
      <c r="C947" s="34"/>
      <c r="D947" s="34"/>
      <c r="E947" s="34"/>
      <c r="F947" s="34"/>
      <c r="G947" s="34"/>
      <c r="H947" s="34"/>
      <c r="I947" s="34"/>
      <c r="J947" s="34"/>
      <c r="K947" s="34"/>
      <c r="L947" s="34"/>
    </row>
    <row r="948">
      <c r="A948" s="34"/>
      <c r="B948" s="34"/>
      <c r="C948" s="34"/>
      <c r="D948" s="34"/>
      <c r="E948" s="34"/>
      <c r="F948" s="34"/>
      <c r="G948" s="34"/>
      <c r="H948" s="34"/>
      <c r="I948" s="34"/>
      <c r="J948" s="34"/>
      <c r="K948" s="34"/>
      <c r="L948" s="34"/>
    </row>
    <row r="949">
      <c r="A949" s="34"/>
      <c r="B949" s="34"/>
      <c r="C949" s="34"/>
      <c r="D949" s="34"/>
      <c r="E949" s="34"/>
      <c r="F949" s="34"/>
      <c r="G949" s="34"/>
      <c r="H949" s="34"/>
      <c r="I949" s="34"/>
      <c r="J949" s="34"/>
      <c r="K949" s="34"/>
      <c r="L949" s="34"/>
    </row>
    <row r="950">
      <c r="A950" s="34"/>
      <c r="B950" s="34"/>
      <c r="C950" s="34"/>
      <c r="D950" s="34"/>
      <c r="E950" s="34"/>
      <c r="F950" s="34"/>
      <c r="G950" s="34"/>
      <c r="H950" s="34"/>
      <c r="I950" s="34"/>
      <c r="J950" s="34"/>
      <c r="K950" s="34"/>
      <c r="L950" s="34"/>
    </row>
    <row r="951">
      <c r="A951" s="34"/>
      <c r="B951" s="34"/>
      <c r="C951" s="34"/>
      <c r="D951" s="34"/>
      <c r="E951" s="34"/>
      <c r="F951" s="34"/>
      <c r="G951" s="34"/>
      <c r="H951" s="34"/>
      <c r="I951" s="34"/>
      <c r="J951" s="34"/>
      <c r="K951" s="34"/>
      <c r="L951" s="34"/>
    </row>
    <row r="952">
      <c r="A952" s="34"/>
      <c r="B952" s="34"/>
      <c r="C952" s="34"/>
      <c r="D952" s="34"/>
      <c r="E952" s="34"/>
      <c r="F952" s="34"/>
      <c r="G952" s="34"/>
      <c r="H952" s="34"/>
      <c r="I952" s="34"/>
      <c r="J952" s="34"/>
      <c r="K952" s="34"/>
      <c r="L952" s="34"/>
    </row>
    <row r="953">
      <c r="A953" s="34"/>
      <c r="B953" s="34"/>
      <c r="C953" s="34"/>
      <c r="D953" s="34"/>
      <c r="E953" s="34"/>
      <c r="F953" s="34"/>
      <c r="G953" s="34"/>
      <c r="H953" s="34"/>
      <c r="I953" s="34"/>
      <c r="J953" s="34"/>
      <c r="K953" s="34"/>
      <c r="L953" s="34"/>
    </row>
    <row r="954">
      <c r="A954" s="34"/>
      <c r="B954" s="34"/>
      <c r="C954" s="34"/>
      <c r="D954" s="34"/>
      <c r="E954" s="34"/>
      <c r="F954" s="34"/>
      <c r="G954" s="34"/>
      <c r="H954" s="34"/>
      <c r="I954" s="34"/>
      <c r="J954" s="34"/>
      <c r="K954" s="34"/>
      <c r="L954" s="34"/>
    </row>
    <row r="955">
      <c r="A955" s="34"/>
      <c r="B955" s="34"/>
      <c r="C955" s="34"/>
      <c r="D955" s="34"/>
      <c r="E955" s="34"/>
      <c r="F955" s="34"/>
      <c r="G955" s="34"/>
      <c r="H955" s="34"/>
      <c r="I955" s="34"/>
      <c r="J955" s="34"/>
      <c r="K955" s="34"/>
      <c r="L955" s="34"/>
    </row>
    <row r="956">
      <c r="A956" s="34"/>
      <c r="B956" s="34"/>
      <c r="C956" s="34"/>
      <c r="D956" s="34"/>
      <c r="E956" s="34"/>
      <c r="F956" s="34"/>
      <c r="G956" s="34"/>
      <c r="H956" s="34"/>
      <c r="I956" s="34"/>
      <c r="J956" s="34"/>
      <c r="K956" s="34"/>
      <c r="L956" s="34"/>
    </row>
    <row r="957">
      <c r="A957" s="34"/>
      <c r="B957" s="34"/>
      <c r="C957" s="34"/>
      <c r="D957" s="34"/>
      <c r="E957" s="34"/>
      <c r="F957" s="34"/>
      <c r="G957" s="34"/>
      <c r="H957" s="34"/>
      <c r="I957" s="34"/>
      <c r="J957" s="34"/>
      <c r="K957" s="34"/>
      <c r="L957" s="34"/>
    </row>
    <row r="958">
      <c r="A958" s="34"/>
      <c r="B958" s="34"/>
      <c r="C958" s="34"/>
      <c r="D958" s="34"/>
      <c r="E958" s="34"/>
      <c r="F958" s="34"/>
      <c r="G958" s="34"/>
      <c r="H958" s="34"/>
      <c r="I958" s="34"/>
      <c r="J958" s="34"/>
      <c r="K958" s="34"/>
      <c r="L958" s="34"/>
    </row>
    <row r="959">
      <c r="A959" s="34"/>
      <c r="B959" s="34"/>
      <c r="C959" s="34"/>
      <c r="D959" s="34"/>
      <c r="E959" s="34"/>
      <c r="F959" s="34"/>
      <c r="G959" s="34"/>
      <c r="H959" s="34"/>
      <c r="I959" s="34"/>
      <c r="J959" s="34"/>
      <c r="K959" s="34"/>
      <c r="L959" s="34"/>
    </row>
    <row r="960">
      <c r="A960" s="34"/>
      <c r="B960" s="34"/>
      <c r="C960" s="34"/>
      <c r="D960" s="34"/>
      <c r="E960" s="34"/>
      <c r="F960" s="34"/>
      <c r="G960" s="34"/>
      <c r="H960" s="34"/>
      <c r="I960" s="34"/>
      <c r="J960" s="34"/>
      <c r="K960" s="34"/>
      <c r="L960" s="34"/>
    </row>
    <row r="961">
      <c r="A961" s="34"/>
      <c r="B961" s="34"/>
      <c r="C961" s="34"/>
      <c r="D961" s="34"/>
      <c r="E961" s="34"/>
      <c r="F961" s="34"/>
      <c r="G961" s="34"/>
      <c r="H961" s="34"/>
      <c r="I961" s="34"/>
      <c r="J961" s="34"/>
      <c r="K961" s="34"/>
      <c r="L961" s="34"/>
    </row>
    <row r="962">
      <c r="A962" s="34"/>
      <c r="B962" s="34"/>
      <c r="C962" s="34"/>
      <c r="D962" s="34"/>
      <c r="E962" s="34"/>
      <c r="F962" s="34"/>
      <c r="G962" s="34"/>
      <c r="H962" s="34"/>
      <c r="I962" s="34"/>
      <c r="J962" s="34"/>
      <c r="K962" s="34"/>
      <c r="L962" s="34"/>
    </row>
    <row r="963">
      <c r="A963" s="34"/>
      <c r="B963" s="34"/>
      <c r="C963" s="34"/>
      <c r="D963" s="34"/>
      <c r="E963" s="34"/>
      <c r="F963" s="34"/>
      <c r="G963" s="34"/>
      <c r="H963" s="34"/>
      <c r="I963" s="34"/>
      <c r="J963" s="34"/>
      <c r="K963" s="34"/>
      <c r="L963" s="34"/>
    </row>
    <row r="964">
      <c r="A964" s="34"/>
      <c r="B964" s="34"/>
      <c r="C964" s="34"/>
      <c r="D964" s="34"/>
      <c r="E964" s="34"/>
      <c r="F964" s="34"/>
      <c r="G964" s="34"/>
      <c r="H964" s="34"/>
      <c r="I964" s="34"/>
      <c r="J964" s="34"/>
      <c r="K964" s="34"/>
      <c r="L964" s="34"/>
    </row>
    <row r="965">
      <c r="A965" s="34"/>
      <c r="B965" s="34"/>
      <c r="C965" s="34"/>
      <c r="D965" s="34"/>
      <c r="E965" s="34"/>
      <c r="F965" s="34"/>
      <c r="G965" s="34"/>
      <c r="H965" s="34"/>
      <c r="I965" s="34"/>
      <c r="J965" s="34"/>
      <c r="K965" s="34"/>
      <c r="L965" s="34"/>
    </row>
    <row r="966">
      <c r="A966" s="34"/>
      <c r="B966" s="34"/>
      <c r="C966" s="34"/>
      <c r="D966" s="34"/>
      <c r="E966" s="34"/>
      <c r="F966" s="34"/>
      <c r="G966" s="34"/>
      <c r="H966" s="34"/>
      <c r="I966" s="34"/>
      <c r="J966" s="34"/>
      <c r="K966" s="34"/>
      <c r="L966" s="34"/>
    </row>
    <row r="967">
      <c r="A967" s="34"/>
      <c r="B967" s="34"/>
      <c r="C967" s="34"/>
      <c r="D967" s="34"/>
      <c r="E967" s="34"/>
      <c r="F967" s="34"/>
      <c r="G967" s="34"/>
      <c r="H967" s="34"/>
      <c r="I967" s="34"/>
      <c r="J967" s="34"/>
      <c r="K967" s="34"/>
      <c r="L967" s="34"/>
    </row>
    <row r="968">
      <c r="A968" s="34"/>
      <c r="B968" s="34"/>
      <c r="C968" s="34"/>
      <c r="D968" s="34"/>
      <c r="E968" s="34"/>
      <c r="F968" s="34"/>
      <c r="G968" s="34"/>
      <c r="H968" s="34"/>
      <c r="I968" s="34"/>
      <c r="J968" s="34"/>
      <c r="K968" s="34"/>
      <c r="L968" s="34"/>
    </row>
    <row r="969">
      <c r="A969" s="34"/>
      <c r="B969" s="34"/>
      <c r="C969" s="34"/>
      <c r="D969" s="34"/>
      <c r="E969" s="34"/>
      <c r="F969" s="34"/>
      <c r="G969" s="34"/>
      <c r="H969" s="34"/>
      <c r="I969" s="34"/>
      <c r="J969" s="34"/>
      <c r="K969" s="34"/>
      <c r="L969" s="34"/>
    </row>
    <row r="970">
      <c r="A970" s="34"/>
      <c r="B970" s="34"/>
      <c r="C970" s="34"/>
      <c r="D970" s="34"/>
      <c r="E970" s="34"/>
      <c r="F970" s="34"/>
      <c r="G970" s="34"/>
      <c r="H970" s="34"/>
      <c r="I970" s="34"/>
      <c r="J970" s="34"/>
      <c r="K970" s="34"/>
      <c r="L970" s="34"/>
    </row>
    <row r="971">
      <c r="A971" s="34"/>
      <c r="B971" s="34"/>
      <c r="C971" s="34"/>
      <c r="D971" s="34"/>
      <c r="E971" s="34"/>
      <c r="F971" s="34"/>
      <c r="G971" s="34"/>
      <c r="H971" s="34"/>
      <c r="I971" s="34"/>
      <c r="J971" s="34"/>
      <c r="K971" s="34"/>
      <c r="L971" s="34"/>
    </row>
    <row r="972">
      <c r="A972" s="34"/>
      <c r="B972" s="34"/>
      <c r="C972" s="34"/>
      <c r="D972" s="34"/>
      <c r="E972" s="34"/>
      <c r="F972" s="34"/>
      <c r="G972" s="34"/>
      <c r="H972" s="34"/>
      <c r="I972" s="34"/>
      <c r="J972" s="34"/>
      <c r="K972" s="34"/>
      <c r="L972" s="34"/>
    </row>
    <row r="973">
      <c r="A973" s="34"/>
      <c r="B973" s="34"/>
      <c r="C973" s="34"/>
      <c r="D973" s="34"/>
      <c r="E973" s="34"/>
      <c r="F973" s="34"/>
      <c r="G973" s="34"/>
      <c r="H973" s="34"/>
      <c r="I973" s="34"/>
      <c r="J973" s="34"/>
      <c r="K973" s="34"/>
      <c r="L973" s="34"/>
    </row>
    <row r="974">
      <c r="A974" s="34"/>
      <c r="B974" s="34"/>
      <c r="C974" s="34"/>
      <c r="D974" s="34"/>
      <c r="E974" s="34"/>
      <c r="F974" s="34"/>
      <c r="G974" s="34"/>
      <c r="H974" s="34"/>
      <c r="I974" s="34"/>
      <c r="J974" s="34"/>
      <c r="K974" s="34"/>
      <c r="L974" s="34"/>
    </row>
    <row r="975">
      <c r="A975" s="34"/>
      <c r="B975" s="34"/>
      <c r="C975" s="34"/>
      <c r="D975" s="34"/>
      <c r="E975" s="34"/>
      <c r="F975" s="34"/>
      <c r="G975" s="34"/>
      <c r="H975" s="34"/>
      <c r="I975" s="34"/>
      <c r="J975" s="34"/>
      <c r="K975" s="34"/>
      <c r="L975" s="34"/>
    </row>
    <row r="976">
      <c r="A976" s="34"/>
      <c r="B976" s="34"/>
      <c r="C976" s="34"/>
      <c r="D976" s="34"/>
      <c r="E976" s="34"/>
      <c r="F976" s="34"/>
      <c r="G976" s="34"/>
      <c r="H976" s="34"/>
      <c r="I976" s="34"/>
      <c r="J976" s="34"/>
      <c r="K976" s="34"/>
      <c r="L976" s="34"/>
    </row>
    <row r="977">
      <c r="A977" s="34"/>
      <c r="B977" s="34"/>
      <c r="C977" s="34"/>
      <c r="D977" s="34"/>
      <c r="E977" s="34"/>
      <c r="F977" s="34"/>
      <c r="G977" s="34"/>
      <c r="H977" s="34"/>
      <c r="I977" s="34"/>
      <c r="J977" s="34"/>
      <c r="K977" s="34"/>
      <c r="L977" s="34"/>
    </row>
    <row r="978">
      <c r="A978" s="34"/>
      <c r="B978" s="34"/>
      <c r="C978" s="34"/>
      <c r="D978" s="34"/>
      <c r="E978" s="34"/>
      <c r="F978" s="34"/>
      <c r="G978" s="34"/>
      <c r="H978" s="34"/>
      <c r="I978" s="34"/>
      <c r="J978" s="34"/>
      <c r="K978" s="34"/>
      <c r="L978" s="34"/>
    </row>
    <row r="979">
      <c r="A979" s="34"/>
      <c r="B979" s="34"/>
      <c r="C979" s="34"/>
      <c r="D979" s="34"/>
      <c r="E979" s="34"/>
      <c r="F979" s="34"/>
      <c r="G979" s="34"/>
      <c r="H979" s="34"/>
      <c r="I979" s="34"/>
      <c r="J979" s="34"/>
      <c r="K979" s="34"/>
      <c r="L979" s="34"/>
    </row>
    <row r="980">
      <c r="A980" s="34"/>
      <c r="B980" s="34"/>
      <c r="C980" s="34"/>
      <c r="D980" s="34"/>
      <c r="E980" s="34"/>
      <c r="F980" s="34"/>
      <c r="G980" s="34"/>
      <c r="H980" s="34"/>
      <c r="I980" s="34"/>
      <c r="J980" s="34"/>
      <c r="K980" s="34"/>
      <c r="L980" s="34"/>
    </row>
    <row r="981">
      <c r="A981" s="34"/>
      <c r="B981" s="34"/>
      <c r="C981" s="34"/>
      <c r="D981" s="34"/>
      <c r="E981" s="34"/>
      <c r="F981" s="34"/>
      <c r="G981" s="34"/>
      <c r="H981" s="34"/>
      <c r="I981" s="34"/>
      <c r="J981" s="34"/>
      <c r="K981" s="34"/>
      <c r="L981" s="34"/>
    </row>
    <row r="982">
      <c r="A982" s="34"/>
      <c r="B982" s="34"/>
      <c r="C982" s="34"/>
      <c r="D982" s="34"/>
      <c r="E982" s="34"/>
      <c r="F982" s="34"/>
      <c r="G982" s="34"/>
      <c r="H982" s="34"/>
      <c r="I982" s="34"/>
      <c r="J982" s="34"/>
      <c r="K982" s="34"/>
      <c r="L982" s="34"/>
    </row>
    <row r="983">
      <c r="A983" s="34"/>
      <c r="B983" s="34"/>
      <c r="C983" s="34"/>
      <c r="D983" s="34"/>
      <c r="E983" s="34"/>
      <c r="F983" s="34"/>
      <c r="G983" s="34"/>
      <c r="H983" s="34"/>
      <c r="I983" s="34"/>
      <c r="J983" s="34"/>
      <c r="K983" s="34"/>
      <c r="L983" s="34"/>
    </row>
    <row r="984">
      <c r="A984" s="34"/>
      <c r="B984" s="34"/>
      <c r="C984" s="34"/>
      <c r="D984" s="34"/>
      <c r="E984" s="34"/>
      <c r="F984" s="34"/>
      <c r="G984" s="34"/>
      <c r="H984" s="34"/>
      <c r="I984" s="34"/>
      <c r="J984" s="34"/>
      <c r="K984" s="34"/>
      <c r="L984" s="34"/>
    </row>
    <row r="985">
      <c r="A985" s="34"/>
      <c r="B985" s="34"/>
      <c r="C985" s="34"/>
      <c r="D985" s="34"/>
      <c r="E985" s="34"/>
      <c r="F985" s="34"/>
      <c r="G985" s="34"/>
      <c r="H985" s="34"/>
      <c r="I985" s="34"/>
      <c r="J985" s="34"/>
      <c r="K985" s="34"/>
      <c r="L985" s="34"/>
    </row>
    <row r="986">
      <c r="A986" s="34"/>
      <c r="B986" s="34"/>
      <c r="C986" s="34"/>
      <c r="D986" s="34"/>
      <c r="E986" s="34"/>
      <c r="F986" s="34"/>
      <c r="G986" s="34"/>
      <c r="H986" s="34"/>
      <c r="I986" s="34"/>
      <c r="J986" s="34"/>
      <c r="K986" s="34"/>
      <c r="L986" s="34"/>
    </row>
    <row r="987">
      <c r="A987" s="34"/>
      <c r="B987" s="34"/>
      <c r="C987" s="34"/>
      <c r="D987" s="34"/>
      <c r="E987" s="34"/>
      <c r="F987" s="34"/>
      <c r="G987" s="34"/>
      <c r="H987" s="34"/>
      <c r="I987" s="34"/>
      <c r="J987" s="34"/>
      <c r="K987" s="34"/>
      <c r="L987" s="34"/>
    </row>
    <row r="988">
      <c r="A988" s="34"/>
      <c r="B988" s="34"/>
      <c r="C988" s="34"/>
      <c r="D988" s="34"/>
      <c r="E988" s="34"/>
      <c r="F988" s="34"/>
      <c r="G988" s="34"/>
      <c r="H988" s="34"/>
      <c r="I988" s="34"/>
      <c r="J988" s="34"/>
      <c r="K988" s="34"/>
      <c r="L988" s="34"/>
    </row>
    <row r="989">
      <c r="A989" s="34"/>
      <c r="B989" s="34"/>
      <c r="C989" s="34"/>
      <c r="D989" s="34"/>
      <c r="E989" s="34"/>
      <c r="F989" s="34"/>
      <c r="G989" s="34"/>
      <c r="H989" s="34"/>
      <c r="I989" s="34"/>
      <c r="J989" s="34"/>
      <c r="K989" s="34"/>
      <c r="L989" s="34"/>
    </row>
    <row r="990">
      <c r="A990" s="34"/>
      <c r="B990" s="34"/>
      <c r="C990" s="34"/>
      <c r="D990" s="34"/>
      <c r="E990" s="34"/>
      <c r="F990" s="34"/>
      <c r="G990" s="34"/>
      <c r="H990" s="34"/>
      <c r="I990" s="34"/>
      <c r="J990" s="34"/>
      <c r="K990" s="34"/>
      <c r="L990" s="34"/>
    </row>
    <row r="991">
      <c r="A991" s="34"/>
      <c r="B991" s="34"/>
      <c r="C991" s="34"/>
      <c r="D991" s="34"/>
      <c r="E991" s="34"/>
      <c r="F991" s="34"/>
      <c r="G991" s="34"/>
      <c r="H991" s="34"/>
      <c r="I991" s="34"/>
      <c r="J991" s="34"/>
      <c r="K991" s="34"/>
      <c r="L991" s="34"/>
    </row>
    <row r="992">
      <c r="A992" s="34"/>
      <c r="B992" s="34"/>
      <c r="C992" s="34"/>
      <c r="D992" s="34"/>
      <c r="E992" s="34"/>
      <c r="F992" s="34"/>
      <c r="G992" s="34"/>
      <c r="H992" s="34"/>
      <c r="I992" s="34"/>
      <c r="J992" s="34"/>
      <c r="K992" s="34"/>
      <c r="L992" s="34"/>
    </row>
    <row r="993">
      <c r="A993" s="34"/>
      <c r="B993" s="34"/>
      <c r="C993" s="34"/>
      <c r="D993" s="34"/>
      <c r="E993" s="34"/>
      <c r="F993" s="34"/>
      <c r="G993" s="34"/>
      <c r="H993" s="34"/>
      <c r="I993" s="34"/>
      <c r="J993" s="34"/>
      <c r="K993" s="34"/>
      <c r="L993" s="34"/>
    </row>
    <row r="994">
      <c r="A994" s="34"/>
      <c r="B994" s="34"/>
      <c r="C994" s="34"/>
      <c r="D994" s="34"/>
      <c r="E994" s="34"/>
      <c r="F994" s="34"/>
      <c r="G994" s="34"/>
      <c r="H994" s="34"/>
      <c r="I994" s="34"/>
      <c r="J994" s="34"/>
      <c r="K994" s="34"/>
      <c r="L994" s="34"/>
    </row>
    <row r="995">
      <c r="A995" s="34"/>
      <c r="B995" s="34"/>
      <c r="C995" s="34"/>
      <c r="D995" s="34"/>
      <c r="E995" s="34"/>
      <c r="F995" s="34"/>
      <c r="G995" s="34"/>
      <c r="H995" s="34"/>
      <c r="I995" s="34"/>
      <c r="J995" s="34"/>
      <c r="K995" s="34"/>
      <c r="L995" s="34"/>
    </row>
    <row r="996">
      <c r="A996" s="34"/>
      <c r="B996" s="34"/>
      <c r="C996" s="34"/>
      <c r="D996" s="34"/>
      <c r="E996" s="34"/>
      <c r="F996" s="34"/>
      <c r="G996" s="34"/>
      <c r="H996" s="34"/>
      <c r="I996" s="34"/>
      <c r="J996" s="34"/>
      <c r="K996" s="34"/>
      <c r="L996" s="34"/>
    </row>
    <row r="997">
      <c r="A997" s="34"/>
      <c r="B997" s="34"/>
      <c r="C997" s="34"/>
      <c r="D997" s="34"/>
      <c r="E997" s="34"/>
      <c r="F997" s="34"/>
      <c r="G997" s="34"/>
      <c r="H997" s="34"/>
      <c r="I997" s="34"/>
      <c r="J997" s="34"/>
      <c r="K997" s="34"/>
      <c r="L997" s="34"/>
    </row>
    <row r="998">
      <c r="A998" s="34"/>
      <c r="B998" s="34"/>
      <c r="C998" s="34"/>
      <c r="D998" s="34"/>
      <c r="E998" s="34"/>
      <c r="F998" s="34"/>
      <c r="G998" s="34"/>
      <c r="H998" s="34"/>
      <c r="I998" s="34"/>
      <c r="J998" s="34"/>
      <c r="K998" s="34"/>
      <c r="L998" s="34"/>
    </row>
    <row r="999">
      <c r="A999" s="34"/>
      <c r="B999" s="34"/>
      <c r="C999" s="34"/>
      <c r="D999" s="34"/>
      <c r="E999" s="34"/>
      <c r="F999" s="34"/>
      <c r="G999" s="34"/>
      <c r="H999" s="34"/>
      <c r="I999" s="34"/>
      <c r="J999" s="34"/>
      <c r="K999" s="34"/>
      <c r="L999" s="34"/>
    </row>
    <row r="1000">
      <c r="A1000" s="34"/>
      <c r="B1000" s="34"/>
      <c r="C1000" s="34"/>
      <c r="D1000" s="34"/>
      <c r="E1000" s="34"/>
      <c r="F1000" s="34"/>
      <c r="G1000" s="34"/>
      <c r="H1000" s="34"/>
      <c r="I1000" s="34"/>
      <c r="J1000" s="34"/>
      <c r="K1000" s="34"/>
      <c r="L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2943</v>
      </c>
      <c r="B1" s="203" t="s">
        <v>2948</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6" t="s">
        <v>21</v>
      </c>
      <c r="B2" s="16" t="s">
        <v>2949</v>
      </c>
    </row>
    <row r="3">
      <c r="A3" s="96" t="s">
        <v>418</v>
      </c>
      <c r="B3" s="16" t="s">
        <v>2950</v>
      </c>
    </row>
    <row r="4">
      <c r="A4" s="96" t="s">
        <v>1039</v>
      </c>
      <c r="B4" s="16" t="s">
        <v>2951</v>
      </c>
    </row>
    <row r="5">
      <c r="A5" s="96" t="s">
        <v>1501</v>
      </c>
      <c r="B5" s="16" t="s">
        <v>2952</v>
      </c>
    </row>
    <row r="6">
      <c r="A6" s="96" t="s">
        <v>1770</v>
      </c>
      <c r="B6" s="16" t="s">
        <v>2953</v>
      </c>
    </row>
    <row r="7">
      <c r="A7" s="96" t="s">
        <v>2954</v>
      </c>
      <c r="B7" s="16" t="s">
        <v>2955</v>
      </c>
    </row>
    <row r="8">
      <c r="A8" s="96" t="s">
        <v>2956</v>
      </c>
      <c r="B8" s="16" t="s">
        <v>2957</v>
      </c>
    </row>
    <row r="9">
      <c r="A9" s="96" t="s">
        <v>2958</v>
      </c>
      <c r="B9" s="16" t="s">
        <v>2959</v>
      </c>
    </row>
    <row r="10">
      <c r="A10" s="96" t="s">
        <v>2960</v>
      </c>
      <c r="B10" s="16" t="s">
        <v>2961</v>
      </c>
    </row>
    <row r="11">
      <c r="A11" s="96" t="s">
        <v>2962</v>
      </c>
      <c r="B11" s="16" t="s">
        <v>2963</v>
      </c>
    </row>
    <row r="12">
      <c r="A12" s="96" t="s">
        <v>2964</v>
      </c>
      <c r="B12" s="16" t="s">
        <v>2965</v>
      </c>
    </row>
    <row r="13">
      <c r="A13" s="96" t="s">
        <v>2966</v>
      </c>
      <c r="B13" s="16" t="s">
        <v>2967</v>
      </c>
    </row>
    <row r="14">
      <c r="A14" s="16" t="s">
        <v>2968</v>
      </c>
      <c r="B14" s="16" t="s">
        <v>2969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205" t="s">
        <v>2970</v>
      </c>
      <c r="B1" s="205"/>
      <c r="D1" s="206" t="s">
        <v>2971</v>
      </c>
      <c r="E1" s="206" t="s">
        <v>2972</v>
      </c>
      <c r="F1" s="207" t="s">
        <v>2973</v>
      </c>
      <c r="G1" s="208" t="s">
        <v>2974</v>
      </c>
      <c r="H1" s="209" t="s">
        <v>2</v>
      </c>
      <c r="I1" s="209" t="s">
        <v>2975</v>
      </c>
      <c r="J1" s="209" t="s">
        <v>2976</v>
      </c>
      <c r="K1" s="209" t="s">
        <v>2977</v>
      </c>
      <c r="L1" s="209" t="s">
        <v>6</v>
      </c>
      <c r="M1" s="210" t="s">
        <v>2978</v>
      </c>
      <c r="N1" s="210" t="s">
        <v>8</v>
      </c>
      <c r="O1" s="211" t="s">
        <v>2979</v>
      </c>
    </row>
    <row r="2">
      <c r="A2" s="212">
        <v>4.0</v>
      </c>
      <c r="B2" s="206"/>
      <c r="D2" s="7" t="s">
        <v>1331</v>
      </c>
      <c r="E2" s="7" t="s">
        <v>2980</v>
      </c>
      <c r="F2" s="54">
        <v>2.0</v>
      </c>
      <c r="G2" s="29" t="s">
        <v>2981</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553</v>
      </c>
      <c r="E3" s="7" t="s">
        <v>2980</v>
      </c>
      <c r="F3" s="216">
        <v>1.0</v>
      </c>
      <c r="G3" s="29" t="s">
        <v>2982</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2983</v>
      </c>
      <c r="B4" s="16">
        <f>IFERROR(__xludf.DUMMYFUNCTION("QUERY($D$1:O968,""select sum(F) where E like '%"" &amp; $A$2 &amp; ""%' label sum(F) ''"")"),30.0)</f>
        <v>30</v>
      </c>
      <c r="D4" s="7" t="s">
        <v>1226</v>
      </c>
      <c r="E4" s="7" t="s">
        <v>2980</v>
      </c>
      <c r="F4" s="216">
        <v>1.0</v>
      </c>
      <c r="G4" s="29" t="s">
        <v>2981</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2984</v>
      </c>
      <c r="B5" s="16">
        <f>IFERROR(__xludf.DUMMYFUNCTION("IFNA(QUERY($D$1:O968,""select count(G) where E like '%"" &amp; $A$2 &amp; ""%' and G = 'Alternative' label count(G) ''""),0)"),7.0)</f>
        <v>7</v>
      </c>
      <c r="D5" s="16" t="s">
        <v>1246</v>
      </c>
      <c r="E5" s="7" t="s">
        <v>2980</v>
      </c>
      <c r="F5" s="216">
        <v>1.0</v>
      </c>
      <c r="G5" s="29" t="s">
        <v>2982</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2985</v>
      </c>
      <c r="B6" s="16">
        <f>IFERROR(__xludf.DUMMYFUNCTION("QUERY($D$1:O968,""select sum(O) where E like '%"" &amp; $A$2 &amp; ""%' label sum(O) ''"")/$B$4"),3.1333333333333333)</f>
        <v>3.133333333</v>
      </c>
      <c r="D6" s="7" t="s">
        <v>1357</v>
      </c>
      <c r="E6" s="7" t="s">
        <v>2980</v>
      </c>
      <c r="F6" s="216">
        <v>1.0</v>
      </c>
      <c r="G6" s="29" t="s">
        <v>2981</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1099</v>
      </c>
      <c r="E7" s="7" t="s">
        <v>2980</v>
      </c>
      <c r="F7" s="216">
        <v>2.0</v>
      </c>
      <c r="G7" s="29" t="s">
        <v>2981</v>
      </c>
      <c r="H7" s="213">
        <f t="array" ref="H7">IFNA(XLOOKUP($D7,Cards!$A:$A,Cards!C:C),"")</f>
        <v>1</v>
      </c>
      <c r="I7" s="213" t="str">
        <f t="array" ref="I7">IFNA(XLOOKUP($D7,Cards!$A:$A,Cards!B:B),"")</f>
        <v>Elemental Mortal</v>
      </c>
      <c r="J7" s="213" t="str">
        <f t="array" ref="J7">IFNA(XLOOKUP($D7,Cards!$A:$A,Cards!D:D),"")</f>
        <v>Bannerbearer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''""),"""")"),12.0)</f>
        <v>12</v>
      </c>
      <c r="D8" s="22" t="s">
        <v>1271</v>
      </c>
      <c r="E8" s="7" t="s">
        <v>2980</v>
      </c>
      <c r="F8" s="216">
        <v>2.0</v>
      </c>
      <c r="G8" s="29" t="s">
        <v>2982</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''""),"""")"),7.0)</f>
        <v>7</v>
      </c>
      <c r="D9" s="7" t="s">
        <v>1065</v>
      </c>
      <c r="E9" s="7" t="s">
        <v>2980</v>
      </c>
      <c r="F9" s="216">
        <v>1.0</v>
      </c>
      <c r="G9" s="29" t="s">
        <v>2981</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899</v>
      </c>
      <c r="E10" s="7" t="s">
        <v>2980</v>
      </c>
      <c r="F10" s="216">
        <v>2.0</v>
      </c>
      <c r="G10" s="29" t="s">
        <v>2982</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t="str">
        <f>IFERROR(__xludf.DUMMYFUNCTION("IFNA(QUERY($D$2:O968,""select count(D) where I = '"" &amp; $A11 &amp; ""' and E like '%"" &amp; $A$2 &amp; ""%' label count(D) ''""),"""")"),"")</f>
        <v/>
      </c>
      <c r="D11" s="16" t="s">
        <v>976</v>
      </c>
      <c r="E11" s="7" t="s">
        <v>2980</v>
      </c>
      <c r="F11" s="216">
        <v>2.0</v>
      </c>
      <c r="G11" s="29" t="s">
        <v>2982</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t="str">
        <f>IFERROR(__xludf.DUMMYFUNCTION("IFNA(QUERY($D$2:O968,""select count(D) where I = '"" &amp; $A12 &amp; ""' and E like '%"" &amp; $A$2 &amp; ""%' label count(D) ''""),"""")"),"")</f>
        <v/>
      </c>
      <c r="D12" s="22" t="s">
        <v>1261</v>
      </c>
      <c r="E12" s="7" t="s">
        <v>2980</v>
      </c>
      <c r="F12" s="216">
        <v>1.0</v>
      </c>
      <c r="G12" s="29" t="s">
        <v>2982</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t="str">
        <f>IFERROR(__xludf.DUMMYFUNCTION("IFNA(QUERY($D$2:O968,""select count(D) where I = '"" &amp; $A13 &amp; ""' and E like '%"" &amp; $A$2 &amp; ""%' label count(D) ''""),"""")"),"")</f>
        <v/>
      </c>
      <c r="D13" s="16" t="s">
        <v>881</v>
      </c>
      <c r="E13" s="7" t="s">
        <v>2980</v>
      </c>
      <c r="F13" s="216">
        <v>1.0</v>
      </c>
      <c r="G13" s="29" t="s">
        <v>2982</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1574</v>
      </c>
      <c r="E14" s="7" t="s">
        <v>2980</v>
      </c>
      <c r="F14" s="216">
        <v>2.0</v>
      </c>
      <c r="G14" s="29" t="s">
        <v>2982</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1490</v>
      </c>
      <c r="E15" s="7" t="s">
        <v>2980</v>
      </c>
      <c r="F15" s="216">
        <v>1.0</v>
      </c>
      <c r="G15" s="29" t="s">
        <v>2982</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846</v>
      </c>
      <c r="E16" s="7" t="s">
        <v>2980</v>
      </c>
      <c r="F16" s="216">
        <v>1.0</v>
      </c>
      <c r="G16" s="29" t="s">
        <v>2982</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1449</v>
      </c>
      <c r="E17" s="7" t="s">
        <v>2980</v>
      </c>
      <c r="F17" s="216">
        <v>2.0</v>
      </c>
      <c r="G17" s="29" t="s">
        <v>2982</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567</v>
      </c>
      <c r="E18" s="7" t="s">
        <v>2980</v>
      </c>
      <c r="F18" s="216">
        <v>2.0</v>
      </c>
      <c r="G18" s="29" t="s">
        <v>2981</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1564</v>
      </c>
      <c r="E19" s="7" t="s">
        <v>2980</v>
      </c>
      <c r="F19" s="216">
        <v>2.0</v>
      </c>
      <c r="G19" s="29" t="s">
        <v>2982</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923</v>
      </c>
      <c r="E20" s="7" t="s">
        <v>2980</v>
      </c>
      <c r="F20" s="216">
        <v>1.0</v>
      </c>
      <c r="G20" s="29" t="s">
        <v>2982</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1292</v>
      </c>
      <c r="E21" s="7" t="s">
        <v>2980</v>
      </c>
      <c r="F21" s="216">
        <v>1.0</v>
      </c>
      <c r="G21" s="29" t="s">
        <v>2982</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1539</v>
      </c>
      <c r="E22" s="7" t="s">
        <v>2980</v>
      </c>
      <c r="F22" s="216">
        <v>1.0</v>
      </c>
      <c r="G22" s="29" t="s">
        <v>2981</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1976</v>
      </c>
      <c r="E23" s="16" t="s">
        <v>2986</v>
      </c>
      <c r="F23" s="216">
        <v>1.0</v>
      </c>
      <c r="G23" s="29" t="s">
        <v>2981</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1851</v>
      </c>
      <c r="E24" s="7" t="s">
        <v>2986</v>
      </c>
      <c r="F24" s="216">
        <v>1.0</v>
      </c>
      <c r="G24" s="29" t="s">
        <v>2981</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1810</v>
      </c>
      <c r="E25" s="7" t="s">
        <v>2986</v>
      </c>
      <c r="F25" s="216">
        <v>1.0</v>
      </c>
      <c r="G25" s="29" t="s">
        <v>2982</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1984</v>
      </c>
      <c r="E26" s="7" t="s">
        <v>2986</v>
      </c>
      <c r="F26" s="216">
        <v>2.0</v>
      </c>
      <c r="G26" s="29" t="s">
        <v>2981</v>
      </c>
      <c r="H26" s="213">
        <f t="array" ref="H26">IFNA(XLOOKUP($D26,Cards!$A:$A,Cards!C:C),"")</f>
        <v>1</v>
      </c>
      <c r="I26" s="213" t="str">
        <f t="array" ref="I26">IFNA(XLOOKUP($D26,Cards!$A:$A,Cards!B:B),"")</f>
        <v>Nature Void</v>
      </c>
      <c r="J26" s="213" t="str">
        <f t="array" ref="J26">IFNA(XLOOKUP($D26,Cards!$A:$A,Cards!D:D),"")</f>
        <v>Bannerbearer Plant</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2160</v>
      </c>
      <c r="E27" s="7" t="s">
        <v>2986</v>
      </c>
      <c r="F27" s="223">
        <v>2.0</v>
      </c>
      <c r="G27" s="29" t="s">
        <v>2982</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79" t="s">
        <v>1863</v>
      </c>
      <c r="E28" s="22" t="s">
        <v>2986</v>
      </c>
      <c r="F28" s="216">
        <v>1.0</v>
      </c>
      <c r="G28" s="29" t="s">
        <v>2981</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1998</v>
      </c>
      <c r="E29" s="22" t="s">
        <v>2986</v>
      </c>
      <c r="F29" s="216">
        <v>1.0</v>
      </c>
      <c r="G29" s="29" t="s">
        <v>2982</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1902</v>
      </c>
      <c r="E30" s="16" t="s">
        <v>2986</v>
      </c>
      <c r="F30" s="216">
        <v>2.0</v>
      </c>
      <c r="G30" s="29" t="s">
        <v>2982</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2</v>
      </c>
      <c r="M30" s="214" t="str">
        <f t="array" ref="M30">IFNA(XLOOKUP($D30,Cards!$A:$A,Cards!H:H),"")</f>
        <v>N</v>
      </c>
      <c r="N30" s="214" t="str">
        <f t="array" ref="N30">IFNA(XLOOKUP($D30,Cards!$A:$A,Cards!I:I),"")</f>
        <v>Common</v>
      </c>
      <c r="O30" s="215">
        <f t="shared" si="1"/>
        <v>4</v>
      </c>
    </row>
    <row r="31">
      <c r="D31" s="54" t="s">
        <v>2004</v>
      </c>
      <c r="E31" s="54" t="s">
        <v>2986</v>
      </c>
      <c r="F31" s="216">
        <v>1.0</v>
      </c>
      <c r="G31" s="29" t="s">
        <v>2981</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1766</v>
      </c>
      <c r="E32" s="7" t="s">
        <v>2986</v>
      </c>
      <c r="F32" s="216">
        <v>2.0</v>
      </c>
      <c r="G32" s="29" t="s">
        <v>2982</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2167</v>
      </c>
      <c r="E33" s="7" t="s">
        <v>2986</v>
      </c>
      <c r="F33" s="223">
        <v>2.0</v>
      </c>
      <c r="G33" s="29" t="s">
        <v>2981</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1752</v>
      </c>
      <c r="E34" s="16" t="s">
        <v>2986</v>
      </c>
      <c r="F34" s="216">
        <v>2.0</v>
      </c>
      <c r="G34" s="29" t="s">
        <v>2982</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2165</v>
      </c>
      <c r="E35" s="22" t="s">
        <v>2986</v>
      </c>
      <c r="F35" s="223">
        <v>1.0</v>
      </c>
      <c r="G35" s="29" t="s">
        <v>2982</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1906</v>
      </c>
      <c r="E36" s="7" t="s">
        <v>2986</v>
      </c>
      <c r="F36" s="216">
        <v>2.0</v>
      </c>
      <c r="G36" s="29" t="s">
        <v>2982</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1874</v>
      </c>
      <c r="E37" s="7" t="s">
        <v>2986</v>
      </c>
      <c r="F37" s="216">
        <v>1.0</v>
      </c>
      <c r="G37" s="29" t="s">
        <v>2981</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1755</v>
      </c>
      <c r="E38" s="16" t="s">
        <v>2986</v>
      </c>
      <c r="F38" s="216">
        <v>2.0</v>
      </c>
      <c r="G38" s="29" t="s">
        <v>2982</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1912</v>
      </c>
      <c r="E39" s="7" t="s">
        <v>2986</v>
      </c>
      <c r="F39" s="223">
        <v>1.0</v>
      </c>
      <c r="G39" s="29" t="s">
        <v>2982</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1842</v>
      </c>
      <c r="E40" s="7" t="s">
        <v>2986</v>
      </c>
      <c r="F40" s="216">
        <v>1.0</v>
      </c>
      <c r="G40" s="29" t="s">
        <v>2982</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2161</v>
      </c>
      <c r="E41" s="7" t="s">
        <v>2986</v>
      </c>
      <c r="F41" s="216">
        <v>2.0</v>
      </c>
      <c r="G41" s="29" t="s">
        <v>2982</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1880</v>
      </c>
      <c r="E42" s="16" t="s">
        <v>2986</v>
      </c>
      <c r="F42" s="216">
        <v>1.0</v>
      </c>
      <c r="G42" s="29" t="s">
        <v>2982</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2156</v>
      </c>
      <c r="E43" s="16" t="s">
        <v>2986</v>
      </c>
      <c r="F43" s="216">
        <v>1.0</v>
      </c>
      <c r="G43" s="29" t="s">
        <v>2982</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 adjacent Unit, its Owner may draw a Card. Gain Fear.</v>
      </c>
      <c r="L43" s="214">
        <f t="array" ref="L43">IFNA(XLOOKUP($D43,Cards!$A:$A,Cards!G:G),"")</f>
        <v>6</v>
      </c>
      <c r="M43" s="214" t="str">
        <f t="array" ref="M43">IFNA(XLOOKUP($D43,Cards!$A:$A,Cards!H:H),"")</f>
        <v>V, V, ?, ?, ?, ?, ?</v>
      </c>
      <c r="N43" s="214" t="str">
        <f t="array" ref="N43">IFNA(XLOOKUP($D43,Cards!$A:$A,Cards!I:I),"")</f>
        <v>Rare</v>
      </c>
      <c r="O43" s="215">
        <f t="shared" si="1"/>
        <v>6</v>
      </c>
    </row>
    <row r="44">
      <c r="D44" s="16" t="s">
        <v>484</v>
      </c>
      <c r="E44" s="16" t="s">
        <v>2987</v>
      </c>
      <c r="F44" s="16">
        <v>2.0</v>
      </c>
      <c r="G44" s="16" t="s">
        <v>2981</v>
      </c>
      <c r="H44" s="213">
        <f t="array" ref="H44">IFNA(XLOOKUP($D44,Cards!$A:$A,Cards!C:C),"")</f>
        <v>1</v>
      </c>
      <c r="I44" s="213" t="str">
        <f t="array" ref="I44">IFNA(XLOOKUP($D44,Cards!$A:$A,Cards!B:B),"")</f>
        <v>Divine Void</v>
      </c>
      <c r="J44" s="213" t="str">
        <f t="array" ref="J44">IFNA(XLOOKUP($D44,Cards!$A:$A,Cards!D:D),"")</f>
        <v>Angel Bannerbearer</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472</v>
      </c>
      <c r="E45" s="16" t="s">
        <v>2987</v>
      </c>
      <c r="F45" s="16">
        <v>1.0</v>
      </c>
      <c r="G45" s="16" t="s">
        <v>2981</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2987</v>
      </c>
      <c r="F46" s="16">
        <v>1.0</v>
      </c>
      <c r="G46" s="16" t="s">
        <v>2981</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2987</v>
      </c>
      <c r="F47" s="16">
        <v>1.0</v>
      </c>
      <c r="G47" s="16" t="s">
        <v>2982</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2178</v>
      </c>
      <c r="E48" s="16" t="s">
        <v>2987</v>
      </c>
      <c r="F48" s="16">
        <v>1.0</v>
      </c>
      <c r="G48" s="16" t="s">
        <v>2982</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1995</v>
      </c>
      <c r="E49" s="16" t="s">
        <v>2987</v>
      </c>
      <c r="F49" s="16">
        <v>1.0</v>
      </c>
      <c r="G49" s="16" t="s">
        <v>2982</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2026</v>
      </c>
      <c r="E50" s="16" t="s">
        <v>2987</v>
      </c>
      <c r="F50" s="16">
        <v>1.0</v>
      </c>
      <c r="G50" s="16" t="s">
        <v>2982</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2987</v>
      </c>
      <c r="F51" s="16">
        <v>2.0</v>
      </c>
      <c r="G51" s="16" t="s">
        <v>2982</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2987</v>
      </c>
      <c r="F52" s="16">
        <v>1.0</v>
      </c>
      <c r="G52" s="16" t="s">
        <v>2982</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2987</v>
      </c>
      <c r="F53" s="16">
        <v>1.0</v>
      </c>
      <c r="G53" s="16" t="s">
        <v>2982</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2987</v>
      </c>
      <c r="F54" s="16">
        <v>2.0</v>
      </c>
      <c r="G54" s="16" t="s">
        <v>2982</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2987</v>
      </c>
      <c r="F55" s="16">
        <v>2.0</v>
      </c>
      <c r="G55" s="16" t="s">
        <v>2982</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2987</v>
      </c>
      <c r="F56" s="16">
        <v>1.0</v>
      </c>
      <c r="G56" s="16" t="s">
        <v>2981</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2987</v>
      </c>
      <c r="F57" s="16">
        <v>2.0</v>
      </c>
      <c r="G57" s="16" t="s">
        <v>2982</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2987</v>
      </c>
      <c r="F58" s="16">
        <v>2.0</v>
      </c>
      <c r="G58" s="16" t="s">
        <v>2982</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2987</v>
      </c>
      <c r="F59" s="16">
        <v>1.0</v>
      </c>
      <c r="G59" s="16" t="s">
        <v>2981</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2987</v>
      </c>
      <c r="F60" s="16">
        <v>2.0</v>
      </c>
      <c r="G60" s="16" t="s">
        <v>2982</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2020</v>
      </c>
      <c r="E61" s="16" t="s">
        <v>2987</v>
      </c>
      <c r="F61" s="16">
        <v>2.0</v>
      </c>
      <c r="G61" s="16" t="s">
        <v>2981</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2163</v>
      </c>
      <c r="E62" s="16" t="s">
        <v>2987</v>
      </c>
      <c r="F62" s="16">
        <v>1.0</v>
      </c>
      <c r="G62" s="16" t="s">
        <v>2981</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2011</v>
      </c>
      <c r="E63" s="16" t="s">
        <v>2987</v>
      </c>
      <c r="F63" s="16">
        <v>2.0</v>
      </c>
      <c r="G63" s="16" t="s">
        <v>2982</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2014</v>
      </c>
      <c r="E64" s="16" t="s">
        <v>2987</v>
      </c>
      <c r="F64" s="16">
        <v>1.0</v>
      </c>
      <c r="G64" s="16" t="s">
        <v>2982</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1046</v>
      </c>
      <c r="E65" s="16" t="s">
        <v>2988</v>
      </c>
      <c r="F65" s="16">
        <v>1.0</v>
      </c>
      <c r="G65" s="16" t="s">
        <v>2981</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You may bury a friendly Dragon Unit to bury an enemy Unit.</v>
      </c>
      <c r="L65" s="214">
        <f t="array" ref="L65">IFNA(XLOOKUP($D65,Cards!$A:$A,Cards!G:G),"")</f>
        <v>6</v>
      </c>
      <c r="M65" s="214" t="str">
        <f t="array" ref="M65">IFNA(XLOOKUP($D65,Cards!$A:$A,Cards!H:H),"")</f>
        <v>E, E, E, ?, ?</v>
      </c>
      <c r="N65" s="214" t="str">
        <f t="array" ref="N65">IFNA(XLOOKUP($D65,Cards!$A:$A,Cards!I:I),"")</f>
        <v>Rare</v>
      </c>
      <c r="O65" s="215">
        <f t="shared" si="1"/>
        <v>6</v>
      </c>
    </row>
    <row r="66">
      <c r="D66" s="16" t="s">
        <v>1043</v>
      </c>
      <c r="E66" s="16" t="s">
        <v>2988</v>
      </c>
      <c r="F66" s="16">
        <v>1.0</v>
      </c>
      <c r="G66" s="16" t="s">
        <v>2982</v>
      </c>
      <c r="H66" s="213">
        <f t="array" ref="H66">IFNA(XLOOKUP($D66,Cards!$A:$A,Cards!C:C),"")</f>
        <v>1</v>
      </c>
      <c r="I66" s="213" t="str">
        <f t="array" ref="I66">IFNA(XLOOKUP($D66,Cards!$A:$A,Cards!B:B),"")</f>
        <v>Elemental</v>
      </c>
      <c r="J66" s="213" t="str">
        <f t="array" ref="J66">IFNA(XLOOKUP($D66,Cards!$A:$A,Cards!D:D),"")</f>
        <v>Dragon</v>
      </c>
      <c r="K66" s="213" t="str">
        <f t="array" ref="K66">IFNA(XLOOKUP($D66,Cards!$A:$A,Cards!E:E),"")</f>
        <v>Deploy: Gain Taunt. Ally Wizard: Glimpse 2. Ally Dragon: Draw a Card.</v>
      </c>
      <c r="L66" s="214">
        <f t="array" ref="L66">IFNA(XLOOKUP($D66,Cards!$A:$A,Cards!G:G),"")</f>
        <v>4</v>
      </c>
      <c r="M66" s="214" t="str">
        <f t="array" ref="M66">IFNA(XLOOKUP($D66,Cards!$A:$A,Cards!H:H),"")</f>
        <v>E, E, ?</v>
      </c>
      <c r="N66" s="214" t="str">
        <f t="array" ref="N66">IFNA(XLOOKUP($D66,Cards!$A:$A,Cards!I:I),"")</f>
        <v>Rare</v>
      </c>
      <c r="O66" s="215">
        <f t="shared" si="1"/>
        <v>4</v>
      </c>
    </row>
    <row r="67">
      <c r="D67" s="16" t="s">
        <v>1871</v>
      </c>
      <c r="E67" s="16" t="s">
        <v>2988</v>
      </c>
      <c r="F67" s="16">
        <v>1.0</v>
      </c>
      <c r="G67" s="16" t="s">
        <v>2982</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3" t="s">
        <v>1114</v>
      </c>
      <c r="E68" s="16" t="s">
        <v>2988</v>
      </c>
      <c r="F68" s="16">
        <v>2.0</v>
      </c>
      <c r="G68" s="16" t="s">
        <v>2981</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10</v>
      </c>
    </row>
    <row r="69">
      <c r="D69" s="16" t="s">
        <v>744</v>
      </c>
      <c r="E69" s="16" t="s">
        <v>2988</v>
      </c>
      <c r="F69" s="16">
        <v>2.0</v>
      </c>
      <c r="G69" s="16" t="s">
        <v>2981</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1727</v>
      </c>
      <c r="E70" s="16" t="s">
        <v>2988</v>
      </c>
      <c r="F70" s="16">
        <v>1.0</v>
      </c>
      <c r="G70" s="16" t="s">
        <v>2982</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835</v>
      </c>
      <c r="E71" s="16" t="s">
        <v>2988</v>
      </c>
      <c r="F71" s="16">
        <v>1.0</v>
      </c>
      <c r="G71" s="16" t="s">
        <v>2982</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3" t="s">
        <v>1815</v>
      </c>
      <c r="E72" s="16" t="s">
        <v>2988</v>
      </c>
      <c r="F72" s="16">
        <v>1.0</v>
      </c>
      <c r="G72" s="16" t="s">
        <v>2982</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1145</v>
      </c>
      <c r="E73" s="16" t="s">
        <v>2988</v>
      </c>
      <c r="F73" s="16">
        <v>2.0</v>
      </c>
      <c r="G73" s="16" t="s">
        <v>2981</v>
      </c>
      <c r="H73" s="213">
        <f t="array" ref="H73">IFNA(XLOOKUP($D73,Cards!$A:$A,Cards!C:C),"")</f>
        <v>1</v>
      </c>
      <c r="I73" s="213" t="str">
        <f t="array" ref="I73">IFNA(XLOOKUP($D73,Cards!$A:$A,Cards!B:B),"")</f>
        <v>Elemental Nature</v>
      </c>
      <c r="J73" s="213" t="str">
        <f t="array" ref="J73">IFNA(XLOOKUP($D73,Cards!$A:$A,Cards!D:D),"")</f>
        <v>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1001</v>
      </c>
      <c r="E74" s="16" t="s">
        <v>2988</v>
      </c>
      <c r="F74" s="16">
        <v>2.0</v>
      </c>
      <c r="G74" s="16" t="s">
        <v>2981</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682</v>
      </c>
      <c r="E75" s="16" t="s">
        <v>2988</v>
      </c>
      <c r="F75" s="16">
        <v>1.0</v>
      </c>
      <c r="G75" s="16" t="s">
        <v>2982</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594</v>
      </c>
      <c r="E76" s="16" t="s">
        <v>2988</v>
      </c>
      <c r="F76" s="16">
        <v>1.0</v>
      </c>
      <c r="G76" s="16" t="s">
        <v>2981</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538</v>
      </c>
      <c r="E77" s="16" t="s">
        <v>2988</v>
      </c>
      <c r="F77" s="16">
        <v>2.0</v>
      </c>
      <c r="G77" s="16" t="s">
        <v>2982</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2</v>
      </c>
    </row>
    <row r="78">
      <c r="D78" s="24" t="s">
        <v>608</v>
      </c>
      <c r="E78" s="16" t="s">
        <v>2988</v>
      </c>
      <c r="F78" s="16">
        <v>1.0</v>
      </c>
      <c r="G78" s="16" t="s">
        <v>2982</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95" t="s">
        <v>1953</v>
      </c>
      <c r="E79" s="16" t="s">
        <v>2988</v>
      </c>
      <c r="F79" s="16">
        <v>1.0</v>
      </c>
      <c r="G79" s="16" t="s">
        <v>2982</v>
      </c>
      <c r="H79" s="213">
        <f t="array" ref="H79">IFNA(XLOOKUP($D79,Cards!$A:$A,Cards!C:C),"")</f>
        <v>1</v>
      </c>
      <c r="I79" s="213" t="str">
        <f t="array" ref="I79">IFNA(XLOOKUP($D79,Cards!$A:$A,Cards!B:B),"")</f>
        <v>Nature</v>
      </c>
      <c r="J79" s="213" t="str">
        <f t="array" ref="J79">IFNA(XLOOKUP($D79,Cards!$A:$A,Cards!D:D),"")</f>
        <v>Angel Warrior</v>
      </c>
      <c r="K79" s="213" t="str">
        <f t="array" ref="K79">IFNA(XLOOKUP($D79,Cards!$A:$A,Cards!E:E),"")</f>
        <v/>
      </c>
      <c r="L79" s="214">
        <f t="array" ref="L79">IFNA(XLOOKUP($D79,Cards!$A:$A,Cards!G:G),"")</f>
        <v>6</v>
      </c>
      <c r="M79" s="214" t="str">
        <f t="array" ref="M79">IFNA(XLOOKUP($D79,Cards!$A:$A,Cards!H:H),"")</f>
        <v>N, ?, ?, ?, ?, ?</v>
      </c>
      <c r="N79" s="214" t="str">
        <f t="array" ref="N79">IFNA(XLOOKUP($D79,Cards!$A:$A,Cards!I:I),"")</f>
        <v>Common</v>
      </c>
      <c r="O79" s="215">
        <f t="shared" si="1"/>
        <v>6</v>
      </c>
    </row>
    <row r="80">
      <c r="D80" s="16" t="s">
        <v>635</v>
      </c>
      <c r="E80" s="16" t="s">
        <v>2988</v>
      </c>
      <c r="F80" s="16">
        <v>2.0</v>
      </c>
      <c r="G80" s="16" t="s">
        <v>2981</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8</v>
      </c>
    </row>
    <row r="81">
      <c r="D81" s="7" t="s">
        <v>1713</v>
      </c>
      <c r="E81" s="16" t="s">
        <v>2988</v>
      </c>
      <c r="F81" s="16">
        <v>1.0</v>
      </c>
      <c r="G81" s="16" t="s">
        <v>2982</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1057</v>
      </c>
      <c r="E82" s="16" t="s">
        <v>2988</v>
      </c>
      <c r="F82" s="16">
        <v>2.0</v>
      </c>
      <c r="G82" s="16" t="s">
        <v>2982</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This Turn, an enemy Unit was deployed adjacently. Unearth: Gain Fear and +3 Power.</v>
      </c>
      <c r="L82" s="214">
        <f t="array" ref="L82">IFNA(XLOOKUP($D82,Cards!$A:$A,Cards!G:G),"")</f>
        <v>1</v>
      </c>
      <c r="M82" s="214" t="str">
        <f t="array" ref="M82">IFNA(XLOOKUP($D82,Cards!$A:$A,Cards!H:H),"")</f>
        <v>E, E</v>
      </c>
      <c r="N82" s="214" t="str">
        <f t="array" ref="N82">IFNA(XLOOKUP($D82,Cards!$A:$A,Cards!I:I),"")</f>
        <v>Common</v>
      </c>
      <c r="O82" s="215">
        <f t="shared" si="1"/>
        <v>2</v>
      </c>
    </row>
    <row r="83">
      <c r="D83" s="16" t="s">
        <v>1975</v>
      </c>
      <c r="E83" s="16" t="s">
        <v>2988</v>
      </c>
      <c r="F83" s="16">
        <v>2.0</v>
      </c>
      <c r="G83" s="16" t="s">
        <v>2982</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4</v>
      </c>
    </row>
    <row r="84">
      <c r="D84" s="16" t="s">
        <v>962</v>
      </c>
      <c r="E84" s="16" t="s">
        <v>2988</v>
      </c>
      <c r="F84" s="16">
        <v>2.0</v>
      </c>
      <c r="G84" s="16" t="s">
        <v>2982</v>
      </c>
      <c r="H84" s="213">
        <f t="array" ref="H84">IFNA(XLOOKUP($D84,Cards!$A:$A,Cards!C:C),"")</f>
        <v>1</v>
      </c>
      <c r="I84" s="213" t="str">
        <f t="array" ref="I84">IFNA(XLOOKUP($D84,Cards!$A:$A,Cards!B:B),"")</f>
        <v>Elemental</v>
      </c>
      <c r="J84" s="213" t="str">
        <f t="array" ref="J84">IFNA(XLOOKUP($D84,Cards!$A:$A,Cards!D:D),"")</f>
        <v>Dragon Wizard</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D85" s="16" t="s">
        <v>1855</v>
      </c>
      <c r="E85" s="16" t="s">
        <v>2988</v>
      </c>
      <c r="F85" s="16">
        <v>1.0</v>
      </c>
      <c r="G85" s="16" t="s">
        <v>2982</v>
      </c>
      <c r="H85" s="213">
        <f t="array" ref="H85">IFNA(XLOOKUP($D85,Cards!$A:$A,Cards!C:C),"")</f>
        <v>1</v>
      </c>
      <c r="I85" s="213" t="str">
        <f t="array" ref="I85">IFNA(XLOOKUP($D85,Cards!$A:$A,Cards!B:B),"")</f>
        <v>Nature</v>
      </c>
      <c r="J85" s="213" t="str">
        <f t="array" ref="J85">IFNA(XLOOKUP($D85,Cards!$A:$A,Cards!D:D),"")</f>
        <v>Animal Hunter</v>
      </c>
      <c r="K85" s="213" t="str">
        <f t="array" ref="K85">IFNA(XLOOKUP($D85,Cards!$A:$A,Cards!E:E),"")</f>
        <v>Deploy: Another friendly Nature Unit in this Lane gains +2 Power and Ward.</v>
      </c>
      <c r="L85" s="214">
        <f t="array" ref="L85">IFNA(XLOOKUP($D85,Cards!$A:$A,Cards!G:G),"")</f>
        <v>1</v>
      </c>
      <c r="M85" s="214" t="str">
        <f t="array" ref="M85">IFNA(XLOOKUP($D85,Cards!$A:$A,Cards!H:H),"")</f>
        <v>N, ?, ?</v>
      </c>
      <c r="N85" s="214" t="str">
        <f t="array" ref="N85">IFNA(XLOOKUP($D85,Cards!$A:$A,Cards!I:I),"")</f>
        <v>Common</v>
      </c>
      <c r="O85" s="215">
        <f t="shared" si="1"/>
        <v>1</v>
      </c>
    </row>
    <row r="86">
      <c r="E86" s="16"/>
      <c r="G86" s="16" t="s">
        <v>2982</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c r="G87" s="16" t="s">
        <v>2982</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c r="G88" s="16" t="s">
        <v>2982</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c r="G89" s="16" t="s">
        <v>2982</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4"/>
      <c r="F804" s="34"/>
      <c r="G804" s="34"/>
      <c r="H804" s="34"/>
      <c r="I804" s="34"/>
      <c r="J804" s="225"/>
      <c r="K804" s="225"/>
      <c r="L804" s="34"/>
    </row>
    <row r="805">
      <c r="B805" s="20"/>
      <c r="D805" s="20"/>
      <c r="E805" s="34"/>
      <c r="F805" s="34"/>
      <c r="G805" s="34"/>
      <c r="H805" s="34"/>
      <c r="I805" s="34"/>
      <c r="J805" s="225"/>
      <c r="K805" s="225"/>
      <c r="L805" s="34"/>
    </row>
    <row r="806">
      <c r="B806" s="20"/>
      <c r="D806" s="20"/>
      <c r="E806" s="34"/>
      <c r="F806" s="34"/>
      <c r="G806" s="34"/>
      <c r="H806" s="34"/>
      <c r="I806" s="34"/>
      <c r="J806" s="225"/>
      <c r="K806" s="225"/>
      <c r="L806" s="34"/>
    </row>
    <row r="807">
      <c r="B807" s="20"/>
      <c r="D807" s="20"/>
      <c r="E807" s="34"/>
      <c r="F807" s="34"/>
      <c r="G807" s="34"/>
      <c r="H807" s="34"/>
      <c r="I807" s="34"/>
      <c r="J807" s="225"/>
      <c r="K807" s="225"/>
      <c r="L807" s="34"/>
    </row>
    <row r="808">
      <c r="B808" s="20"/>
      <c r="D808" s="20"/>
      <c r="E808" s="34"/>
      <c r="F808" s="34"/>
      <c r="G808" s="34"/>
      <c r="H808" s="34"/>
      <c r="I808" s="34"/>
      <c r="J808" s="225"/>
      <c r="K808" s="225"/>
      <c r="L808" s="34"/>
    </row>
    <row r="809">
      <c r="B809" s="20"/>
      <c r="D809" s="20"/>
      <c r="E809" s="34"/>
      <c r="F809" s="34"/>
      <c r="G809" s="34"/>
      <c r="H809" s="34"/>
      <c r="I809" s="34"/>
      <c r="J809" s="225"/>
      <c r="K809" s="225"/>
      <c r="L809" s="34"/>
    </row>
    <row r="810">
      <c r="B810" s="20"/>
      <c r="D810" s="20"/>
      <c r="E810" s="34"/>
      <c r="F810" s="34"/>
      <c r="G810" s="34"/>
      <c r="H810" s="34"/>
      <c r="I810" s="34"/>
      <c r="J810" s="225"/>
      <c r="K810" s="225"/>
      <c r="L810" s="34"/>
    </row>
    <row r="811">
      <c r="B811" s="20"/>
      <c r="D811" s="20"/>
      <c r="E811" s="34"/>
      <c r="F811" s="34"/>
      <c r="G811" s="34"/>
      <c r="H811" s="34"/>
      <c r="I811" s="34"/>
      <c r="J811" s="225"/>
      <c r="K811" s="225"/>
      <c r="L811" s="34"/>
    </row>
    <row r="812">
      <c r="B812" s="20"/>
      <c r="D812" s="20"/>
      <c r="E812" s="34"/>
      <c r="F812" s="34"/>
      <c r="G812" s="34"/>
      <c r="H812" s="34"/>
      <c r="I812" s="34"/>
      <c r="J812" s="225"/>
      <c r="K812" s="225"/>
      <c r="L812" s="34"/>
    </row>
    <row r="813">
      <c r="B813" s="20"/>
      <c r="D813" s="20"/>
      <c r="E813" s="34"/>
      <c r="F813" s="34"/>
      <c r="G813" s="34"/>
      <c r="H813" s="34"/>
      <c r="I813" s="34"/>
      <c r="J813" s="225"/>
      <c r="K813" s="225"/>
      <c r="L813" s="34"/>
    </row>
    <row r="814">
      <c r="B814" s="20"/>
      <c r="D814" s="20"/>
      <c r="E814" s="34"/>
      <c r="F814" s="34"/>
      <c r="G814" s="34"/>
      <c r="H814" s="34"/>
      <c r="I814" s="34"/>
      <c r="J814" s="225"/>
      <c r="K814" s="225"/>
      <c r="L814" s="34"/>
    </row>
    <row r="815">
      <c r="B815" s="20"/>
      <c r="D815" s="20"/>
      <c r="E815" s="34"/>
      <c r="F815" s="34"/>
      <c r="G815" s="34"/>
      <c r="H815" s="34"/>
      <c r="I815" s="34"/>
      <c r="J815" s="225"/>
      <c r="K815" s="225"/>
      <c r="L815" s="34"/>
    </row>
    <row r="816">
      <c r="B816" s="20"/>
      <c r="D816" s="20"/>
      <c r="E816" s="34"/>
      <c r="F816" s="34"/>
      <c r="G816" s="34"/>
      <c r="H816" s="34"/>
      <c r="I816" s="34"/>
      <c r="J816" s="225"/>
      <c r="K816" s="225"/>
      <c r="L816" s="34"/>
    </row>
    <row r="817">
      <c r="B817" s="20"/>
      <c r="D817" s="20"/>
      <c r="E817" s="34"/>
      <c r="F817" s="34"/>
      <c r="G817" s="34"/>
      <c r="H817" s="34"/>
      <c r="I817" s="34"/>
      <c r="J817" s="225"/>
      <c r="K817" s="225"/>
      <c r="L817" s="34"/>
    </row>
    <row r="818">
      <c r="B818" s="20"/>
      <c r="D818" s="20"/>
      <c r="E818" s="34"/>
      <c r="F818" s="34"/>
      <c r="G818" s="34"/>
      <c r="H818" s="34"/>
      <c r="I818" s="34"/>
      <c r="J818" s="225"/>
      <c r="K818" s="225"/>
      <c r="L818" s="34"/>
    </row>
    <row r="819">
      <c r="B819" s="20"/>
      <c r="D819" s="20"/>
      <c r="E819" s="34"/>
      <c r="F819" s="34"/>
      <c r="G819" s="34"/>
      <c r="H819" s="34"/>
      <c r="I819" s="34"/>
      <c r="J819" s="225"/>
      <c r="K819" s="225"/>
      <c r="L819" s="34"/>
    </row>
    <row r="820">
      <c r="B820" s="20"/>
      <c r="D820" s="20"/>
      <c r="E820" s="34"/>
      <c r="F820" s="34"/>
      <c r="G820" s="34"/>
      <c r="H820" s="34"/>
      <c r="I820" s="34"/>
      <c r="J820" s="225"/>
      <c r="K820" s="225"/>
      <c r="L820" s="34"/>
    </row>
    <row r="821">
      <c r="B821" s="20"/>
      <c r="D821" s="20"/>
      <c r="E821" s="34"/>
      <c r="F821" s="34"/>
      <c r="G821" s="34"/>
      <c r="H821" s="34"/>
      <c r="I821" s="34"/>
      <c r="J821" s="225"/>
      <c r="K821" s="225"/>
      <c r="L821" s="34"/>
    </row>
    <row r="822">
      <c r="B822" s="20"/>
      <c r="D822" s="20"/>
      <c r="E822" s="34"/>
      <c r="F822" s="34"/>
      <c r="G822" s="34"/>
      <c r="H822" s="34"/>
      <c r="I822" s="34"/>
      <c r="J822" s="225"/>
      <c r="K822" s="225"/>
      <c r="L822" s="34"/>
    </row>
    <row r="823">
      <c r="B823" s="20"/>
      <c r="D823" s="20"/>
      <c r="E823" s="34"/>
      <c r="F823" s="34"/>
      <c r="G823" s="34"/>
      <c r="H823" s="34"/>
      <c r="I823" s="34"/>
      <c r="J823" s="225"/>
      <c r="K823" s="225"/>
      <c r="L823" s="34"/>
    </row>
    <row r="824">
      <c r="B824" s="20"/>
      <c r="D824" s="20"/>
      <c r="E824" s="34"/>
      <c r="F824" s="34"/>
      <c r="G824" s="34"/>
      <c r="H824" s="34"/>
      <c r="I824" s="34"/>
      <c r="J824" s="225"/>
      <c r="K824" s="225"/>
      <c r="L824" s="34"/>
    </row>
    <row r="825">
      <c r="B825" s="20"/>
      <c r="D825" s="20"/>
      <c r="E825" s="34"/>
      <c r="F825" s="34"/>
      <c r="G825" s="34"/>
      <c r="H825" s="34"/>
      <c r="I825" s="34"/>
      <c r="J825" s="225"/>
      <c r="K825" s="225"/>
      <c r="L825" s="34"/>
    </row>
    <row r="826">
      <c r="B826" s="20"/>
      <c r="D826" s="20"/>
      <c r="E826" s="34"/>
      <c r="F826" s="34"/>
      <c r="G826" s="34"/>
      <c r="H826" s="34"/>
      <c r="I826" s="34"/>
      <c r="J826" s="225"/>
      <c r="K826" s="225"/>
      <c r="L826" s="34"/>
    </row>
    <row r="827">
      <c r="B827" s="20"/>
      <c r="D827" s="20"/>
      <c r="E827" s="34"/>
      <c r="F827" s="34"/>
      <c r="G827" s="34"/>
      <c r="H827" s="34"/>
      <c r="I827" s="34"/>
      <c r="J827" s="225"/>
      <c r="K827" s="225"/>
      <c r="L827" s="34"/>
    </row>
    <row r="828">
      <c r="B828" s="20"/>
      <c r="D828" s="20"/>
      <c r="E828" s="34"/>
      <c r="F828" s="34"/>
      <c r="G828" s="34"/>
      <c r="H828" s="34"/>
      <c r="I828" s="34"/>
      <c r="J828" s="225"/>
      <c r="K828" s="225"/>
      <c r="L828" s="34"/>
    </row>
    <row r="829">
      <c r="B829" s="20"/>
      <c r="D829" s="20"/>
      <c r="E829" s="34"/>
      <c r="F829" s="34"/>
      <c r="G829" s="34"/>
      <c r="H829" s="34"/>
      <c r="I829" s="34"/>
      <c r="J829" s="225"/>
      <c r="K829" s="225"/>
      <c r="L829" s="34"/>
    </row>
    <row r="830">
      <c r="B830" s="20"/>
      <c r="D830" s="20"/>
      <c r="E830" s="34"/>
      <c r="F830" s="34"/>
      <c r="G830" s="34"/>
      <c r="H830" s="34"/>
      <c r="I830" s="34"/>
      <c r="J830" s="225"/>
      <c r="K830" s="225"/>
      <c r="L830" s="34"/>
    </row>
    <row r="831">
      <c r="B831" s="20"/>
      <c r="D831" s="20"/>
      <c r="E831" s="34"/>
      <c r="F831" s="34"/>
      <c r="G831" s="34"/>
      <c r="H831" s="34"/>
      <c r="I831" s="34"/>
      <c r="J831" s="225"/>
      <c r="K831" s="225"/>
      <c r="L831" s="34"/>
    </row>
    <row r="832">
      <c r="B832" s="20"/>
      <c r="D832" s="20"/>
      <c r="E832" s="34"/>
      <c r="F832" s="34"/>
      <c r="G832" s="34"/>
      <c r="H832" s="34"/>
      <c r="I832" s="34"/>
      <c r="J832" s="225"/>
      <c r="K832" s="225"/>
      <c r="L832" s="34"/>
    </row>
    <row r="833">
      <c r="B833" s="20"/>
      <c r="D833" s="20"/>
      <c r="E833" s="34"/>
      <c r="F833" s="34"/>
      <c r="G833" s="34"/>
      <c r="H833" s="34"/>
      <c r="I833" s="34"/>
      <c r="J833" s="225"/>
      <c r="K833" s="225"/>
      <c r="L833" s="34"/>
    </row>
    <row r="834">
      <c r="B834" s="20"/>
      <c r="D834" s="20"/>
      <c r="E834" s="34"/>
      <c r="F834" s="34"/>
      <c r="G834" s="34"/>
      <c r="H834" s="34"/>
      <c r="I834" s="34"/>
      <c r="J834" s="225"/>
      <c r="K834" s="225"/>
      <c r="L834" s="34"/>
    </row>
    <row r="835">
      <c r="B835" s="20"/>
      <c r="D835" s="20"/>
      <c r="E835" s="34"/>
      <c r="F835" s="34"/>
      <c r="G835" s="34"/>
      <c r="H835" s="34"/>
      <c r="I835" s="34"/>
      <c r="J835" s="225"/>
      <c r="K835" s="225"/>
      <c r="L835" s="34"/>
    </row>
    <row r="836">
      <c r="B836" s="20"/>
      <c r="D836" s="20"/>
      <c r="E836" s="34"/>
      <c r="F836" s="34"/>
      <c r="G836" s="34"/>
      <c r="H836" s="34"/>
      <c r="I836" s="34"/>
      <c r="J836" s="225"/>
      <c r="K836" s="225"/>
      <c r="L836" s="34"/>
    </row>
    <row r="837">
      <c r="B837" s="20"/>
      <c r="D837" s="20"/>
      <c r="E837" s="34"/>
      <c r="F837" s="34"/>
      <c r="G837" s="34"/>
      <c r="H837" s="34"/>
      <c r="I837" s="34"/>
      <c r="J837" s="225"/>
      <c r="K837" s="225"/>
      <c r="L837" s="34"/>
    </row>
    <row r="838">
      <c r="B838" s="20"/>
      <c r="D838" s="20"/>
      <c r="E838" s="34"/>
      <c r="F838" s="34"/>
      <c r="G838" s="34"/>
      <c r="H838" s="34"/>
      <c r="I838" s="34"/>
      <c r="J838" s="225"/>
      <c r="K838" s="225"/>
      <c r="L838" s="34"/>
    </row>
    <row r="839">
      <c r="B839" s="20"/>
      <c r="D839" s="20"/>
      <c r="E839" s="34"/>
      <c r="F839" s="34"/>
      <c r="G839" s="34"/>
      <c r="H839" s="34"/>
      <c r="I839" s="34"/>
      <c r="J839" s="225"/>
      <c r="K839" s="225"/>
      <c r="L839" s="34"/>
    </row>
    <row r="840">
      <c r="B840" s="20"/>
      <c r="D840" s="20"/>
      <c r="E840" s="34"/>
      <c r="F840" s="34"/>
      <c r="G840" s="34"/>
      <c r="H840" s="34"/>
      <c r="I840" s="34"/>
      <c r="J840" s="225"/>
      <c r="K840" s="225"/>
      <c r="L840" s="34"/>
    </row>
    <row r="841">
      <c r="B841" s="20"/>
      <c r="D841" s="20"/>
      <c r="E841" s="34"/>
      <c r="F841" s="34"/>
      <c r="G841" s="34"/>
      <c r="H841" s="34"/>
      <c r="I841" s="34"/>
      <c r="J841" s="225"/>
      <c r="K841" s="225"/>
      <c r="L841" s="34"/>
    </row>
    <row r="842">
      <c r="B842" s="20"/>
      <c r="D842" s="20"/>
      <c r="E842" s="34"/>
      <c r="F842" s="34"/>
      <c r="G842" s="34"/>
      <c r="H842" s="34"/>
      <c r="I842" s="34"/>
      <c r="J842" s="225"/>
      <c r="K842" s="225"/>
      <c r="L842" s="34"/>
    </row>
    <row r="843">
      <c r="B843" s="20"/>
      <c r="D843" s="20"/>
      <c r="E843" s="34"/>
      <c r="F843" s="34"/>
      <c r="G843" s="34"/>
      <c r="H843" s="34"/>
      <c r="I843" s="34"/>
      <c r="J843" s="225"/>
      <c r="K843" s="225"/>
      <c r="L843" s="34"/>
    </row>
    <row r="844">
      <c r="B844" s="20"/>
      <c r="D844" s="20"/>
      <c r="E844" s="34"/>
      <c r="F844" s="34"/>
      <c r="G844" s="34"/>
      <c r="H844" s="34"/>
      <c r="I844" s="34"/>
      <c r="J844" s="225"/>
      <c r="K844" s="225"/>
      <c r="L844" s="34"/>
    </row>
    <row r="845">
      <c r="B845" s="20"/>
      <c r="D845" s="20"/>
      <c r="E845" s="34"/>
      <c r="F845" s="34"/>
      <c r="G845" s="34"/>
      <c r="H845" s="34"/>
      <c r="I845" s="34"/>
      <c r="J845" s="225"/>
      <c r="K845" s="225"/>
      <c r="L845" s="34"/>
    </row>
    <row r="846">
      <c r="B846" s="20"/>
      <c r="D846" s="20"/>
      <c r="E846" s="34"/>
      <c r="F846" s="34"/>
      <c r="G846" s="34"/>
      <c r="H846" s="34"/>
      <c r="I846" s="34"/>
      <c r="J846" s="225"/>
      <c r="K846" s="225"/>
      <c r="L846" s="34"/>
    </row>
    <row r="847">
      <c r="B847" s="20"/>
      <c r="D847" s="20"/>
      <c r="E847" s="34"/>
      <c r="F847" s="34"/>
      <c r="G847" s="34"/>
      <c r="H847" s="34"/>
      <c r="I847" s="34"/>
      <c r="J847" s="225"/>
      <c r="K847" s="225"/>
      <c r="L847" s="34"/>
    </row>
    <row r="848">
      <c r="B848" s="20"/>
      <c r="D848" s="20"/>
      <c r="E848" s="34"/>
      <c r="F848" s="34"/>
      <c r="G848" s="34"/>
      <c r="H848" s="34"/>
      <c r="I848" s="34"/>
      <c r="J848" s="225"/>
      <c r="K848" s="225"/>
      <c r="L848" s="34"/>
    </row>
    <row r="849">
      <c r="B849" s="20"/>
      <c r="D849" s="20"/>
      <c r="E849" s="34"/>
      <c r="F849" s="34"/>
      <c r="G849" s="34"/>
      <c r="H849" s="34"/>
      <c r="I849" s="34"/>
      <c r="J849" s="225"/>
      <c r="K849" s="225"/>
      <c r="L849" s="34"/>
    </row>
    <row r="850">
      <c r="B850" s="20"/>
      <c r="D850" s="20"/>
      <c r="E850" s="34"/>
      <c r="F850" s="34"/>
      <c r="G850" s="34"/>
      <c r="H850" s="34"/>
      <c r="I850" s="34"/>
      <c r="J850" s="225"/>
      <c r="K850" s="225"/>
      <c r="L850" s="34"/>
    </row>
    <row r="851">
      <c r="B851" s="20"/>
      <c r="D851" s="20"/>
      <c r="E851" s="34"/>
      <c r="F851" s="34"/>
      <c r="G851" s="34"/>
      <c r="H851" s="34"/>
      <c r="I851" s="34"/>
      <c r="J851" s="225"/>
      <c r="K851" s="225"/>
      <c r="L851" s="34"/>
    </row>
    <row r="852">
      <c r="B852" s="20"/>
      <c r="D852" s="20"/>
      <c r="E852" s="34"/>
      <c r="F852" s="34"/>
      <c r="G852" s="34"/>
      <c r="H852" s="34"/>
      <c r="I852" s="34"/>
      <c r="J852" s="225"/>
      <c r="K852" s="225"/>
      <c r="L852" s="34"/>
    </row>
    <row r="853">
      <c r="B853" s="20"/>
      <c r="D853" s="20"/>
      <c r="E853" s="34"/>
      <c r="F853" s="34"/>
      <c r="G853" s="34"/>
      <c r="H853" s="34"/>
      <c r="I853" s="34"/>
      <c r="J853" s="225"/>
      <c r="K853" s="225"/>
      <c r="L853" s="34"/>
    </row>
    <row r="854">
      <c r="B854" s="20"/>
      <c r="D854" s="20"/>
      <c r="E854" s="34"/>
      <c r="F854" s="34"/>
      <c r="G854" s="34"/>
      <c r="H854" s="34"/>
      <c r="I854" s="34"/>
      <c r="J854" s="225"/>
      <c r="K854" s="225"/>
      <c r="L854" s="34"/>
    </row>
    <row r="855">
      <c r="B855" s="20"/>
      <c r="D855" s="20"/>
      <c r="E855" s="34"/>
      <c r="F855" s="34"/>
      <c r="G855" s="34"/>
      <c r="H855" s="34"/>
      <c r="I855" s="34"/>
      <c r="J855" s="225"/>
      <c r="K855" s="225"/>
      <c r="L855" s="34"/>
    </row>
    <row r="856">
      <c r="B856" s="20"/>
      <c r="D856" s="20"/>
      <c r="E856" s="34"/>
      <c r="F856" s="34"/>
      <c r="G856" s="34"/>
      <c r="H856" s="34"/>
      <c r="I856" s="34"/>
      <c r="J856" s="225"/>
      <c r="K856" s="225"/>
      <c r="L856" s="34"/>
    </row>
    <row r="857">
      <c r="B857" s="20"/>
      <c r="D857" s="20"/>
      <c r="E857" s="34"/>
      <c r="F857" s="34"/>
      <c r="G857" s="34"/>
      <c r="H857" s="34"/>
      <c r="I857" s="34"/>
      <c r="J857" s="225"/>
      <c r="K857" s="225"/>
      <c r="L857" s="34"/>
    </row>
    <row r="858">
      <c r="B858" s="20"/>
      <c r="D858" s="20"/>
      <c r="E858" s="34"/>
      <c r="F858" s="34"/>
      <c r="G858" s="34"/>
      <c r="H858" s="34"/>
      <c r="I858" s="34"/>
      <c r="J858" s="225"/>
      <c r="K858" s="225"/>
      <c r="L858" s="34"/>
    </row>
    <row r="859">
      <c r="B859" s="20"/>
      <c r="D859" s="20"/>
      <c r="E859" s="34"/>
      <c r="F859" s="34"/>
      <c r="G859" s="34"/>
      <c r="H859" s="34"/>
      <c r="I859" s="34"/>
      <c r="J859" s="225"/>
      <c r="K859" s="225"/>
      <c r="L859" s="34"/>
    </row>
    <row r="860">
      <c r="B860" s="20"/>
      <c r="D860" s="20"/>
      <c r="E860" s="34"/>
      <c r="F860" s="34"/>
      <c r="G860" s="34"/>
      <c r="H860" s="34"/>
      <c r="I860" s="34"/>
      <c r="J860" s="225"/>
      <c r="K860" s="225"/>
      <c r="L860" s="34"/>
    </row>
    <row r="861">
      <c r="B861" s="20"/>
      <c r="D861" s="20"/>
      <c r="E861" s="34"/>
      <c r="F861" s="34"/>
      <c r="G861" s="34"/>
      <c r="H861" s="34"/>
      <c r="I861" s="34"/>
      <c r="J861" s="225"/>
      <c r="K861" s="225"/>
      <c r="L861" s="34"/>
    </row>
    <row r="862">
      <c r="B862" s="20"/>
      <c r="D862" s="20"/>
      <c r="E862" s="34"/>
      <c r="F862" s="34"/>
      <c r="G862" s="34"/>
      <c r="H862" s="34"/>
      <c r="I862" s="34"/>
      <c r="J862" s="225"/>
      <c r="K862" s="225"/>
      <c r="L862" s="34"/>
    </row>
    <row r="863">
      <c r="B863" s="20"/>
      <c r="D863" s="20"/>
      <c r="E863" s="34"/>
      <c r="F863" s="34"/>
      <c r="G863" s="34"/>
      <c r="H863" s="34"/>
      <c r="I863" s="34"/>
      <c r="J863" s="225"/>
      <c r="K863" s="225"/>
      <c r="L863" s="34"/>
    </row>
    <row r="864">
      <c r="B864" s="20"/>
      <c r="D864" s="20"/>
      <c r="E864" s="34"/>
      <c r="F864" s="34"/>
      <c r="G864" s="34"/>
      <c r="H864" s="34"/>
      <c r="I864" s="34"/>
      <c r="J864" s="225"/>
      <c r="K864" s="225"/>
      <c r="L864" s="34"/>
    </row>
    <row r="865">
      <c r="B865" s="20"/>
      <c r="D865" s="20"/>
      <c r="E865" s="34"/>
      <c r="F865" s="34"/>
      <c r="G865" s="34"/>
      <c r="H865" s="34"/>
      <c r="I865" s="34"/>
      <c r="J865" s="225"/>
      <c r="K865" s="225"/>
      <c r="L865" s="34"/>
    </row>
    <row r="866">
      <c r="B866" s="20"/>
      <c r="D866" s="20"/>
      <c r="E866" s="34"/>
      <c r="F866" s="34"/>
      <c r="G866" s="34"/>
      <c r="H866" s="34"/>
      <c r="I866" s="34"/>
      <c r="J866" s="225"/>
      <c r="K866" s="225"/>
      <c r="L866" s="34"/>
    </row>
    <row r="867">
      <c r="B867" s="20"/>
      <c r="D867" s="20"/>
      <c r="E867" s="34"/>
      <c r="F867" s="34"/>
      <c r="G867" s="34"/>
      <c r="H867" s="34"/>
      <c r="I867" s="34"/>
      <c r="J867" s="225"/>
      <c r="K867" s="225"/>
      <c r="L867" s="34"/>
    </row>
    <row r="868">
      <c r="B868" s="20"/>
      <c r="D868" s="20"/>
      <c r="E868" s="34"/>
      <c r="F868" s="34"/>
      <c r="G868" s="34"/>
      <c r="H868" s="34"/>
      <c r="I868" s="34"/>
      <c r="J868" s="225"/>
      <c r="K868" s="225"/>
      <c r="L868" s="34"/>
    </row>
    <row r="869">
      <c r="B869" s="20"/>
      <c r="D869" s="20"/>
      <c r="E869" s="34"/>
      <c r="F869" s="34"/>
      <c r="G869" s="34"/>
      <c r="H869" s="34"/>
      <c r="I869" s="34"/>
      <c r="J869" s="225"/>
      <c r="K869" s="225"/>
      <c r="L869" s="34"/>
    </row>
    <row r="870">
      <c r="B870" s="20"/>
      <c r="D870" s="20"/>
      <c r="E870" s="34"/>
      <c r="F870" s="34"/>
      <c r="G870" s="34"/>
      <c r="H870" s="34"/>
      <c r="I870" s="34"/>
      <c r="J870" s="225"/>
      <c r="K870" s="225"/>
      <c r="L870" s="34"/>
    </row>
    <row r="871">
      <c r="B871" s="20"/>
      <c r="D871" s="20"/>
      <c r="E871" s="34"/>
      <c r="F871" s="34"/>
      <c r="G871" s="34"/>
      <c r="H871" s="34"/>
      <c r="I871" s="34"/>
      <c r="J871" s="225"/>
      <c r="K871" s="225"/>
      <c r="L871" s="34"/>
    </row>
    <row r="872">
      <c r="B872" s="20"/>
      <c r="D872" s="20"/>
      <c r="E872" s="34"/>
      <c r="F872" s="34"/>
      <c r="G872" s="34"/>
      <c r="H872" s="34"/>
      <c r="I872" s="34"/>
      <c r="J872" s="225"/>
      <c r="K872" s="225"/>
      <c r="L872" s="34"/>
    </row>
    <row r="873">
      <c r="B873" s="20"/>
      <c r="D873" s="20"/>
      <c r="E873" s="34"/>
      <c r="F873" s="34"/>
      <c r="G873" s="34"/>
      <c r="H873" s="34"/>
      <c r="I873" s="34"/>
      <c r="J873" s="225"/>
      <c r="K873" s="225"/>
      <c r="L873" s="34"/>
    </row>
    <row r="874">
      <c r="B874" s="20"/>
      <c r="D874" s="20"/>
      <c r="E874" s="34"/>
      <c r="F874" s="34"/>
      <c r="G874" s="34"/>
      <c r="H874" s="34"/>
      <c r="I874" s="34"/>
      <c r="J874" s="225"/>
      <c r="K874" s="225"/>
      <c r="L874" s="34"/>
    </row>
    <row r="875">
      <c r="B875" s="20"/>
      <c r="D875" s="20"/>
      <c r="E875" s="34"/>
      <c r="F875" s="34"/>
      <c r="G875" s="34"/>
      <c r="H875" s="34"/>
      <c r="I875" s="34"/>
      <c r="J875" s="225"/>
      <c r="K875" s="225"/>
      <c r="L875" s="34"/>
    </row>
    <row r="876">
      <c r="B876" s="20"/>
      <c r="D876" s="20"/>
      <c r="E876" s="34"/>
      <c r="F876" s="34"/>
      <c r="G876" s="34"/>
      <c r="H876" s="34"/>
      <c r="I876" s="34"/>
      <c r="J876" s="225"/>
      <c r="K876" s="225"/>
      <c r="L876" s="34"/>
    </row>
    <row r="877">
      <c r="B877" s="20"/>
      <c r="D877" s="20"/>
      <c r="E877" s="34"/>
      <c r="F877" s="34"/>
      <c r="G877" s="34"/>
      <c r="H877" s="34"/>
      <c r="I877" s="34"/>
      <c r="J877" s="225"/>
      <c r="K877" s="225"/>
      <c r="L877" s="34"/>
    </row>
    <row r="878">
      <c r="B878" s="20"/>
      <c r="D878" s="20"/>
      <c r="E878" s="34"/>
      <c r="F878" s="34"/>
      <c r="G878" s="34"/>
      <c r="H878" s="34"/>
      <c r="I878" s="34"/>
      <c r="J878" s="225"/>
      <c r="K878" s="225"/>
      <c r="L878" s="34"/>
    </row>
    <row r="879">
      <c r="B879" s="20"/>
      <c r="D879" s="20"/>
      <c r="E879" s="34"/>
      <c r="F879" s="34"/>
      <c r="G879" s="34"/>
      <c r="H879" s="34"/>
      <c r="I879" s="34"/>
      <c r="J879" s="225"/>
      <c r="K879" s="225"/>
      <c r="L879" s="34"/>
    </row>
    <row r="880">
      <c r="B880" s="20"/>
      <c r="D880" s="20"/>
      <c r="E880" s="34"/>
      <c r="F880" s="34"/>
      <c r="G880" s="34"/>
      <c r="H880" s="34"/>
      <c r="I880" s="34"/>
      <c r="J880" s="225"/>
      <c r="K880" s="225"/>
      <c r="L880" s="34"/>
    </row>
    <row r="881">
      <c r="B881" s="20"/>
      <c r="D881" s="20"/>
      <c r="E881" s="34"/>
      <c r="F881" s="34"/>
      <c r="G881" s="34"/>
      <c r="H881" s="34"/>
      <c r="I881" s="34"/>
      <c r="J881" s="225"/>
      <c r="K881" s="225"/>
      <c r="L881" s="34"/>
    </row>
    <row r="882">
      <c r="B882" s="20"/>
      <c r="D882" s="20"/>
      <c r="E882" s="34"/>
      <c r="F882" s="34"/>
      <c r="G882" s="34"/>
      <c r="H882" s="34"/>
      <c r="I882" s="34"/>
      <c r="J882" s="225"/>
      <c r="K882" s="225"/>
      <c r="L882" s="34"/>
    </row>
    <row r="883">
      <c r="B883" s="20"/>
      <c r="D883" s="20"/>
      <c r="E883" s="34"/>
      <c r="F883" s="34"/>
      <c r="G883" s="34"/>
      <c r="H883" s="34"/>
      <c r="I883" s="34"/>
      <c r="J883" s="225"/>
      <c r="K883" s="225"/>
      <c r="L883" s="34"/>
    </row>
    <row r="884">
      <c r="B884" s="20"/>
      <c r="D884" s="20"/>
      <c r="E884" s="34"/>
      <c r="F884" s="34"/>
      <c r="G884" s="34"/>
      <c r="H884" s="34"/>
      <c r="I884" s="34"/>
      <c r="J884" s="225"/>
      <c r="K884" s="225"/>
      <c r="L884" s="34"/>
    </row>
    <row r="885">
      <c r="B885" s="20"/>
      <c r="D885" s="20"/>
      <c r="E885" s="34"/>
      <c r="F885" s="34"/>
      <c r="G885" s="34"/>
      <c r="H885" s="34"/>
      <c r="I885" s="34"/>
      <c r="J885" s="225"/>
      <c r="K885" s="225"/>
      <c r="L885" s="34"/>
    </row>
    <row r="886">
      <c r="B886" s="20"/>
      <c r="D886" s="20"/>
      <c r="E886" s="34"/>
      <c r="F886" s="34"/>
      <c r="G886" s="34"/>
      <c r="H886" s="34"/>
      <c r="I886" s="34"/>
      <c r="J886" s="225"/>
      <c r="K886" s="225"/>
      <c r="L886" s="34"/>
    </row>
    <row r="887">
      <c r="B887" s="20"/>
      <c r="D887" s="20"/>
      <c r="E887" s="34"/>
      <c r="F887" s="34"/>
      <c r="G887" s="34"/>
      <c r="H887" s="34"/>
      <c r="I887" s="34"/>
      <c r="J887" s="225"/>
      <c r="K887" s="225"/>
      <c r="L887" s="34"/>
    </row>
    <row r="888">
      <c r="B888" s="20"/>
      <c r="D888" s="20"/>
      <c r="E888" s="34"/>
      <c r="F888" s="34"/>
      <c r="G888" s="34"/>
      <c r="H888" s="34"/>
      <c r="I888" s="34"/>
      <c r="J888" s="225"/>
      <c r="K888" s="225"/>
      <c r="L888" s="34"/>
    </row>
    <row r="889">
      <c r="B889" s="20"/>
      <c r="D889" s="20"/>
      <c r="E889" s="34"/>
      <c r="F889" s="34"/>
      <c r="G889" s="34"/>
      <c r="H889" s="34"/>
      <c r="I889" s="34"/>
      <c r="J889" s="225"/>
      <c r="K889" s="225"/>
      <c r="L889" s="34"/>
    </row>
    <row r="890">
      <c r="B890" s="20"/>
      <c r="D890" s="20"/>
      <c r="E890" s="34"/>
      <c r="F890" s="34"/>
      <c r="G890" s="34"/>
      <c r="H890" s="34"/>
      <c r="I890" s="34"/>
      <c r="J890" s="225"/>
      <c r="K890" s="225"/>
      <c r="L890" s="34"/>
    </row>
    <row r="891">
      <c r="B891" s="20"/>
      <c r="D891" s="20"/>
      <c r="E891" s="34"/>
      <c r="F891" s="34"/>
      <c r="G891" s="34"/>
      <c r="H891" s="34"/>
      <c r="I891" s="34"/>
      <c r="J891" s="225"/>
      <c r="K891" s="225"/>
      <c r="L891" s="34"/>
    </row>
    <row r="892">
      <c r="B892" s="20"/>
      <c r="D892" s="20"/>
      <c r="E892" s="34"/>
      <c r="F892" s="34"/>
      <c r="G892" s="34"/>
      <c r="H892" s="34"/>
      <c r="I892" s="34"/>
      <c r="J892" s="225"/>
      <c r="K892" s="225"/>
      <c r="L892" s="34"/>
    </row>
    <row r="893">
      <c r="B893" s="20"/>
      <c r="D893" s="20"/>
      <c r="E893" s="34"/>
      <c r="F893" s="34"/>
      <c r="G893" s="34"/>
      <c r="H893" s="34"/>
      <c r="I893" s="34"/>
      <c r="J893" s="225"/>
      <c r="K893" s="225"/>
      <c r="L893" s="34"/>
    </row>
    <row r="894">
      <c r="B894" s="20"/>
      <c r="D894" s="20"/>
      <c r="E894" s="34"/>
      <c r="F894" s="34"/>
      <c r="G894" s="34"/>
      <c r="H894" s="34"/>
      <c r="I894" s="34"/>
      <c r="J894" s="225"/>
      <c r="K894" s="225"/>
      <c r="L894" s="34"/>
    </row>
    <row r="895">
      <c r="B895" s="20"/>
      <c r="D895" s="20"/>
      <c r="E895" s="34"/>
      <c r="F895" s="34"/>
      <c r="G895" s="34"/>
      <c r="H895" s="34"/>
      <c r="I895" s="34"/>
      <c r="J895" s="225"/>
      <c r="K895" s="225"/>
      <c r="L895" s="34"/>
    </row>
    <row r="896">
      <c r="B896" s="20"/>
      <c r="D896" s="20"/>
      <c r="E896" s="34"/>
      <c r="F896" s="34"/>
      <c r="G896" s="34"/>
      <c r="H896" s="34"/>
      <c r="I896" s="34"/>
      <c r="J896" s="225"/>
      <c r="K896" s="225"/>
      <c r="L896" s="34"/>
    </row>
    <row r="897">
      <c r="B897" s="20"/>
      <c r="D897" s="20"/>
      <c r="E897" s="34"/>
      <c r="F897" s="34"/>
      <c r="G897" s="34"/>
      <c r="H897" s="34"/>
      <c r="I897" s="34"/>
      <c r="J897" s="225"/>
      <c r="K897" s="225"/>
      <c r="L897" s="34"/>
    </row>
    <row r="898">
      <c r="B898" s="20"/>
      <c r="D898" s="20"/>
      <c r="E898" s="34"/>
      <c r="F898" s="34"/>
      <c r="G898" s="34"/>
      <c r="H898" s="34"/>
      <c r="I898" s="34"/>
      <c r="J898" s="225"/>
      <c r="K898" s="225"/>
      <c r="L898" s="34"/>
    </row>
    <row r="899">
      <c r="B899" s="20"/>
      <c r="D899" s="20"/>
      <c r="E899" s="34"/>
      <c r="F899" s="34"/>
      <c r="G899" s="34"/>
      <c r="H899" s="34"/>
      <c r="I899" s="34"/>
      <c r="J899" s="225"/>
      <c r="K899" s="225"/>
      <c r="L899" s="34"/>
    </row>
    <row r="900">
      <c r="B900" s="20"/>
      <c r="D900" s="20"/>
      <c r="E900" s="34"/>
      <c r="F900" s="34"/>
      <c r="G900" s="34"/>
      <c r="H900" s="34"/>
      <c r="I900" s="34"/>
      <c r="J900" s="225"/>
      <c r="K900" s="225"/>
      <c r="L900" s="34"/>
    </row>
    <row r="901">
      <c r="B901" s="20"/>
      <c r="D901" s="20"/>
      <c r="E901" s="34"/>
      <c r="F901" s="34"/>
      <c r="G901" s="34"/>
      <c r="H901" s="34"/>
      <c r="I901" s="34"/>
      <c r="J901" s="225"/>
      <c r="K901" s="225"/>
      <c r="L901" s="34"/>
    </row>
    <row r="902">
      <c r="B902" s="20"/>
      <c r="D902" s="20"/>
      <c r="E902" s="34"/>
      <c r="F902" s="34"/>
      <c r="G902" s="34"/>
      <c r="H902" s="34"/>
      <c r="I902" s="34"/>
      <c r="J902" s="225"/>
      <c r="K902" s="225"/>
      <c r="L902" s="34"/>
    </row>
    <row r="903">
      <c r="B903" s="20"/>
      <c r="D903" s="20"/>
      <c r="E903" s="34"/>
      <c r="F903" s="34"/>
      <c r="G903" s="34"/>
      <c r="H903" s="34"/>
      <c r="I903" s="34"/>
      <c r="J903" s="225"/>
      <c r="K903" s="225"/>
      <c r="L903" s="34"/>
    </row>
    <row r="904">
      <c r="B904" s="20"/>
      <c r="D904" s="20"/>
      <c r="E904" s="34"/>
      <c r="F904" s="34"/>
      <c r="G904" s="34"/>
      <c r="H904" s="34"/>
      <c r="I904" s="34"/>
      <c r="J904" s="225"/>
      <c r="K904" s="225"/>
      <c r="L904" s="34"/>
    </row>
    <row r="905">
      <c r="B905" s="20"/>
      <c r="D905" s="20"/>
      <c r="E905" s="34"/>
      <c r="F905" s="34"/>
      <c r="G905" s="34"/>
      <c r="H905" s="34"/>
      <c r="I905" s="34"/>
      <c r="J905" s="225"/>
      <c r="K905" s="225"/>
      <c r="L905" s="34"/>
    </row>
    <row r="906">
      <c r="B906" s="20"/>
      <c r="D906" s="20"/>
      <c r="E906" s="34"/>
      <c r="F906" s="34"/>
      <c r="G906" s="34"/>
      <c r="H906" s="34"/>
      <c r="I906" s="34"/>
      <c r="J906" s="225"/>
      <c r="K906" s="225"/>
      <c r="L906" s="34"/>
    </row>
    <row r="907">
      <c r="B907" s="20"/>
      <c r="D907" s="20"/>
      <c r="E907" s="34"/>
      <c r="F907" s="34"/>
      <c r="G907" s="34"/>
      <c r="H907" s="34"/>
      <c r="I907" s="34"/>
      <c r="J907" s="225"/>
      <c r="K907" s="225"/>
      <c r="L907" s="34"/>
    </row>
    <row r="908">
      <c r="B908" s="20"/>
      <c r="D908" s="20"/>
      <c r="E908" s="34"/>
      <c r="F908" s="34"/>
      <c r="G908" s="34"/>
      <c r="H908" s="34"/>
      <c r="I908" s="34"/>
      <c r="J908" s="225"/>
      <c r="K908" s="225"/>
      <c r="L908" s="34"/>
    </row>
    <row r="909">
      <c r="B909" s="20"/>
      <c r="D909" s="20"/>
      <c r="E909" s="34"/>
      <c r="F909" s="34"/>
      <c r="G909" s="34"/>
      <c r="H909" s="34"/>
      <c r="I909" s="34"/>
      <c r="J909" s="225"/>
      <c r="K909" s="225"/>
      <c r="L909" s="34"/>
    </row>
    <row r="910">
      <c r="B910" s="20"/>
      <c r="D910" s="20"/>
      <c r="E910" s="34"/>
      <c r="F910" s="34"/>
      <c r="G910" s="34"/>
      <c r="H910" s="34"/>
      <c r="I910" s="34"/>
      <c r="J910" s="225"/>
      <c r="K910" s="225"/>
      <c r="L910" s="34"/>
    </row>
    <row r="911">
      <c r="B911" s="20"/>
      <c r="D911" s="20"/>
      <c r="E911" s="34"/>
      <c r="F911" s="34"/>
      <c r="G911" s="34"/>
      <c r="H911" s="34"/>
      <c r="I911" s="34"/>
      <c r="J911" s="225"/>
      <c r="K911" s="225"/>
      <c r="L911" s="34"/>
    </row>
    <row r="912">
      <c r="B912" s="20"/>
      <c r="D912" s="20"/>
      <c r="E912" s="34"/>
      <c r="F912" s="34"/>
      <c r="G912" s="34"/>
      <c r="H912" s="34"/>
      <c r="I912" s="34"/>
      <c r="J912" s="225"/>
      <c r="K912" s="225"/>
      <c r="L912" s="34"/>
    </row>
    <row r="913">
      <c r="B913" s="20"/>
      <c r="D913" s="20"/>
      <c r="E913" s="34"/>
      <c r="F913" s="34"/>
      <c r="G913" s="34"/>
      <c r="H913" s="34"/>
      <c r="I913" s="34"/>
      <c r="J913" s="225"/>
      <c r="K913" s="225"/>
      <c r="L913" s="34"/>
    </row>
    <row r="914">
      <c r="B914" s="20"/>
      <c r="D914" s="20"/>
      <c r="E914" s="34"/>
      <c r="F914" s="34"/>
      <c r="G914" s="34"/>
      <c r="H914" s="34"/>
      <c r="I914" s="34"/>
      <c r="J914" s="225"/>
      <c r="K914" s="225"/>
      <c r="L914" s="34"/>
    </row>
    <row r="915">
      <c r="B915" s="20"/>
      <c r="D915" s="20"/>
      <c r="E915" s="34"/>
      <c r="F915" s="34"/>
      <c r="G915" s="34"/>
      <c r="H915" s="34"/>
      <c r="I915" s="34"/>
      <c r="J915" s="225"/>
      <c r="K915" s="225"/>
      <c r="L915" s="34"/>
    </row>
    <row r="916">
      <c r="B916" s="20"/>
      <c r="D916" s="20"/>
      <c r="E916" s="34"/>
      <c r="F916" s="34"/>
      <c r="G916" s="34"/>
      <c r="H916" s="34"/>
      <c r="I916" s="34"/>
      <c r="J916" s="225"/>
      <c r="K916" s="225"/>
      <c r="L916" s="34"/>
    </row>
    <row r="917">
      <c r="B917" s="20"/>
      <c r="D917" s="20"/>
      <c r="E917" s="34"/>
      <c r="F917" s="34"/>
      <c r="G917" s="34"/>
      <c r="H917" s="34"/>
      <c r="I917" s="34"/>
      <c r="J917" s="225"/>
      <c r="K917" s="225"/>
      <c r="L917" s="34"/>
    </row>
    <row r="918">
      <c r="B918" s="20"/>
      <c r="D918" s="20"/>
      <c r="E918" s="34"/>
      <c r="F918" s="34"/>
      <c r="G918" s="34"/>
      <c r="H918" s="34"/>
      <c r="I918" s="34"/>
      <c r="J918" s="225"/>
      <c r="K918" s="225"/>
      <c r="L918" s="34"/>
    </row>
    <row r="919">
      <c r="B919" s="20"/>
      <c r="D919" s="20"/>
      <c r="E919" s="34"/>
      <c r="F919" s="34"/>
      <c r="G919" s="34"/>
      <c r="H919" s="34"/>
      <c r="I919" s="34"/>
      <c r="J919" s="225"/>
      <c r="K919" s="225"/>
      <c r="L919" s="34"/>
    </row>
    <row r="920">
      <c r="B920" s="20"/>
      <c r="D920" s="20"/>
      <c r="E920" s="34"/>
      <c r="F920" s="34"/>
      <c r="G920" s="34"/>
      <c r="H920" s="34"/>
      <c r="I920" s="34"/>
      <c r="J920" s="225"/>
      <c r="K920" s="225"/>
      <c r="L920" s="34"/>
    </row>
    <row r="921">
      <c r="B921" s="20"/>
      <c r="D921" s="20"/>
      <c r="E921" s="34"/>
      <c r="F921" s="34"/>
      <c r="G921" s="34"/>
      <c r="H921" s="34"/>
      <c r="I921" s="34"/>
      <c r="J921" s="225"/>
      <c r="K921" s="225"/>
      <c r="L921" s="34"/>
    </row>
    <row r="922">
      <c r="B922" s="20"/>
      <c r="D922" s="20"/>
      <c r="E922" s="34"/>
      <c r="F922" s="34"/>
      <c r="G922" s="34"/>
      <c r="H922" s="34"/>
      <c r="I922" s="34"/>
      <c r="J922" s="225"/>
      <c r="K922" s="225"/>
      <c r="L922" s="34"/>
    </row>
    <row r="923">
      <c r="B923" s="20"/>
      <c r="D923" s="20"/>
      <c r="E923" s="34"/>
      <c r="F923" s="34"/>
      <c r="G923" s="34"/>
      <c r="H923" s="34"/>
      <c r="I923" s="34"/>
      <c r="J923" s="225"/>
      <c r="K923" s="225"/>
      <c r="L923" s="34"/>
    </row>
    <row r="924">
      <c r="B924" s="20"/>
      <c r="D924" s="20"/>
      <c r="E924" s="34"/>
      <c r="F924" s="34"/>
      <c r="G924" s="34"/>
      <c r="H924" s="34"/>
      <c r="I924" s="34"/>
      <c r="J924" s="225"/>
      <c r="K924" s="225"/>
      <c r="L924" s="34"/>
    </row>
    <row r="925">
      <c r="B925" s="20"/>
      <c r="D925" s="20"/>
      <c r="E925" s="34"/>
      <c r="F925" s="34"/>
      <c r="G925" s="34"/>
      <c r="H925" s="34"/>
      <c r="I925" s="34"/>
      <c r="J925" s="225"/>
      <c r="K925" s="225"/>
      <c r="L925" s="34"/>
    </row>
    <row r="926">
      <c r="B926" s="20"/>
      <c r="D926" s="20"/>
      <c r="E926" s="34"/>
      <c r="F926" s="34"/>
      <c r="G926" s="34"/>
      <c r="H926" s="34"/>
      <c r="I926" s="34"/>
      <c r="J926" s="225"/>
      <c r="K926" s="225"/>
      <c r="L926" s="34"/>
    </row>
    <row r="927">
      <c r="B927" s="20"/>
      <c r="D927" s="20"/>
      <c r="E927" s="34"/>
      <c r="F927" s="34"/>
      <c r="G927" s="34"/>
      <c r="H927" s="34"/>
      <c r="I927" s="34"/>
      <c r="J927" s="225"/>
      <c r="K927" s="225"/>
      <c r="L927" s="34"/>
    </row>
    <row r="928">
      <c r="B928" s="20"/>
      <c r="D928" s="20"/>
      <c r="E928" s="34"/>
      <c r="F928" s="34"/>
      <c r="G928" s="34"/>
      <c r="H928" s="34"/>
      <c r="I928" s="34"/>
      <c r="J928" s="225"/>
      <c r="K928" s="225"/>
      <c r="L928" s="34"/>
    </row>
    <row r="929">
      <c r="B929" s="20"/>
      <c r="D929" s="20"/>
      <c r="E929" s="34"/>
      <c r="F929" s="34"/>
      <c r="G929" s="34"/>
      <c r="H929" s="34"/>
      <c r="I929" s="34"/>
      <c r="J929" s="225"/>
      <c r="K929" s="225"/>
      <c r="L929" s="34"/>
    </row>
    <row r="930">
      <c r="B930" s="20"/>
      <c r="D930" s="20"/>
      <c r="E930" s="34"/>
      <c r="F930" s="34"/>
      <c r="G930" s="34"/>
      <c r="H930" s="34"/>
      <c r="I930" s="34"/>
      <c r="J930" s="225"/>
      <c r="K930" s="225"/>
      <c r="L930" s="34"/>
    </row>
    <row r="931">
      <c r="B931" s="20"/>
      <c r="D931" s="20"/>
      <c r="E931" s="34"/>
      <c r="F931" s="34"/>
      <c r="G931" s="34"/>
      <c r="H931" s="34"/>
      <c r="I931" s="34"/>
      <c r="J931" s="225"/>
      <c r="K931" s="225"/>
      <c r="L931" s="34"/>
    </row>
    <row r="932">
      <c r="B932" s="20"/>
      <c r="D932" s="20"/>
      <c r="E932" s="34"/>
      <c r="F932" s="34"/>
      <c r="G932" s="34"/>
      <c r="H932" s="34"/>
      <c r="I932" s="34"/>
      <c r="J932" s="225"/>
      <c r="K932" s="225"/>
      <c r="L932" s="34"/>
    </row>
    <row r="933">
      <c r="B933" s="20"/>
      <c r="D933" s="20"/>
      <c r="E933" s="34"/>
      <c r="F933" s="34"/>
      <c r="G933" s="34"/>
      <c r="H933" s="34"/>
      <c r="I933" s="34"/>
      <c r="J933" s="225"/>
      <c r="K933" s="225"/>
      <c r="L933" s="34"/>
    </row>
    <row r="934">
      <c r="B934" s="20"/>
      <c r="D934" s="20"/>
      <c r="E934" s="34"/>
      <c r="F934" s="34"/>
      <c r="G934" s="34"/>
      <c r="H934" s="34"/>
      <c r="I934" s="34"/>
      <c r="J934" s="225"/>
      <c r="K934" s="225"/>
      <c r="L934" s="34"/>
    </row>
    <row r="935">
      <c r="B935" s="20"/>
      <c r="D935" s="20"/>
      <c r="E935" s="34"/>
      <c r="F935" s="34"/>
      <c r="G935" s="34"/>
      <c r="H935" s="34"/>
      <c r="I935" s="34"/>
      <c r="J935" s="225"/>
      <c r="K935" s="225"/>
      <c r="L935" s="34"/>
    </row>
    <row r="936">
      <c r="B936" s="20"/>
      <c r="D936" s="20"/>
      <c r="E936" s="34"/>
      <c r="F936" s="34"/>
      <c r="G936" s="34"/>
      <c r="H936" s="34"/>
      <c r="I936" s="34"/>
      <c r="J936" s="225"/>
      <c r="K936" s="225"/>
      <c r="L936" s="34"/>
    </row>
    <row r="937">
      <c r="B937" s="20"/>
      <c r="D937" s="20"/>
      <c r="E937" s="34"/>
      <c r="F937" s="34"/>
      <c r="G937" s="34"/>
      <c r="H937" s="34"/>
      <c r="I937" s="34"/>
      <c r="J937" s="225"/>
      <c r="K937" s="225"/>
      <c r="L937" s="34"/>
    </row>
    <row r="938">
      <c r="B938" s="20"/>
      <c r="D938" s="20"/>
      <c r="E938" s="34"/>
      <c r="F938" s="34"/>
      <c r="G938" s="34"/>
      <c r="H938" s="34"/>
      <c r="I938" s="34"/>
      <c r="J938" s="225"/>
      <c r="K938" s="225"/>
      <c r="L938" s="34"/>
    </row>
    <row r="939">
      <c r="B939" s="20"/>
      <c r="D939" s="20"/>
      <c r="E939" s="34"/>
      <c r="F939" s="34"/>
      <c r="G939" s="34"/>
      <c r="H939" s="34"/>
      <c r="I939" s="34"/>
      <c r="J939" s="225"/>
      <c r="K939" s="225"/>
      <c r="L939" s="34"/>
    </row>
    <row r="940">
      <c r="B940" s="20"/>
      <c r="D940" s="20"/>
      <c r="E940" s="34"/>
      <c r="F940" s="34"/>
      <c r="G940" s="34"/>
      <c r="H940" s="34"/>
      <c r="I940" s="34"/>
      <c r="J940" s="225"/>
      <c r="K940" s="225"/>
      <c r="L940" s="34"/>
    </row>
    <row r="941">
      <c r="B941" s="20"/>
      <c r="D941" s="20"/>
      <c r="E941" s="34"/>
      <c r="F941" s="34"/>
      <c r="G941" s="34"/>
      <c r="H941" s="34"/>
      <c r="I941" s="34"/>
      <c r="J941" s="225"/>
      <c r="K941" s="225"/>
      <c r="L941" s="34"/>
    </row>
    <row r="942">
      <c r="B942" s="20"/>
      <c r="D942" s="20"/>
      <c r="E942" s="34"/>
      <c r="F942" s="34"/>
      <c r="G942" s="34"/>
      <c r="H942" s="34"/>
      <c r="I942" s="34"/>
      <c r="J942" s="225"/>
      <c r="K942" s="225"/>
      <c r="L942" s="34"/>
    </row>
    <row r="943">
      <c r="B943" s="20"/>
      <c r="D943" s="20"/>
      <c r="E943" s="34"/>
      <c r="F943" s="34"/>
      <c r="G943" s="34"/>
      <c r="H943" s="34"/>
      <c r="I943" s="34"/>
      <c r="J943" s="225"/>
      <c r="K943" s="225"/>
      <c r="L943" s="34"/>
    </row>
    <row r="944">
      <c r="B944" s="20"/>
      <c r="D944" s="20"/>
      <c r="E944" s="34"/>
      <c r="F944" s="34"/>
      <c r="G944" s="34"/>
      <c r="H944" s="34"/>
      <c r="I944" s="34"/>
      <c r="J944" s="225"/>
      <c r="K944" s="225"/>
      <c r="L944" s="34"/>
    </row>
    <row r="945">
      <c r="B945" s="20"/>
      <c r="D945" s="20"/>
      <c r="E945" s="34"/>
      <c r="F945" s="34"/>
      <c r="G945" s="34"/>
      <c r="H945" s="34"/>
      <c r="I945" s="34"/>
      <c r="J945" s="225"/>
      <c r="K945" s="225"/>
      <c r="L945" s="34"/>
    </row>
    <row r="946">
      <c r="B946" s="20"/>
      <c r="D946" s="20"/>
      <c r="E946" s="34"/>
      <c r="F946" s="34"/>
      <c r="G946" s="34"/>
      <c r="H946" s="34"/>
      <c r="I946" s="34"/>
      <c r="J946" s="225"/>
      <c r="K946" s="225"/>
      <c r="L946" s="34"/>
    </row>
    <row r="947">
      <c r="B947" s="20"/>
      <c r="D947" s="20"/>
      <c r="E947" s="34"/>
      <c r="F947" s="34"/>
      <c r="G947" s="34"/>
      <c r="H947" s="34"/>
      <c r="I947" s="34"/>
      <c r="J947" s="225"/>
      <c r="K947" s="225"/>
      <c r="L947" s="34"/>
    </row>
    <row r="948">
      <c r="B948" s="20"/>
      <c r="D948" s="20"/>
      <c r="E948" s="34"/>
      <c r="F948" s="34"/>
      <c r="G948" s="34"/>
      <c r="H948" s="34"/>
      <c r="I948" s="34"/>
      <c r="J948" s="225"/>
      <c r="K948" s="225"/>
      <c r="L948" s="34"/>
    </row>
    <row r="949">
      <c r="B949" s="20"/>
      <c r="D949" s="20"/>
      <c r="E949" s="34"/>
      <c r="F949" s="34"/>
      <c r="G949" s="34"/>
      <c r="H949" s="34"/>
      <c r="I949" s="34"/>
      <c r="J949" s="225"/>
      <c r="K949" s="225"/>
      <c r="L949" s="34"/>
    </row>
    <row r="950">
      <c r="B950" s="20"/>
      <c r="D950" s="20"/>
      <c r="E950" s="34"/>
      <c r="F950" s="34"/>
      <c r="G950" s="34"/>
      <c r="H950" s="34"/>
      <c r="I950" s="34"/>
      <c r="J950" s="225"/>
      <c r="K950" s="225"/>
      <c r="L950" s="34"/>
    </row>
    <row r="951">
      <c r="B951" s="20"/>
      <c r="D951" s="20"/>
      <c r="E951" s="34"/>
      <c r="F951" s="34"/>
      <c r="G951" s="34"/>
      <c r="H951" s="34"/>
      <c r="I951" s="34"/>
      <c r="J951" s="225"/>
      <c r="K951" s="225"/>
      <c r="L951" s="34"/>
    </row>
    <row r="952">
      <c r="B952" s="20"/>
      <c r="D952" s="20"/>
      <c r="E952" s="34"/>
      <c r="F952" s="34"/>
      <c r="G952" s="34"/>
      <c r="H952" s="34"/>
      <c r="I952" s="34"/>
      <c r="J952" s="225"/>
      <c r="K952" s="225"/>
      <c r="L952" s="34"/>
    </row>
    <row r="953">
      <c r="B953" s="20"/>
      <c r="D953" s="20"/>
      <c r="E953" s="34"/>
      <c r="F953" s="34"/>
      <c r="G953" s="34"/>
      <c r="H953" s="34"/>
      <c r="I953" s="34"/>
      <c r="J953" s="225"/>
      <c r="K953" s="225"/>
      <c r="L953" s="34"/>
    </row>
    <row r="954">
      <c r="B954" s="20"/>
      <c r="D954" s="20"/>
      <c r="E954" s="34"/>
      <c r="F954" s="34"/>
      <c r="G954" s="34"/>
      <c r="H954" s="34"/>
      <c r="I954" s="34"/>
      <c r="J954" s="225"/>
      <c r="K954" s="225"/>
      <c r="L954" s="34"/>
    </row>
    <row r="955">
      <c r="B955" s="20"/>
      <c r="D955" s="20"/>
      <c r="E955" s="34"/>
      <c r="F955" s="34"/>
      <c r="G955" s="34"/>
      <c r="H955" s="34"/>
      <c r="I955" s="34"/>
      <c r="J955" s="225"/>
      <c r="K955" s="225"/>
      <c r="L955" s="34"/>
    </row>
    <row r="956">
      <c r="B956" s="20"/>
      <c r="D956" s="20"/>
      <c r="E956" s="34"/>
      <c r="F956" s="34"/>
      <c r="G956" s="34"/>
      <c r="H956" s="34"/>
      <c r="I956" s="34"/>
      <c r="J956" s="225"/>
      <c r="K956" s="225"/>
      <c r="L956" s="34"/>
    </row>
    <row r="957">
      <c r="B957" s="20"/>
      <c r="D957" s="20"/>
      <c r="E957" s="34"/>
      <c r="F957" s="34"/>
      <c r="G957" s="34"/>
      <c r="H957" s="34"/>
      <c r="I957" s="34"/>
      <c r="J957" s="225"/>
      <c r="K957" s="225"/>
      <c r="L957" s="34"/>
    </row>
    <row r="958">
      <c r="B958" s="20"/>
      <c r="D958" s="20"/>
      <c r="E958" s="34"/>
      <c r="F958" s="34"/>
      <c r="G958" s="34"/>
      <c r="H958" s="34"/>
      <c r="I958" s="34"/>
      <c r="J958" s="225"/>
      <c r="K958" s="225"/>
      <c r="L958" s="34"/>
    </row>
    <row r="959">
      <c r="B959" s="20"/>
      <c r="D959" s="20"/>
      <c r="E959" s="34"/>
      <c r="F959" s="34"/>
      <c r="G959" s="34"/>
      <c r="H959" s="34"/>
      <c r="I959" s="34"/>
      <c r="J959" s="225"/>
      <c r="K959" s="225"/>
      <c r="L959" s="34"/>
    </row>
    <row r="960">
      <c r="B960" s="20"/>
      <c r="D960" s="20"/>
      <c r="E960" s="34"/>
      <c r="F960" s="34"/>
      <c r="G960" s="34"/>
      <c r="H960" s="34"/>
      <c r="I960" s="34"/>
      <c r="J960" s="225"/>
      <c r="K960" s="225"/>
      <c r="L960" s="34"/>
    </row>
    <row r="961">
      <c r="B961" s="20"/>
      <c r="D961" s="20"/>
      <c r="E961" s="34"/>
      <c r="F961" s="34"/>
      <c r="G961" s="34"/>
      <c r="H961" s="34"/>
      <c r="I961" s="34"/>
      <c r="J961" s="225"/>
      <c r="K961" s="225"/>
      <c r="L961" s="34"/>
    </row>
    <row r="962">
      <c r="B962" s="20"/>
      <c r="D962" s="20"/>
      <c r="E962" s="34"/>
      <c r="F962" s="34"/>
      <c r="G962" s="34"/>
      <c r="H962" s="34"/>
      <c r="I962" s="34"/>
      <c r="J962" s="225"/>
      <c r="K962" s="225"/>
      <c r="L962" s="34"/>
    </row>
    <row r="963">
      <c r="B963" s="20"/>
      <c r="D963" s="20"/>
      <c r="E963" s="34"/>
      <c r="F963" s="34"/>
      <c r="G963" s="34"/>
      <c r="H963" s="34"/>
      <c r="I963" s="34"/>
      <c r="J963" s="225"/>
      <c r="K963" s="225"/>
      <c r="L963" s="34"/>
    </row>
    <row r="964">
      <c r="B964" s="20"/>
      <c r="D964" s="20"/>
      <c r="E964" s="34"/>
      <c r="F964" s="34"/>
      <c r="G964" s="34"/>
      <c r="H964" s="34"/>
      <c r="I964" s="34"/>
      <c r="J964" s="225"/>
      <c r="K964" s="225"/>
      <c r="L964" s="34"/>
    </row>
    <row r="965">
      <c r="B965" s="20"/>
      <c r="D965" s="20"/>
      <c r="E965" s="34"/>
      <c r="F965" s="34"/>
      <c r="G965" s="34"/>
      <c r="H965" s="34"/>
      <c r="I965" s="34"/>
      <c r="J965" s="225"/>
      <c r="K965" s="225"/>
      <c r="L965" s="34"/>
    </row>
    <row r="966">
      <c r="B966" s="20"/>
      <c r="D966" s="20"/>
      <c r="E966" s="34"/>
      <c r="F966" s="34"/>
      <c r="G966" s="34"/>
      <c r="H966" s="34"/>
      <c r="I966" s="34"/>
      <c r="J966" s="225"/>
      <c r="K966" s="225"/>
      <c r="L966" s="34"/>
      <c r="M966" s="225"/>
      <c r="N966" s="34"/>
    </row>
    <row r="967">
      <c r="B967" s="20"/>
      <c r="D967" s="20"/>
      <c r="E967" s="34"/>
      <c r="F967" s="34"/>
      <c r="G967" s="34"/>
      <c r="H967" s="34"/>
      <c r="I967" s="34"/>
      <c r="J967" s="225"/>
      <c r="K967" s="225"/>
      <c r="L967" s="34"/>
      <c r="M967" s="225"/>
      <c r="N967" s="34"/>
    </row>
    <row r="968">
      <c r="B968" s="20"/>
      <c r="D968" s="20"/>
      <c r="E968" s="34"/>
      <c r="F968" s="34"/>
      <c r="G968" s="34"/>
      <c r="H968" s="34"/>
      <c r="I968" s="34"/>
      <c r="J968" s="225"/>
      <c r="K968" s="225"/>
      <c r="L968" s="34"/>
      <c r="M968" s="22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2989</v>
      </c>
      <c r="E1" s="204" t="s">
        <v>4</v>
      </c>
      <c r="F1" s="204" t="s">
        <v>5</v>
      </c>
      <c r="G1" s="227" t="s">
        <v>6</v>
      </c>
      <c r="H1" s="227" t="s">
        <v>7</v>
      </c>
      <c r="I1" s="228" t="s">
        <v>8</v>
      </c>
      <c r="J1" s="229" t="s">
        <v>2990</v>
      </c>
    </row>
    <row r="2">
      <c r="A2" s="16" t="s">
        <v>2991</v>
      </c>
      <c r="B2" s="230" t="s">
        <v>2992</v>
      </c>
      <c r="C2" s="56" t="s">
        <v>2078</v>
      </c>
      <c r="D2" s="51"/>
      <c r="E2" s="51" t="s">
        <v>2993</v>
      </c>
      <c r="F2" s="54" t="s">
        <v>2994</v>
      </c>
      <c r="G2" s="56">
        <v>1.0</v>
      </c>
      <c r="H2" s="56" t="s">
        <v>99</v>
      </c>
      <c r="I2" s="56" t="s">
        <v>70</v>
      </c>
    </row>
    <row r="3">
      <c r="A3" s="51" t="s">
        <v>2995</v>
      </c>
      <c r="B3" s="230" t="s">
        <v>2992</v>
      </c>
      <c r="C3" s="56" t="s">
        <v>28</v>
      </c>
      <c r="D3" s="51" t="s">
        <v>2996</v>
      </c>
      <c r="E3" s="231" t="s">
        <v>2997</v>
      </c>
      <c r="F3" s="54" t="s">
        <v>2994</v>
      </c>
      <c r="G3" s="56">
        <v>1.0</v>
      </c>
      <c r="H3" s="56" t="s">
        <v>53</v>
      </c>
      <c r="I3" s="56" t="s">
        <v>32</v>
      </c>
    </row>
    <row r="4">
      <c r="A4" s="51" t="s">
        <v>2998</v>
      </c>
      <c r="B4" s="230" t="s">
        <v>2992</v>
      </c>
      <c r="C4" s="56" t="s">
        <v>2999</v>
      </c>
      <c r="D4" s="51" t="s">
        <v>2996</v>
      </c>
      <c r="E4" s="51" t="s">
        <v>3000</v>
      </c>
      <c r="F4" s="54" t="s">
        <v>2994</v>
      </c>
      <c r="G4" s="56">
        <v>3.0</v>
      </c>
      <c r="H4" s="56" t="s">
        <v>245</v>
      </c>
      <c r="I4" s="56" t="s">
        <v>70</v>
      </c>
    </row>
    <row r="5">
      <c r="A5" s="51" t="s">
        <v>3001</v>
      </c>
      <c r="B5" s="232" t="s">
        <v>2992</v>
      </c>
      <c r="C5" s="56" t="s">
        <v>80</v>
      </c>
      <c r="D5" s="51" t="s">
        <v>3002</v>
      </c>
      <c r="E5" s="51" t="s">
        <v>3003</v>
      </c>
      <c r="F5" s="54" t="s">
        <v>2994</v>
      </c>
      <c r="G5" s="56">
        <v>5.0</v>
      </c>
      <c r="H5" s="56" t="s">
        <v>3004</v>
      </c>
      <c r="I5" s="56" t="s">
        <v>32</v>
      </c>
    </row>
    <row r="6">
      <c r="A6" s="28" t="s">
        <v>3005</v>
      </c>
      <c r="B6" s="233" t="s">
        <v>3006</v>
      </c>
      <c r="C6" s="67" t="s">
        <v>408</v>
      </c>
      <c r="D6" s="28"/>
      <c r="E6" s="28" t="s">
        <v>3007</v>
      </c>
      <c r="F6" s="29" t="s">
        <v>2994</v>
      </c>
      <c r="G6" s="67">
        <v>0.0</v>
      </c>
      <c r="H6" s="67" t="s">
        <v>3008</v>
      </c>
      <c r="I6" s="67" t="s">
        <v>32</v>
      </c>
    </row>
    <row r="7">
      <c r="A7" s="51" t="s">
        <v>3009</v>
      </c>
      <c r="B7" s="234" t="s">
        <v>3006</v>
      </c>
      <c r="C7" s="56" t="s">
        <v>2078</v>
      </c>
      <c r="D7" s="51"/>
      <c r="E7" s="51" t="s">
        <v>3010</v>
      </c>
      <c r="F7" s="54" t="s">
        <v>2994</v>
      </c>
      <c r="G7" s="56">
        <v>3.0</v>
      </c>
      <c r="H7" s="56" t="s">
        <v>1060</v>
      </c>
      <c r="I7" s="56" t="s">
        <v>70</v>
      </c>
    </row>
    <row r="8">
      <c r="A8" s="51" t="s">
        <v>3011</v>
      </c>
      <c r="B8" s="234" t="s">
        <v>3006</v>
      </c>
      <c r="C8" s="56" t="s">
        <v>408</v>
      </c>
      <c r="D8" s="51"/>
      <c r="E8" s="51" t="s">
        <v>3012</v>
      </c>
      <c r="F8" s="54" t="s">
        <v>2994</v>
      </c>
      <c r="G8" s="56">
        <v>4.0</v>
      </c>
      <c r="H8" s="56" t="s">
        <v>517</v>
      </c>
      <c r="I8" s="56" t="s">
        <v>26</v>
      </c>
    </row>
    <row r="9">
      <c r="A9" s="51" t="s">
        <v>3013</v>
      </c>
      <c r="B9" s="234" t="s">
        <v>3006</v>
      </c>
      <c r="C9" s="56" t="s">
        <v>2078</v>
      </c>
      <c r="D9" s="51"/>
      <c r="E9" s="51" t="s">
        <v>3014</v>
      </c>
      <c r="F9" s="54" t="s">
        <v>2994</v>
      </c>
      <c r="G9" s="56">
        <v>5.0</v>
      </c>
      <c r="H9" s="56" t="s">
        <v>522</v>
      </c>
      <c r="I9" s="56" t="s">
        <v>32</v>
      </c>
    </row>
    <row r="10">
      <c r="A10" s="51" t="s">
        <v>712</v>
      </c>
      <c r="B10" s="233" t="s">
        <v>3006</v>
      </c>
      <c r="C10" s="67" t="s">
        <v>661</v>
      </c>
      <c r="D10" s="28"/>
      <c r="E10" s="28" t="s">
        <v>3015</v>
      </c>
      <c r="F10" s="29" t="s">
        <v>2994</v>
      </c>
      <c r="G10" s="67">
        <v>6.0</v>
      </c>
      <c r="H10" s="67" t="s">
        <v>3016</v>
      </c>
      <c r="I10" s="67" t="s">
        <v>70</v>
      </c>
    </row>
    <row r="11">
      <c r="A11" s="51"/>
      <c r="B11" s="235" t="s">
        <v>3017</v>
      </c>
      <c r="C11" s="56" t="s">
        <v>661</v>
      </c>
      <c r="D11" s="51"/>
      <c r="E11" s="51" t="s">
        <v>3018</v>
      </c>
      <c r="F11" s="54" t="s">
        <v>2994</v>
      </c>
      <c r="G11" s="56">
        <v>1.0</v>
      </c>
      <c r="H11" s="56" t="s">
        <v>1691</v>
      </c>
      <c r="I11" s="56" t="s">
        <v>32</v>
      </c>
    </row>
    <row r="12">
      <c r="A12" s="51" t="s">
        <v>3019</v>
      </c>
      <c r="B12" s="235" t="s">
        <v>3017</v>
      </c>
      <c r="C12" s="56" t="s">
        <v>661</v>
      </c>
      <c r="D12" s="51"/>
      <c r="E12" s="51" t="s">
        <v>3020</v>
      </c>
      <c r="F12" s="54" t="s">
        <v>2994</v>
      </c>
      <c r="G12" s="56">
        <v>2.0</v>
      </c>
      <c r="H12" s="56" t="s">
        <v>1685</v>
      </c>
      <c r="I12" s="56" t="s">
        <v>32</v>
      </c>
    </row>
    <row r="13">
      <c r="A13" s="51" t="s">
        <v>3021</v>
      </c>
      <c r="B13" s="235" t="s">
        <v>3017</v>
      </c>
      <c r="C13" s="56" t="s">
        <v>3022</v>
      </c>
      <c r="D13" s="51"/>
      <c r="E13" s="236" t="s">
        <v>3023</v>
      </c>
      <c r="F13" s="54" t="s">
        <v>2994</v>
      </c>
      <c r="G13" s="56">
        <v>3.0</v>
      </c>
      <c r="H13" s="56" t="s">
        <v>1691</v>
      </c>
      <c r="I13" s="56" t="s">
        <v>70</v>
      </c>
    </row>
    <row r="14">
      <c r="A14" s="28" t="s">
        <v>3024</v>
      </c>
      <c r="B14" s="237" t="s">
        <v>3017</v>
      </c>
      <c r="C14" s="56" t="s">
        <v>80</v>
      </c>
      <c r="D14" s="51"/>
      <c r="E14" s="51" t="s">
        <v>3025</v>
      </c>
      <c r="F14" s="54" t="s">
        <v>2994</v>
      </c>
      <c r="G14" s="56">
        <v>4.0</v>
      </c>
      <c r="H14" s="56" t="s">
        <v>1530</v>
      </c>
      <c r="I14" s="56" t="s">
        <v>26</v>
      </c>
    </row>
    <row r="15">
      <c r="A15" s="51" t="s">
        <v>3026</v>
      </c>
      <c r="B15" s="235" t="s">
        <v>3017</v>
      </c>
      <c r="C15" s="56" t="s">
        <v>1397</v>
      </c>
      <c r="D15" s="51"/>
      <c r="E15" s="29" t="s">
        <v>3027</v>
      </c>
      <c r="F15" s="29" t="s">
        <v>2994</v>
      </c>
      <c r="G15" s="56">
        <v>6.0</v>
      </c>
      <c r="H15" s="56" t="s">
        <v>1913</v>
      </c>
      <c r="I15" s="56" t="s">
        <v>70</v>
      </c>
    </row>
    <row r="16">
      <c r="A16" s="16" t="s">
        <v>3028</v>
      </c>
      <c r="B16" s="90" t="s">
        <v>3017</v>
      </c>
      <c r="C16" s="15" t="s">
        <v>3029</v>
      </c>
      <c r="F16" s="16" t="s">
        <v>2994</v>
      </c>
      <c r="G16" s="103"/>
      <c r="I16" s="15" t="s">
        <v>32</v>
      </c>
    </row>
    <row r="17">
      <c r="A17" s="51" t="s">
        <v>1470</v>
      </c>
      <c r="B17" s="238" t="s">
        <v>3030</v>
      </c>
      <c r="C17" s="56" t="s">
        <v>37</v>
      </c>
      <c r="D17" s="51"/>
      <c r="E17" s="236" t="s">
        <v>3031</v>
      </c>
      <c r="F17" s="54" t="s">
        <v>2994</v>
      </c>
      <c r="G17" s="56">
        <v>1.0</v>
      </c>
      <c r="H17" s="56" t="s">
        <v>1992</v>
      </c>
      <c r="I17" s="56" t="s">
        <v>70</v>
      </c>
    </row>
    <row r="18">
      <c r="A18" s="51" t="s">
        <v>3032</v>
      </c>
      <c r="B18" s="238" t="s">
        <v>3030</v>
      </c>
      <c r="C18" s="56" t="s">
        <v>1788</v>
      </c>
      <c r="D18" s="51"/>
      <c r="E18" s="51" t="s">
        <v>3033</v>
      </c>
      <c r="F18" s="54" t="s">
        <v>2994</v>
      </c>
      <c r="G18" s="56">
        <v>1.0</v>
      </c>
      <c r="H18" s="56" t="s">
        <v>3034</v>
      </c>
      <c r="I18" s="56" t="s">
        <v>32</v>
      </c>
    </row>
    <row r="19">
      <c r="A19" s="7" t="s">
        <v>3035</v>
      </c>
      <c r="B19" s="86"/>
      <c r="C19" s="15"/>
      <c r="E19" s="16"/>
      <c r="F19" s="16" t="s">
        <v>2994</v>
      </c>
      <c r="G19" s="15"/>
      <c r="H19" s="15"/>
      <c r="I19" s="9"/>
    </row>
    <row r="20">
      <c r="A20" s="24" t="s">
        <v>3036</v>
      </c>
      <c r="B20" s="86" t="s">
        <v>3017</v>
      </c>
      <c r="C20" s="21" t="s">
        <v>387</v>
      </c>
      <c r="D20" s="7"/>
      <c r="E20" s="7" t="s">
        <v>3037</v>
      </c>
      <c r="F20" s="7"/>
      <c r="G20" s="9">
        <v>2.0</v>
      </c>
      <c r="H20" s="9" t="s">
        <v>1503</v>
      </c>
      <c r="I20" s="21" t="s">
        <v>26</v>
      </c>
    </row>
    <row r="21">
      <c r="A21" s="16" t="s">
        <v>3038</v>
      </c>
      <c r="B21" s="14" t="s">
        <v>2992</v>
      </c>
      <c r="C21" s="15" t="s">
        <v>28</v>
      </c>
      <c r="D21" s="16" t="s">
        <v>3039</v>
      </c>
      <c r="E21" s="16" t="s">
        <v>3040</v>
      </c>
      <c r="G21" s="15">
        <v>2.0</v>
      </c>
      <c r="I21" s="103"/>
    </row>
    <row r="22">
      <c r="A22" s="16" t="s">
        <v>3041</v>
      </c>
      <c r="B22" s="16" t="s">
        <v>3042</v>
      </c>
      <c r="C22" s="103"/>
      <c r="G22" s="103"/>
      <c r="I22" s="15" t="s">
        <v>70</v>
      </c>
    </row>
    <row r="23">
      <c r="A23" s="16" t="s">
        <v>3043</v>
      </c>
      <c r="B23" s="16" t="s">
        <v>3044</v>
      </c>
      <c r="C23" s="103"/>
      <c r="G23" s="103"/>
      <c r="I23" s="103"/>
    </row>
    <row r="24">
      <c r="A24" s="16" t="s">
        <v>3036</v>
      </c>
      <c r="B24" s="16" t="s">
        <v>3017</v>
      </c>
      <c r="C24" s="15"/>
      <c r="G24" s="15"/>
      <c r="H24" s="15"/>
      <c r="I24" s="15"/>
    </row>
    <row r="25">
      <c r="A25" s="16" t="s">
        <v>3045</v>
      </c>
      <c r="B25" s="90" t="s">
        <v>3017</v>
      </c>
      <c r="C25" s="15" t="s">
        <v>3046</v>
      </c>
      <c r="E25" s="16" t="s">
        <v>3047</v>
      </c>
      <c r="F25" s="16" t="s">
        <v>1801</v>
      </c>
      <c r="G25" s="15">
        <v>0.0</v>
      </c>
      <c r="H25" s="15" t="s">
        <v>1715</v>
      </c>
      <c r="I25" s="15" t="s">
        <v>26</v>
      </c>
    </row>
    <row r="26">
      <c r="A26" s="16" t="s">
        <v>3048</v>
      </c>
    </row>
    <row r="27">
      <c r="C27" s="103"/>
      <c r="E27" s="16" t="s">
        <v>3049</v>
      </c>
    </row>
    <row r="28">
      <c r="E28" s="16" t="s">
        <v>3050</v>
      </c>
    </row>
    <row r="29">
      <c r="E29" s="16" t="s">
        <v>3051</v>
      </c>
    </row>
    <row r="30">
      <c r="E30" s="16" t="s">
        <v>3052</v>
      </c>
    </row>
    <row r="31">
      <c r="E31" s="16" t="s">
        <v>3053</v>
      </c>
    </row>
    <row r="32">
      <c r="E32" s="16" t="s">
        <v>3054</v>
      </c>
    </row>
    <row r="33">
      <c r="E33" s="16" t="s">
        <v>3055</v>
      </c>
    </row>
    <row r="34">
      <c r="E34" s="16" t="s">
        <v>3056</v>
      </c>
    </row>
    <row r="35">
      <c r="A35" s="16" t="s">
        <v>3057</v>
      </c>
      <c r="B35" s="80" t="s">
        <v>3058</v>
      </c>
      <c r="C35" s="9" t="s">
        <v>3059</v>
      </c>
      <c r="D35" s="24"/>
      <c r="E35" s="7" t="s">
        <v>3060</v>
      </c>
      <c r="F35" s="7" t="s">
        <v>659</v>
      </c>
      <c r="G35" s="9">
        <v>2.0</v>
      </c>
      <c r="H35" s="9" t="s">
        <v>1164</v>
      </c>
      <c r="I35" s="9" t="s">
        <v>70</v>
      </c>
    </row>
    <row r="36">
      <c r="A36" s="16" t="s">
        <v>3061</v>
      </c>
      <c r="B36" s="78" t="s">
        <v>3058</v>
      </c>
      <c r="C36" s="15" t="s">
        <v>2078</v>
      </c>
      <c r="D36" s="16" t="s">
        <v>24</v>
      </c>
      <c r="F36" s="15">
        <v>2.0</v>
      </c>
      <c r="G36" s="15" t="s">
        <v>1051</v>
      </c>
      <c r="H36" s="15" t="s">
        <v>70</v>
      </c>
    </row>
    <row r="37">
      <c r="A37" s="51" t="s">
        <v>1470</v>
      </c>
      <c r="B37" s="16" t="s">
        <v>3062</v>
      </c>
      <c r="C37" s="16" t="s">
        <v>37</v>
      </c>
      <c r="D37" s="16" t="s">
        <v>3063</v>
      </c>
      <c r="F37" s="15">
        <v>0.0</v>
      </c>
      <c r="G37" s="15" t="s">
        <v>1472</v>
      </c>
      <c r="H37" s="15" t="s">
        <v>70</v>
      </c>
      <c r="I37" s="16" t="s">
        <v>3064</v>
      </c>
    </row>
    <row r="38">
      <c r="E38" s="16" t="s">
        <v>3065</v>
      </c>
    </row>
    <row r="39">
      <c r="E39" s="16" t="s">
        <v>3066</v>
      </c>
    </row>
    <row r="41">
      <c r="E41" s="20" t="s">
        <v>3049</v>
      </c>
    </row>
    <row r="42">
      <c r="E42" s="20" t="s">
        <v>3050</v>
      </c>
    </row>
    <row r="43">
      <c r="E43" s="20" t="s">
        <v>3051</v>
      </c>
    </row>
    <row r="44">
      <c r="E44" s="20" t="s">
        <v>3052</v>
      </c>
    </row>
    <row r="45">
      <c r="E45" s="20" t="s">
        <v>3053</v>
      </c>
    </row>
    <row r="46">
      <c r="E46" s="16" t="s">
        <v>3067</v>
      </c>
    </row>
    <row r="47">
      <c r="E47" s="16" t="s">
        <v>3068</v>
      </c>
    </row>
    <row r="48">
      <c r="E48" s="16" t="s">
        <v>3069</v>
      </c>
    </row>
    <row r="50">
      <c r="E50" s="16" t="s">
        <v>3070</v>
      </c>
    </row>
    <row r="51">
      <c r="E51" s="16" t="s">
        <v>3071</v>
      </c>
    </row>
    <row r="52">
      <c r="E52" s="16" t="s">
        <v>2091</v>
      </c>
    </row>
    <row r="53">
      <c r="A53" s="16" t="s">
        <v>3072</v>
      </c>
      <c r="E53" s="16" t="s">
        <v>3073</v>
      </c>
    </row>
    <row r="54">
      <c r="E54" s="16" t="s">
        <v>3074</v>
      </c>
    </row>
    <row r="55">
      <c r="A55" s="16" t="s">
        <v>3075</v>
      </c>
      <c r="E55" s="16" t="s">
        <v>3076</v>
      </c>
    </row>
    <row r="56">
      <c r="A56" s="16" t="s">
        <v>2102</v>
      </c>
      <c r="E56" s="16" t="s">
        <v>2103</v>
      </c>
    </row>
    <row r="58">
      <c r="E58" s="16" t="s">
        <v>3077</v>
      </c>
    </row>
    <row r="59">
      <c r="E59" s="16" t="s">
        <v>3078</v>
      </c>
    </row>
    <row r="61">
      <c r="E61" s="16" t="s">
        <v>3079</v>
      </c>
    </row>
    <row r="63">
      <c r="E63" s="16" t="s">
        <v>3080</v>
      </c>
    </row>
    <row r="64">
      <c r="E64" s="16" t="s">
        <v>3081</v>
      </c>
    </row>
    <row r="65">
      <c r="B65" s="16" t="s">
        <v>3082</v>
      </c>
    </row>
    <row r="67">
      <c r="E67" s="16" t="s">
        <v>3083</v>
      </c>
    </row>
    <row r="68">
      <c r="A68" s="16" t="s">
        <v>3084</v>
      </c>
      <c r="E68" s="16" t="s">
        <v>3085</v>
      </c>
    </row>
    <row r="69">
      <c r="E69" s="16" t="s">
        <v>3086</v>
      </c>
    </row>
    <row r="70">
      <c r="E70" s="16" t="s">
        <v>3087</v>
      </c>
    </row>
    <row r="71">
      <c r="A71" s="16" t="s">
        <v>1674</v>
      </c>
      <c r="E71" s="16" t="s">
        <v>3088</v>
      </c>
    </row>
    <row r="72">
      <c r="E72" s="16" t="s">
        <v>3089</v>
      </c>
    </row>
    <row r="73">
      <c r="E73" s="16" t="s">
        <v>3090</v>
      </c>
    </row>
    <row r="74">
      <c r="E74" s="16" t="s">
        <v>3091</v>
      </c>
    </row>
    <row r="75">
      <c r="E75" s="16" t="s">
        <v>3092</v>
      </c>
    </row>
    <row r="76">
      <c r="E76" s="16" t="s">
        <v>3093</v>
      </c>
    </row>
    <row r="77">
      <c r="E77" s="16" t="s">
        <v>3094</v>
      </c>
    </row>
    <row r="78">
      <c r="E78" s="16" t="s">
        <v>3095</v>
      </c>
    </row>
    <row r="80">
      <c r="E80" s="16" t="s">
        <v>3096</v>
      </c>
    </row>
    <row r="82">
      <c r="E82" s="16" t="s">
        <v>3097</v>
      </c>
    </row>
    <row r="83">
      <c r="E83" s="16" t="s">
        <v>3098</v>
      </c>
    </row>
    <row r="84">
      <c r="E84" s="16" t="s">
        <v>3099</v>
      </c>
    </row>
    <row r="85">
      <c r="E85" s="16" t="s">
        <v>3100</v>
      </c>
    </row>
    <row r="86">
      <c r="E86" s="16" t="s">
        <v>3101</v>
      </c>
    </row>
    <row r="87">
      <c r="E87" s="16" t="s">
        <v>3102</v>
      </c>
    </row>
    <row r="89">
      <c r="E89" s="16" t="s">
        <v>3103</v>
      </c>
    </row>
    <row r="90">
      <c r="E90" s="16" t="s">
        <v>3104</v>
      </c>
    </row>
    <row r="92">
      <c r="E92" s="16" t="s">
        <v>3105</v>
      </c>
    </row>
    <row r="93">
      <c r="E93" s="16" t="s">
        <v>3106</v>
      </c>
    </row>
    <row r="94">
      <c r="A94" s="16" t="s">
        <v>3107</v>
      </c>
      <c r="E94" s="16" t="s">
        <v>3108</v>
      </c>
    </row>
    <row r="95">
      <c r="E95" s="29" t="s">
        <v>2052</v>
      </c>
    </row>
    <row r="96">
      <c r="E96" s="16" t="s">
        <v>3109</v>
      </c>
    </row>
    <row r="97">
      <c r="A97" s="16" t="s">
        <v>3110</v>
      </c>
      <c r="E97" s="16" t="s">
        <v>3111</v>
      </c>
    </row>
    <row r="98">
      <c r="E98" s="239" t="s">
        <v>3112</v>
      </c>
    </row>
    <row r="100">
      <c r="A100" s="16" t="s">
        <v>3113</v>
      </c>
    </row>
    <row r="102">
      <c r="A102" s="24"/>
      <c r="B102" s="16" t="s">
        <v>3114</v>
      </c>
      <c r="E102" s="16" t="s">
        <v>3115</v>
      </c>
      <c r="F102" s="7"/>
      <c r="G102" s="7"/>
      <c r="H102" s="7"/>
      <c r="I102" s="240"/>
      <c r="J102" s="9"/>
      <c r="K102" s="241"/>
      <c r="L102" s="21"/>
    </row>
    <row r="103">
      <c r="A103" s="16" t="s">
        <v>3116</v>
      </c>
    </row>
    <row r="104">
      <c r="A104" s="20" t="s">
        <v>3117</v>
      </c>
      <c r="B104" s="20" t="s">
        <v>3058</v>
      </c>
      <c r="C104" s="20" t="s">
        <v>2057</v>
      </c>
      <c r="E104" s="20" t="s">
        <v>3118</v>
      </c>
      <c r="G104" s="20">
        <v>2.0</v>
      </c>
      <c r="H104" s="20" t="s">
        <v>1042</v>
      </c>
      <c r="I104" s="16" t="s">
        <v>32</v>
      </c>
    </row>
    <row r="105">
      <c r="A105" s="22" t="s">
        <v>3119</v>
      </c>
      <c r="B105" s="97" t="s">
        <v>1770</v>
      </c>
      <c r="C105" s="9" t="s">
        <v>1788</v>
      </c>
      <c r="E105" s="7" t="s">
        <v>3120</v>
      </c>
      <c r="G105" s="9">
        <v>0.0</v>
      </c>
      <c r="H105" s="9" t="s">
        <v>3121</v>
      </c>
      <c r="I105" s="9" t="s">
        <v>32</v>
      </c>
    </row>
    <row r="106">
      <c r="A106" s="16" t="s">
        <v>3122</v>
      </c>
      <c r="B106" s="90" t="s">
        <v>1501</v>
      </c>
      <c r="C106" s="15" t="s">
        <v>408</v>
      </c>
      <c r="E106" s="16" t="s">
        <v>3123</v>
      </c>
      <c r="G106" s="15">
        <v>0.0</v>
      </c>
      <c r="H106" s="15" t="s">
        <v>1526</v>
      </c>
      <c r="I106" s="15" t="s">
        <v>70</v>
      </c>
    </row>
    <row r="107">
      <c r="A107" s="7" t="s">
        <v>3124</v>
      </c>
      <c r="B107" s="8" t="s">
        <v>21</v>
      </c>
      <c r="C107" s="9" t="s">
        <v>28</v>
      </c>
      <c r="E107" s="29" t="s">
        <v>89</v>
      </c>
      <c r="G107" s="9">
        <v>6.0</v>
      </c>
      <c r="H107" s="9" t="s">
        <v>62</v>
      </c>
      <c r="I107" s="9" t="s">
        <v>26</v>
      </c>
    </row>
    <row r="108">
      <c r="A108" s="16" t="s">
        <v>3125</v>
      </c>
      <c r="C108" s="16" t="s">
        <v>1660</v>
      </c>
      <c r="E108" s="16" t="s">
        <v>3126</v>
      </c>
      <c r="I108" s="16" t="s">
        <v>70</v>
      </c>
    </row>
  </sheetData>
  <drawing r:id="rId1"/>
</worksheet>
</file>