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<sst xmlns="http://schemas.openxmlformats.org/spreadsheetml/2006/main" count="8599" uniqueCount="3771">
  <si>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</si>
  <si>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</si>
  <si>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</si>
  <si>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</si>
  <si>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</si>
  <si>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</si>
  <si>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</si>
  <si>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</si>
  <si>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</si>
  <si>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</si>
  <si>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</si>
  <si>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</si>
  <si>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</si>
  <si>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</si>
  <si>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</si>
  <si>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</si>
  <si>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</si>
  <si>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</si>
  <si>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</si>
  <si>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</si>
  <si>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</si>
  <si>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</si>
  <si>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</si>
  <si>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</si>
  <si>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</si>
  <si>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</si>
  <si>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</si>
  <si>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</si>
  <si>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</si>
  <si>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</si>
  <si>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</si>
  <si>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</si>
  <si>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</si>
  <si>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</si>
  <si>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</si>
  <si>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</si>
  <si>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</si>
  <si>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</si>
  <si>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</si>
  <si>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</si>
  <si>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</si>
  <si>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</si>
  <si>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</si>
  <si>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</si>
  <si>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</si>
  <si>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</si>
  <si>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</si>
  <si>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</si>
  <si>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</si>
  <si>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</si>
  <si>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</si>
  <si>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</si>
  <si>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</si>
  <si>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</si>
  <si>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</si>
  <si>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</si>
  <si>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</si>
  <si>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</si>
  <si>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</si>
  <si>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</si>
  <si>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</si>
  <si>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</si>
  <si>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</si>
  <si>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</si>
  <si>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</si>
  <si>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</si>
  <si>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</si>
  <si>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</si>
  <si>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</si>
  <si>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</si>
  <si>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</si>
  <si>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</si>
  <si>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</si>
  <si>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</si>
  <si>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</si>
  <si>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</si>
  <si>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</si>
  <si>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</si>
  <si>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</si>
  <si>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</si>
  <si>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</si>
  <si>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</si>
  <si>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</si>
  <si>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</si>
  <si>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</si>
  <si>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</si>
  <si>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</si>
  <si>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</si>
  <si>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</si>
  <si>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</si>
  <si>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</si>
  <si>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</si>
  <si>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</si>
  <si>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</si>
  <si>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</si>
  <si>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</si>
  <si>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</si>
  <si>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</si>
  <si>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</si>
  <si>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</si>
  <si>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</si>
  <si>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</si>
  <si>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</si>
  <si>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</si>
  <si>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</si>
  <si>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</si>
  <si>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</si>
  <si>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</si>
  <si>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</si>
  <si>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</si>
  <si>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</si>
  <si>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</si>
  <si>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</si>
  <si>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</si>
  <si>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</si>
  <si>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</si>
  <si>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</si>
  <si>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</si>
  <si>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</si>
  <si>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</si>
  <si>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</si>
  <si>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</si>
  <si>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</si>
  <si>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</si>
  <si>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</si>
  <si>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</si>
  <si>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</si>
  <si>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</si>
  <si>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</si>
  <si>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</si>
  <si>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</si>
  <si>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</si>
  <si>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</si>
  <si>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</si>
  <si>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</si>
  <si>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</si>
  <si>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</si>
  <si>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</si>
  <si>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</si>
  <si>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</si>
  <si>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</si>
  <si>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</si>
  <si>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</si>
  <si>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</si>
  <si>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</si>
  <si>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</si>
  <si>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</si>
  <si>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</si>
  <si>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</si>
  <si>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</si>
  <si>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</si>
  <si>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</si>
  <si>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</si>
  <si>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</si>
  <si>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</si>
  <si>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</si>
  <si>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</si>
  <si>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</si>
  <si>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</si>
  <si>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</si>
  <si>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</si>
  <si>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</si>
  <si>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</si>
  <si>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</si>
  <si>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</si>
  <si>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</si>
  <si>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</si>
  <si>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</si>
  <si>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</si>
  <si>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</si>
  <si>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</si>
  <si>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</si>
  <si>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</si>
  <si>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</si>
  <si>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</si>
  <si>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</si>
  <si>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</si>
  <si>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</si>
  <si>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</si>
  <si>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</si>
  <si>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</si>
  <si>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</si>
  <si>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</si>
  <si>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</si>
  <si>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</si>
  <si>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</si>
  <si>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</si>
  <si>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</si>
  <si>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</si>
  <si>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</si>
  <si>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</si>
  <si>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</si>
  <si>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</si>
  <si>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</si>
  <si>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</si>
  <si>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</si>
  <si>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</si>
  <si>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</si>
  <si>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</si>
  <si>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</si>
  <si>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</si>
  <si>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</si>
  <si>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</si>
  <si>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</si>
  <si>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</si>
  <si>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</si>
  <si>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</si>
  <si>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</si>
  <si>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</si>
  <si>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</si>
  <si>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</si>
  <si>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</si>
  <si>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</si>
  <si>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</si>
  <si>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</si>
  <si>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</si>
  <si>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</si>
  <si>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</si>
  <si>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</si>
  <si>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</si>
  <si>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</si>
  <si>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</si>
  <si>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</si>
  <si>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</si>
  <si>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</si>
  <si>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</si>
  <si>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</si>
  <si>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</si>
  <si>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</si>
  <si>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</si>
  <si>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</si>
  <si>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</si>
  <si>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</si>
  <si>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</si>
  <si>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</si>
  <si>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</si>
  <si>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</si>
  <si>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</si>
  <si>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</si>
  <si>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</si>
  <si>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</si>
  <si>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</si>
  <si>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</si>
  <si>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</si>
  <si>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</si>
  <si>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</si>
  <si>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</si>
  <si>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</si>
  <si>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</si>
  <si>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</si>
  <si>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</si>
  <si>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</si>
  <si>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</si>
  <si>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</si>
  <si>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</si>
  <si>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</si>
  <si>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</si>
  <si>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</si>
  <si>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</si>
  <si>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</si>
  <si>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</si>
  <si>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</si>
  <si>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</si>
  <si>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</si>
  <si>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</si>
  <si>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</si>
  <si>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</si>
  <si>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</si>
  <si>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</si>
  <si>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</si>
  <si>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</si>
  <si>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</si>
  <si>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</si>
  <si>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</si>
  <si>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</si>
  <si>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</si>
  <si>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</si>
  <si>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</si>
  <si>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</si>
  <si>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</si>
  <si>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</si>
  <si>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</si>
  <si>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</si>
  <si>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</si>
  <si>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</si>
  <si>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</si>
  <si>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</si>
  <si>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</si>
  <si>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</si>
  <si>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</si>
  <si>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</si>
  <si>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</si>
  <si>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</si>
  <si>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</si>
  <si>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</si>
  <si>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</si>
  <si>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</si>
  <si>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</si>
  <si>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</si>
  <si>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</si>
  <si>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</si>
  <si>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</si>
  <si>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</si>
  <si>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</si>
  <si>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</si>
  <si>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</si>
  <si>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</si>
  <si>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</si>
  <si>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</si>
  <si>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</si>
  <si>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</si>
  <si>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</si>
  <si>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</si>
  <si>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</si>
  <si>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</si>
  <si>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</si>
  <si>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</si>
  <si>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</si>
  <si>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</si>
  <si>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</si>
  <si>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</si>
  <si>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</si>
  <si>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</si>
  <si>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</si>
  <si>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</si>
  <si>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</si>
  <si>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</si>
  <si>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</si>
  <si>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</si>
  <si>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</si>
  <si>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</si>
  <si>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</si>
  <si>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</si>
  <si>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</si>
  <si>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</si>
  <si>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</si>
  <si>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</si>
  <si>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</si>
  <si>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</si>
  <si>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</si>
  <si>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</si>
  <si>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</si>
  <si>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</si>
  <si>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</si>
  <si>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</si>
  <si>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</si>
  <si>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</si>
  <si>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</si>
  <si>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</si>
  <si>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</si>
  <si>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</si>
  <si>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</si>
  <si>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</si>
  <si>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</si>
  <si>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</si>
  <si>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</si>
  <si>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</si>
  <si>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</si>
  <si>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</si>
  <si>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</si>
  <si>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</si>
  <si>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</si>
  <si>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</si>
  <si>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</si>
  <si>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</si>
  <si>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</si>
  <si>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</si>
  <si>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</si>
  <si>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</si>
  <si>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</si>
  <si>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</si>
  <si>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</si>
  <si>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</si>
  <si>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</si>
  <si>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</si>
  <si>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</si>
  <si>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</si>
  <si>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</si>
  <si>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</si>
  <si>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</si>
  <si>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</si>
  <si>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</si>
  <si>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</si>
  <si>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</si>
  <si>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</si>
  <si>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</si>
  <si>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</si>
  <si>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</si>
  <si>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</si>
  <si>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</si>
  <si>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</si>
  <si>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</si>
  <si>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</si>
  <si>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</si>
  <si>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</si>
  <si>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</si>
  <si>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</si>
  <si>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</si>
  <si>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</si>
  <si>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</si>
  <si>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</si>
  <si>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</si>
  <si>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</si>
  <si>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</si>
  <si>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</si>
  <si>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</si>
  <si>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</si>
  <si>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</si>
  <si>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</si>
  <si>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</si>
  <si>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</si>
  <si>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</si>
  <si>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</si>
  <si>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</si>
  <si>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</si>
  <si>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</si>
  <si>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</si>
  <si>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</si>
  <si>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</si>
  <si>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</si>
  <si>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</si>
  <si>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</si>
  <si>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</si>
  <si>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</si>
  <si>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</si>
  <si>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</si>
  <si>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</si>
  <si>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</si>
  <si>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</si>
  <si>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</si>
  <si>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</si>
  <si>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</si>
  <si>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</si>
  <si>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</si>
  <si>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</si>
  <si>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</si>
  <si>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</si>
  <si>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</si>
  <si>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</si>
  <si>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</si>
  <si>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</si>
  <si>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</si>
  <si>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</si>
  <si>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</si>
  <si>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</si>
  <si>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</si>
  <si>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</si>
  <si>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</si>
  <si>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</si>
  <si>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</si>
  <si>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</si>
  <si>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</si>
  <si>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</si>
  <si>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</si>
  <si>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</si>
  <si>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</si>
  <si>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</si>
  <si>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</si>
  <si>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</si>
  <si>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</si>
  <si>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</si>
  <si>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</si>
  <si>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</si>
  <si>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</si>
  <si>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</si>
  <si>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</si>
  <si>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</si>
  <si>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</si>
  <si>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</si>
  <si>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</si>
  <si>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</si>
  <si>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</si>
  <si>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</si>
  <si>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</si>
  <si>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</si>
  <si>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</si>
  <si>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</si>
  <si>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</si>
  <si>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</si>
  <si>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</si>
  <si>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</si>
  <si>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</si>
  <si>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</si>
  <si>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</si>
  <si>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</si>
  <si>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</si>
  <si>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</si>
  <si>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</si>
  <si>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</si>
  <si>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</si>
  <si>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</si>
  <si>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</si>
  <si>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</si>
  <si>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</si>
  <si>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</si>
  <si>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</si>
  <si>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</si>
  <si>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</si>
  <si>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</si>
  <si>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</si>
  <si>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</si>
  <si>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</si>
  <si>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</si>
  <si>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</si>
  <si>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</si>
  <si>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</si>
  <si>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</si>
  <si>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</si>
  <si>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</si>
  <si>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</si>
  <si>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</si>
  <si>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</si>
  <si>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</si>
  <si>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</si>
  <si>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</si>
  <si>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</si>
  <si>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</si>
  <si>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</si>
  <si>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</si>
  <si>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</si>
  <si>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</si>
  <si>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</si>
  <si>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</si>
  <si>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</si>
  <si>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</si>
  <si>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</si>
  <si>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</si>
  <si>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</si>
  <si>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</si>
  <si>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</si>
  <si>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</si>
  <si>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</si>
  <si>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</si>
  <si>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</si>
  <si>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</si>
  <si>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</si>
  <si>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</si>
  <si>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</si>
  <si>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</si>
  <si>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</si>
  <si>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</si>
  <si>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</si>
  <si>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</si>
  <si>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</si>
  <si>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</si>
  <si>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</si>
  <si>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</si>
  <si>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</si>
  <si>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</si>
  <si>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</si>
  <si>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</si>
  <si>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</si>
  <si>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</si>
  <si>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</si>
  <si>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</si>
  <si>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</si>
  <si>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</si>
  <si>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</si>
  <si>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</si>
  <si>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</si>
  <si>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</si>
  <si>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</si>
  <si>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</si>
  <si>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</si>
  <si>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</si>
  <si>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</si>
  <si>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</si>
  <si>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</si>
  <si>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</si>
  <si>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</si>
  <si>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</si>
  <si>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</si>
  <si>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</si>
  <si>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</si>
  <si>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</si>
  <si>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</si>
  <si>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</si>
  <si>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</si>
  <si>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</si>
  <si>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</si>
  <si>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</si>
  <si>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</si>
  <si>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</si>
  <si>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</si>
  <si>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</si>
  <si>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</si>
  <si>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</si>
  <si>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</si>
  <si>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</si>
  <si>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</si>
  <si>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</si>
  <si>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</si>
  <si>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</si>
  <si>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</si>
  <si>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</si>
  <si>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</si>
  <si>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</si>
  <si>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</si>
  <si>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</si>
  <si>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</si>
  <si>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</si>
  <si>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</si>
  <si>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</si>
  <si>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</si>
  <si>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</si>
  <si>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</si>
  <si>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</si>
  <si>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</si>
  <si>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</si>
  <si>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</si>
  <si>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</si>
  <si>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</si>
  <si>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</si>
  <si>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</si>
  <si>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</si>
  <si>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</si>
  <si>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</si>
  <si>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</si>
  <si>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</si>
  <si>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</si>
  <si>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</si>
  <si>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</si>
  <si>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</si>
  <si>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</si>
  <si>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</si>
  <si>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</si>
  <si>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</si>
  <si>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</si>
  <si>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</si>
  <si>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</si>
  <si>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</si>
  <si>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</si>
  <si>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</si>
  <si>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</si>
  <si>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</si>
  <si>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</si>
  <si>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</si>
  <si>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</si>
  <si>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</si>
  <si>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</si>
  <si>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</si>
  <si>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</si>
  <si>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</si>
  <si>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</si>
  <si>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</si>
  <si>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</si>
  <si>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</si>
  <si>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</si>
  <si>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</si>
  <si>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</si>
  <si>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</si>
  <si>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</si>
  <si>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</si>
  <si>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</si>
  <si>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</si>
  <si>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</si>
  <si>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</si>
  <si>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</si>
  <si>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</si>
  <si>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</si>
  <si>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</si>
  <si>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</si>
  <si>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</si>
  <si>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</si>
  <si>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</si>
  <si>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</si>
  <si>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</si>
  <si>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</si>
  <si>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</si>
  <si>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</si>
  <si>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</si>
  <si>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</si>
  <si>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</si>
  <si>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</si>
  <si>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</si>
  <si>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</si>
  <si>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</si>
  <si>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</si>
  <si>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</si>
  <si>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</si>
  <si>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</si>
  <si>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</si>
  <si>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</si>
  <si>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</si>
  <si>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</si>
  <si>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</si>
  <si>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</si>
  <si>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</si>
  <si>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</si>
  <si>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</si>
  <si>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</si>
  <si>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</si>
  <si>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</si>
  <si>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</si>
  <si>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</si>
  <si>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</si>
  <si>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</si>
  <si>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</si>
  <si>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</si>
  <si>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</si>
  <si>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</si>
  <si>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</si>
  <si>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</si>
  <si>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</si>
  <si>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</si>
  <si>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</si>
  <si>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</si>
  <si>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</si>
  <si>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</si>
  <si>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</si>
  <si>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</si>
  <si>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</si>
  <si>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</si>
  <si>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</si>
  <si>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</si>
  <si>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</si>
  <si>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</si>
  <si>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</si>
  <si>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</si>
  <si>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</si>
  <si>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</si>
  <si>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</si>
  <si>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</si>
  <si>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</si>
  <si>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</si>
  <si>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</si>
  <si>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</si>
  <si>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</si>
  <si>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</si>
  <si>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</si>
  <si>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</si>
  <si>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</si>
  <si>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</si>
  <si>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</si>
  <si>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</si>
  <si>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</si>
  <si>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</si>
  <si>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</si>
  <si>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</si>
  <si>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</si>
  <si>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</si>
  <si>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</si>
  <si>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</si>
  <si>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</si>
  <si>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</si>
  <si>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</si>
  <si>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</si>
  <si>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</si>
  <si>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</si>
  <si>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</si>
  <si>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</si>
  <si>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</si>
  <si>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</si>
  <si>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</si>
  <si>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</si>
  <si>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</si>
  <si>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</si>
  <si>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</si>
  <si>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</si>
  <si>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</si>
  <si>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</si>
  <si>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</si>
  <si>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</si>
  <si>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</si>
  <si>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</si>
  <si>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</si>
  <si>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</si>
  <si>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</si>
  <si>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</si>
  <si>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</si>
  <si>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</si>
  <si>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</si>
  <si>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</si>
  <si>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</si>
  <si>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</si>
  <si>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</si>
  <si>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</si>
  <si>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</si>
  <si>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</si>
  <si>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</si>
  <si>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</si>
  <si>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</si>
  <si>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</si>
  <si>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</si>
  <si>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</si>
  <si>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</si>
  <si>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</si>
  <si>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</si>
  <si>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</si>
  <si>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</si>
  <si>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</si>
  <si>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</si>
  <si>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</si>
  <si>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</si>
  <si>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</si>
  <si>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</si>
  <si>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</si>
  <si>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</si>
  <si>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</si>
  <si>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</si>
  <si>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</si>
  <si>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</si>
  <si>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</si>
  <si>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</si>
  <si>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</si>
  <si>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</si>
  <si>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</si>
  <si>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</si>
  <si>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</si>
  <si>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</si>
  <si>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</si>
  <si>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</si>
  <si>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</si>
  <si>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</si>
  <si>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</si>
  <si>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</si>
  <si>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</si>
  <si>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</si>
  <si>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</si>
  <si>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</si>
  <si>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</si>
  <si>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</si>
  <si>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</si>
  <si>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</si>
  <si>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</si>
  <si>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</si>
  <si>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</si>
  <si>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</si>
  <si>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</si>
  <si>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</si>
  <si>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</si>
  <si>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</si>
  <si>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</si>
  <si>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</si>
  <si>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</si>
  <si>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</si>
  <si>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</si>
  <si>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</si>
  <si>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</si>
  <si>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</si>
  <si>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</si>
  <si>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</si>
  <si>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</si>
  <si>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</si>
  <si>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</si>
  <si>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</si>
  <si>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</si>
  <si>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</si>
  <si>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</si>
  <si>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</si>
  <si>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</si>
  <si>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</si>
  <si>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</si>
  <si>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</si>
  <si>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</si>
  <si>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</si>
  <si>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</si>
  <si>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</si>
  <si>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</si>
  <si>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</si>
  <si>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</si>
  <si>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</si>
  <si>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</si>
  <si>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</si>
  <si>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</si>
  <si>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</si>
  <si>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</si>
  <si>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</si>
  <si>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</si>
  <si>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</si>
  <si>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</si>
  <si>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</si>
  <si>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</si>
  <si>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</si>
  <si>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</si>
  <si>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</si>
  <si>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</si>
  <si>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</si>
  <si>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</si>
  <si>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</si>
  <si>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</si>
  <si>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</si>
  <si>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</si>
  <si>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</si>
  <si>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</si>
  <si>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</si>
  <si>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</si>
  <si>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</si>
  <si>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</si>
  <si>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</si>
  <si>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</si>
  <si>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</si>
  <si>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</si>
  <si>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</si>
  <si>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</si>
  <si>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</si>
  <si>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</si>
  <si>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</si>
  <si>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</si>
  <si>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</si>
  <si>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</si>
  <si>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</si>
  <si>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</si>
  <si>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</si>
  <si>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</si>
  <si>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</si>
  <si>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</si>
  <si>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</si>
  <si>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</si>
  <si>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</si>
  <si>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</si>
  <si>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</si>
  <si>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</si>
  <si>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</si>
  <si>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</si>
  <si>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</si>
  <si>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</si>
  <si>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</si>
  <si>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</si>
  <si>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</si>
  <si>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</si>
  <si>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</si>
  <si>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</si>
  <si>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</si>
  <si>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</si>
  <si>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</si>
  <si>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</si>
  <si>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</si>
  <si>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</si>
  <si>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</si>
  <si>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</si>
  <si>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</si>
  <si>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</si>
  <si>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</si>
  <si>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</si>
  <si>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</si>
  <si>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</si>
  <si>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</si>
  <si>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</si>
  <si>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</si>
  <si>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</si>
  <si>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</si>
  <si>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</si>
  <si>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</si>
  <si>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</si>
  <si>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</si>
  <si>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</si>
  <si>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</si>
  <si>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</si>
  <si>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</si>
  <si>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</si>
  <si>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</si>
  <si>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</si>
  <si>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</si>
  <si>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</si>
  <si>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</si>
  <si>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</si>
  <si>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</si>
  <si>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</si>
  <si>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</si>
  <si>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</si>
  <si>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</si>
  <si>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</si>
  <si>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https://alpha.midjourney.com/jobs/4b0ae33e-48b0-4a70-bfe7-b7fb1ce19584?index=1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</si>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</sst>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25172950"/>
        <c:axId val="1857375364"/>
      </c:barChart>
      <c:catAx>
        <c:axId val="5251729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57375364"/>
      </c:catAx>
      <c:valAx>
        <c:axId val="18573753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517295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23732ab2-74d0-4739-baaf-5e6c23e8873a?index=0" TargetMode="External"/><Relationship Id="rId391" Type="http://schemas.openxmlformats.org/officeDocument/2006/relationships/hyperlink" Target="https://alpha.midjourney.com/jobs/f04b4fbf-83ad-4f50-9c3a-68843e69ef11?index=2" TargetMode="External"/><Relationship Id="rId390" Type="http://schemas.openxmlformats.org/officeDocument/2006/relationships/hyperlink" Target="https://alpha.midjourney.com/jobs/89af2c6d-773c-4b37-a02a-c29797ab5507?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1090" Type="http://schemas.openxmlformats.org/officeDocument/2006/relationships/hyperlink" Target="https://alpha.midjourney.com/jobs/69af7a08-96cc-4e74-9187-954be8881728?index=2" TargetMode="External"/><Relationship Id="rId1091" Type="http://schemas.openxmlformats.org/officeDocument/2006/relationships/hyperlink" Target="https://alpha.midjourney.com/jobs/85c573d7-2cdf-43a9-85ba-f42642bf4f47?index=3" TargetMode="External"/><Relationship Id="rId1092" Type="http://schemas.openxmlformats.org/officeDocument/2006/relationships/hyperlink" Target="https://alpha.midjourney.com/jobs/85c573d7-2cdf-43a9-85ba-f42642bf4f47?index=2" TargetMode="External"/><Relationship Id="rId1093" Type="http://schemas.openxmlformats.org/officeDocument/2006/relationships/hyperlink" Target="https://alpha.midjourney.com/jobs/03a2e0f0-0e78-4772-8448-9731440cc43d?index=2" TargetMode="External"/><Relationship Id="rId1094" Type="http://schemas.openxmlformats.org/officeDocument/2006/relationships/hyperlink" Target="https://alpha.midjourney.com/jobs/2199afb2-fdf9-42e4-8447-bbcb2272b0ee?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ab22aed-daaa-486c-bcb0-51549f984fe3?index=0" TargetMode="External"/><Relationship Id="rId1095" Type="http://schemas.openxmlformats.org/officeDocument/2006/relationships/hyperlink" Target="https://alpha.midjourney.com/jobs/ec0b3c0a-3f13-42a9-8ae5-ccd3a2bde246?index=0"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670cd204-5704-4f12-9125-5eb354177f5f?index=2" TargetMode="External"/><Relationship Id="rId1096" Type="http://schemas.openxmlformats.org/officeDocument/2006/relationships/hyperlink" Target="https://alpha.midjourney.com/jobs/b7288a40-3f0f-413c-b7e7-0bd65060a3f9?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710d0cf8-ce38-4aa4-b3f2-876f350c95e5?index=1" TargetMode="External"/><Relationship Id="rId1097" Type="http://schemas.openxmlformats.org/officeDocument/2006/relationships/hyperlink" Target="https://alpha.midjourney.com/jobs/bf521d3a-8081-4e0f-803f-ab3292dfb2cf?index=1"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13f74e45-15bf-4673-a15e-3672c00526da?index=2" TargetMode="External"/><Relationship Id="rId1098" Type="http://schemas.openxmlformats.org/officeDocument/2006/relationships/hyperlink" Target="https://alpha.midjourney.com/jobs/1e1bd9f6-96ea-406f-974f-434655312d3b?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57f1fec-7402-4dfa-a0da-3df1bc5a18a7?index=2" TargetMode="External"/><Relationship Id="rId1099" Type="http://schemas.openxmlformats.org/officeDocument/2006/relationships/hyperlink" Target="https://alpha.midjourney.com/jobs/f1211b88-62fa-426d-8d5c-1600fcd5f5df?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c01595f3-8df5-40fb-ad79-c4ab3f4993bf?index=3"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eca24b96-706c-4dc3-98e0-b7e7167890f1?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22bb3e8d-5c52-4c44-8587-02c99977f143?index=0" TargetMode="External"/><Relationship Id="rId381" Type="http://schemas.openxmlformats.org/officeDocument/2006/relationships/hyperlink" Target="https://alpha.midjourney.com/jobs/b3f1d5b4-d271-4bb7-9615-dec247ec2937?index=0" TargetMode="External"/><Relationship Id="rId380" Type="http://schemas.openxmlformats.org/officeDocument/2006/relationships/hyperlink" Target="https://alpha.midjourney.com/jobs/16ee0dc4-08e6-49e0-be6c-5041c7b5d4f9?index=1"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22f743bd-9c45-49eb-bcae-584391aba2aa?index=1" TargetMode="External"/><Relationship Id="rId1080" Type="http://schemas.openxmlformats.org/officeDocument/2006/relationships/hyperlink" Target="https://www.midjourney.com/jobs/35b3b0d5-f19b-454b-afb8-1c9e3ca5c237?index=2" TargetMode="External"/><Relationship Id="rId1081" Type="http://schemas.openxmlformats.org/officeDocument/2006/relationships/hyperlink" Target="https://www.midjourney.com/jobs/53604f6e-a5f0-4ffd-8781-191a91af181c?index=3" TargetMode="External"/><Relationship Id="rId1082" Type="http://schemas.openxmlformats.org/officeDocument/2006/relationships/hyperlink" Target="https://www.midjourney.com/jobs/22ed9dd0-ef61-4a2c-b520-80e30f3a0494?index=1" TargetMode="External"/><Relationship Id="rId1083" Type="http://schemas.openxmlformats.org/officeDocument/2006/relationships/hyperlink" Target="https://www.midjourney.com/jobs/f7f509f6-018d-40bc-9607-6413df49cc52?index=0"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032d003e-cfc5-416a-b659-1bdded298c0e?index=1" TargetMode="External"/><Relationship Id="rId1084" Type="http://schemas.openxmlformats.org/officeDocument/2006/relationships/hyperlink" Target="https://www.midjourney.com/jobs/08adc7c0-5814-4f2a-9b13-b88efe40751e?index=3"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1c379fb0-c7fe-4bce-a2e2-c1046dca0a59?index=0" TargetMode="External"/><Relationship Id="rId1085" Type="http://schemas.openxmlformats.org/officeDocument/2006/relationships/hyperlink" Target="https://www.midjourney.com/jobs/08adc7c0-5814-4f2a-9b13-b88efe40751e?index=0"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1c379fb0-c7fe-4bce-a2e2-c1046dca0a59?index=1" TargetMode="External"/><Relationship Id="rId1086" Type="http://schemas.openxmlformats.org/officeDocument/2006/relationships/hyperlink" Target="https://www.midjourney.com/jobs/5e43144d-d6b4-4bd5-94b6-0a6ddeeb751d?index=1" TargetMode="External"/><Relationship Id="rId371" Type="http://schemas.openxmlformats.org/officeDocument/2006/relationships/hyperlink" Target="https://alpha.midjourney.com/jobs/1c379fb0-c7fe-4bce-a2e2-c1046dca0a59?index=3" TargetMode="External"/><Relationship Id="rId1087" Type="http://schemas.openxmlformats.org/officeDocument/2006/relationships/hyperlink" Target="https://www.midjourney.com/jobs/e7678ed2-bc5b-40da-a284-57aab18a35b3?index=1"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dabe2c88-7609-4d23-9be4-b6d03f5043ec?index=2" TargetMode="External"/><Relationship Id="rId1088" Type="http://schemas.openxmlformats.org/officeDocument/2006/relationships/hyperlink" Target="https://alpha.midjourney.com/jobs/5ffb57a6-694c-47cf-a742-db40c1703c48?index=1"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5764c6a2-ac2a-45d1-bd44-3056e5b71fde?index=3" TargetMode="External"/><Relationship Id="rId1089" Type="http://schemas.openxmlformats.org/officeDocument/2006/relationships/hyperlink" Target="https://alpha.midjourney.com/jobs/4da0b68d-28af-4dde-a253-1c020edd6335?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83e9cfe5-7b3e-4733-9009-d3e420db215a?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de56f839-6491-46cf-880d-6d928a2517da?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36a8fe4-c031-4266-a180-8d5fa8d7a20c?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97987280-b216-408a-9bcb-dd348cfcb803?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258f8be4-8fc8-47e9-9423-4d7e9f7e209b?index=0"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cb44e85d-870b-4bc6-8948-450c772daf5c?index=0"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ffc8199-7676-44a0-b357-0e6a826b2531?index=1"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f4364281-c341-4325-823b-cc159f62e3fa?index=1"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f4364281-c341-4325-823b-cc159f62e3fa?index=3" TargetMode="External"/><Relationship Id="rId808" Type="http://schemas.openxmlformats.org/officeDocument/2006/relationships/hyperlink" Target="https://alpha.midjourney.com/jobs/f94250ed-9bec-4e95-a78a-a5367e498d63?index=2" TargetMode="External"/><Relationship Id="rId807" Type="http://schemas.openxmlformats.org/officeDocument/2006/relationships/hyperlink" Target="https://alpha.midjourney.com/jobs/2b4746b7-453d-4e3d-aa48-6329b68d1fda?index=1" TargetMode="External"/><Relationship Id="rId806" Type="http://schemas.openxmlformats.org/officeDocument/2006/relationships/hyperlink" Target="https://alpha.midjourney.com/jobs/3437553e-6436-40ea-bbe7-e132ba1721fa?index=0" TargetMode="External"/><Relationship Id="rId805" Type="http://schemas.openxmlformats.org/officeDocument/2006/relationships/hyperlink" Target="https://alpha.midjourney.com/jobs/e4583e2f-8a65-4d6e-bd18-e34443e347d4?index=0" TargetMode="External"/><Relationship Id="rId809" Type="http://schemas.openxmlformats.org/officeDocument/2006/relationships/hyperlink" Target="https://alpha.midjourney.com/jobs/3afdfbe5-2fbc-4e8b-9c83-487662da77ea?index=3" TargetMode="External"/><Relationship Id="rId800" Type="http://schemas.openxmlformats.org/officeDocument/2006/relationships/hyperlink" Target="https://alpha.midjourney.com/jobs/00a49b0c-0beb-4b22-b8ed-949c80f2fd24?index=1" TargetMode="External"/><Relationship Id="rId804" Type="http://schemas.openxmlformats.org/officeDocument/2006/relationships/hyperlink" Target="https://alpha.midjourney.com/jobs/3437553e-6436-40ea-bbe7-e132ba1721fa?index=1" TargetMode="External"/><Relationship Id="rId803" Type="http://schemas.openxmlformats.org/officeDocument/2006/relationships/hyperlink" Target="https://alpha.midjourney.com/jobs/3de38ca0-acf7-47fe-844f-731d8caf3732?index=2" TargetMode="External"/><Relationship Id="rId802" Type="http://schemas.openxmlformats.org/officeDocument/2006/relationships/hyperlink" Target="https://alpha.midjourney.com/jobs/3de38ca0-acf7-47fe-844f-731d8caf3732?index=1" TargetMode="External"/><Relationship Id="rId801" Type="http://schemas.openxmlformats.org/officeDocument/2006/relationships/hyperlink" Target="https://alpha.midjourney.com/jobs/6a912a49-8111-4beb-9677-f8894ace5ef6?index=0"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3f1e36e7-8385-4701-8ad1-a8a145d654d4?index=2" TargetMode="External"/><Relationship Id="rId508" Type="http://schemas.openxmlformats.org/officeDocument/2006/relationships/hyperlink" Target="https://alpha.midjourney.com/jobs/b305aa77-1f10-402e-b176-99e909abfb9d?index=3" TargetMode="External"/><Relationship Id="rId503" Type="http://schemas.openxmlformats.org/officeDocument/2006/relationships/hyperlink" Target="https://alpha.midjourney.com/jobs/1611e437-755b-410f-b205-ccef721ff7ae?index=2" TargetMode="External"/><Relationship Id="rId745" Type="http://schemas.openxmlformats.org/officeDocument/2006/relationships/hyperlink" Target="https://alpha.midjourney.com/jobs/8ca76d1e-2fdd-4c6f-b81a-f980f4465204?index=1" TargetMode="External"/><Relationship Id="rId987" Type="http://schemas.openxmlformats.org/officeDocument/2006/relationships/hyperlink" Target="https://alpha.midjourney.com/jobs/fd4571f3-05ac-44eb-bb05-b7f87755ff5f?index=2" TargetMode="External"/><Relationship Id="rId502" Type="http://schemas.openxmlformats.org/officeDocument/2006/relationships/hyperlink" Target="https://alpha.midjourney.com/jobs/1611e437-755b-410f-b205-ccef721ff7ae?index=1" TargetMode="External"/><Relationship Id="rId744" Type="http://schemas.openxmlformats.org/officeDocument/2006/relationships/hyperlink" Target="https://alpha.midjourney.com/jobs/5fa229a5-422f-4ee2-88e1-74a946b95bf8?index=2" TargetMode="External"/><Relationship Id="rId986" Type="http://schemas.openxmlformats.org/officeDocument/2006/relationships/hyperlink" Target="https://alpha.midjourney.com/jobs/99567b88-2374-4ea8-b28b-a5f05e5585b5?index=3" TargetMode="External"/><Relationship Id="rId501" Type="http://schemas.openxmlformats.org/officeDocument/2006/relationships/hyperlink" Target="https://alpha.midjourney.com/jobs/9837fc27-5358-46a5-b2d5-4b2eccd5199c?index=0" TargetMode="External"/><Relationship Id="rId743" Type="http://schemas.openxmlformats.org/officeDocument/2006/relationships/hyperlink" Target="https://alpha.midjourney.com/jobs/9b2ab810-2e17-4453-80f0-4ed8335dcba6?index=3" TargetMode="External"/><Relationship Id="rId985" Type="http://schemas.openxmlformats.org/officeDocument/2006/relationships/hyperlink" Target="https://alpha.midjourney.com/jobs/be9e33df-53e3-4ba9-b78d-a638dd795217?index=0" TargetMode="External"/><Relationship Id="rId500" Type="http://schemas.openxmlformats.org/officeDocument/2006/relationships/hyperlink" Target="https://alpha.midjourney.com/jobs/672168db-d4c7-464a-9a08-3f0b7300f117?index=0" TargetMode="External"/><Relationship Id="rId742" Type="http://schemas.openxmlformats.org/officeDocument/2006/relationships/hyperlink" Target="https://alpha.midjourney.com/jobs/f4c48630-208d-4ef7-82a2-ba331bea8ac6?index=1" TargetMode="External"/><Relationship Id="rId984" Type="http://schemas.openxmlformats.org/officeDocument/2006/relationships/hyperlink" Target="https://alpha.midjourney.com/jobs/90cb352a-64aa-4121-b30d-4872d4707c75?index=0" TargetMode="External"/><Relationship Id="rId507" Type="http://schemas.openxmlformats.org/officeDocument/2006/relationships/hyperlink" Target="https://alpha.midjourney.com/jobs/651c5e10-daa8-4734-8d9e-45e6e71afe5e?index=3" TargetMode="External"/><Relationship Id="rId749" Type="http://schemas.openxmlformats.org/officeDocument/2006/relationships/hyperlink" Target="https://alpha.midjourney.com/jobs/004d14c3-1c31-4c4e-b9cd-f15becae7920?index=3" TargetMode="External"/><Relationship Id="rId506" Type="http://schemas.openxmlformats.org/officeDocument/2006/relationships/hyperlink" Target="https://alpha.midjourney.com/jobs/0e38f1ce-471e-455b-890a-7a46d67a8c3c?index=3" TargetMode="External"/><Relationship Id="rId748" Type="http://schemas.openxmlformats.org/officeDocument/2006/relationships/hyperlink" Target="https://alpha.midjourney.com/jobs/13192ffd-f511-40f8-8825-6afe3e936772?index=1" TargetMode="External"/><Relationship Id="rId505" Type="http://schemas.openxmlformats.org/officeDocument/2006/relationships/hyperlink" Target="https://alpha.midjourney.com/jobs/cb5a0d7d-cfdf-4743-8f88-5b4c20641ec8?index=0" TargetMode="External"/><Relationship Id="rId747" Type="http://schemas.openxmlformats.org/officeDocument/2006/relationships/hyperlink" Target="https://alpha.midjourney.com/jobs/818b4c69-a239-425e-865f-581ae0f5d202?index=3" TargetMode="External"/><Relationship Id="rId989" Type="http://schemas.openxmlformats.org/officeDocument/2006/relationships/hyperlink" Target="https://alpha.midjourney.com/jobs/56423885-c0d3-4de9-84f2-5841ca663db4?index=0" TargetMode="External"/><Relationship Id="rId504" Type="http://schemas.openxmlformats.org/officeDocument/2006/relationships/hyperlink" Target="https://alpha.midjourney.com/jobs/d0513e19-1ac0-4d65-b7d1-c084eaa39eb1?index=1" TargetMode="External"/><Relationship Id="rId746" Type="http://schemas.openxmlformats.org/officeDocument/2006/relationships/hyperlink" Target="https://alpha.midjourney.com/jobs/fee9f008-5272-48db-b4d7-5f0b71558eb6?index=1" TargetMode="External"/><Relationship Id="rId988" Type="http://schemas.openxmlformats.org/officeDocument/2006/relationships/hyperlink" Target="https://alpha.midjourney.com/jobs/2015eae7-f8fe-4ae3-9e86-68fc8209e0f9?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f4c48630-208d-4ef7-82a2-ba331bea8ac6?index=3" TargetMode="External"/><Relationship Id="rId983" Type="http://schemas.openxmlformats.org/officeDocument/2006/relationships/hyperlink" Target="https://alpha.midjourney.com/jobs/5bae7113-2f5a-4b73-87f4-6d9b78e7eeee?index=1" TargetMode="External"/><Relationship Id="rId740" Type="http://schemas.openxmlformats.org/officeDocument/2006/relationships/hyperlink" Target="https://alpha.midjourney.com/jobs/d3cbeeb5-7d32-4043-a6bf-4bae29b58f5e?index=1" TargetMode="External"/><Relationship Id="rId982" Type="http://schemas.openxmlformats.org/officeDocument/2006/relationships/hyperlink" Target="https://alpha.midjourney.com/jobs/4f39b32a-12f3-4f33-8926-33849565856d?index=0" TargetMode="External"/><Relationship Id="rId981" Type="http://schemas.openxmlformats.org/officeDocument/2006/relationships/hyperlink" Target="https://alpha.midjourney.com/jobs/20878f04-6db4-4921-b3e8-78b32c691849?index=1" TargetMode="External"/><Relationship Id="rId980" Type="http://schemas.openxmlformats.org/officeDocument/2006/relationships/hyperlink" Target="https://alpha.midjourney.com/jobs/7b1de13c-b465-4213-9f2b-78dbc6c85132?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02594f9a-42f2-4692-a624-4174f3749a0b?index=1" TargetMode="External"/><Relationship Id="rId734" Type="http://schemas.openxmlformats.org/officeDocument/2006/relationships/hyperlink" Target="https://alpha.midjourney.com/jobs/8eb1f4bb-2550-4963-a72a-d88c5b4f19b8?index=2" TargetMode="External"/><Relationship Id="rId976" Type="http://schemas.openxmlformats.org/officeDocument/2006/relationships/hyperlink" Target="https://alpha.midjourney.com/jobs/7e20bff2-8427-472d-840d-979a0755b2c8?index=2" TargetMode="External"/><Relationship Id="rId733" Type="http://schemas.openxmlformats.org/officeDocument/2006/relationships/hyperlink" Target="https://alpha.midjourney.com/jobs/76923fb4-99d5-49ce-b188-049f29fd9fa0?index=1" TargetMode="External"/><Relationship Id="rId975" Type="http://schemas.openxmlformats.org/officeDocument/2006/relationships/hyperlink" Target="https://alpha.midjourney.com/jobs/7e20bff2-8427-472d-840d-979a0755b2c8?index=0" TargetMode="External"/><Relationship Id="rId732" Type="http://schemas.openxmlformats.org/officeDocument/2006/relationships/hyperlink" Target="https://alpha.midjourney.com/jobs/780c6c09-f30e-4cb3-8a30-4443378dec71?index=0" TargetMode="External"/><Relationship Id="rId974" Type="http://schemas.openxmlformats.org/officeDocument/2006/relationships/hyperlink" Target="https://alpha.midjourney.com/jobs/07e23a6a-3294-407c-8982-8715f39c9382?index=2" TargetMode="External"/><Relationship Id="rId731" Type="http://schemas.openxmlformats.org/officeDocument/2006/relationships/hyperlink" Target="https://alpha.midjourney.com/jobs/ab75823b-9baa-4dd1-93d4-da7a883484e3?index=3" TargetMode="External"/><Relationship Id="rId973" Type="http://schemas.openxmlformats.org/officeDocument/2006/relationships/hyperlink" Target="https://alpha.midjourney.com/jobs/1857e517-7bc2-42e1-a0a0-89f8cc4d995f?index=3" TargetMode="External"/><Relationship Id="rId738" Type="http://schemas.openxmlformats.org/officeDocument/2006/relationships/hyperlink" Target="https://alpha.midjourney.com/jobs/79cc175a-38b4-4f94-b788-3a21fe90bd96?index=1" TargetMode="External"/><Relationship Id="rId737" Type="http://schemas.openxmlformats.org/officeDocument/2006/relationships/hyperlink" Target="https://alpha.midjourney.com/jobs/79cc175a-38b4-4f94-b788-3a21fe90bd96?index=3" TargetMode="External"/><Relationship Id="rId979" Type="http://schemas.openxmlformats.org/officeDocument/2006/relationships/hyperlink" Target="https://alpha.midjourney.com/jobs/89824033-00a1-41d7-b25a-ba639c2b447f?index=0" TargetMode="External"/><Relationship Id="rId736" Type="http://schemas.openxmlformats.org/officeDocument/2006/relationships/hyperlink" Target="https://alpha.midjourney.com/jobs/5b91328b-1723-4e9a-ae74-e0d94368bbd9?index=3" TargetMode="External"/><Relationship Id="rId978" Type="http://schemas.openxmlformats.org/officeDocument/2006/relationships/hyperlink" Target="https://alpha.midjourney.com/jobs/89824033-00a1-41d7-b25a-ba639c2b447f?index=2" TargetMode="External"/><Relationship Id="rId735" Type="http://schemas.openxmlformats.org/officeDocument/2006/relationships/hyperlink" Target="https://alpha.midjourney.com/jobs/22809f0a-08dc-4f64-98a8-4404c4ab27ff?index=1" TargetMode="External"/><Relationship Id="rId977" Type="http://schemas.openxmlformats.org/officeDocument/2006/relationships/hyperlink" Target="https://alpha.midjourney.com/jobs/97e573ac-355c-4f18-a197-139751f6849a?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d5fcdaf9-cde7-4aae-8f10-dfa0563034ad?index=2" TargetMode="External"/><Relationship Id="rId972" Type="http://schemas.openxmlformats.org/officeDocument/2006/relationships/hyperlink" Target="https://alpha.midjourney.com/jobs/867b819c-c829-47c3-8610-fd48d857e853?index=3" TargetMode="External"/><Relationship Id="rId971" Type="http://schemas.openxmlformats.org/officeDocument/2006/relationships/hyperlink" Target="https://alpha.midjourney.com/jobs/efb0be74-b35e-4482-a701-ff734799e7ee?index=0" TargetMode="External"/><Relationship Id="rId970" Type="http://schemas.openxmlformats.org/officeDocument/2006/relationships/hyperlink" Target="https://alpha.midjourney.com/jobs/6a991d4a-f22b-4402-b948-a154d276644d?index=2" TargetMode="External"/><Relationship Id="rId1114" Type="http://schemas.openxmlformats.org/officeDocument/2006/relationships/hyperlink" Target="https://alpha.midjourney.com/jobs/6c892b4d-9f53-4686-88b5-2ef14a829397?index=1" TargetMode="External"/><Relationship Id="rId1115" Type="http://schemas.openxmlformats.org/officeDocument/2006/relationships/hyperlink" Target="https://alpha.midjourney.com/jobs/6c892b4d-9f53-4686-88b5-2ef14a829397?index=0"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8ddea716-e1f9-491b-aca2-f52b67ebc68d?index=0" TargetMode="External"/><Relationship Id="rId1117" Type="http://schemas.openxmlformats.org/officeDocument/2006/relationships/hyperlink" Target="https://alpha.midjourney.com/jobs/20c46836-19bc-4c62-8431-98b2760b75d0?index=3"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20c46836-19bc-4c62-8431-98b2760b75d0?index=2"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149f71d5-4d94-4947-8b64-95192764e495?index=3"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8681b697-3ab5-4ab3-8d4d-13ada408b719?index=2" TargetMode="External"/><Relationship Id="rId767" Type="http://schemas.openxmlformats.org/officeDocument/2006/relationships/hyperlink" Target="https://alpha.midjourney.com/jobs/6cbb2b81-50d4-40ad-b747-ec46393643e1?index=3" TargetMode="External"/><Relationship Id="rId524" Type="http://schemas.openxmlformats.org/officeDocument/2006/relationships/hyperlink" Target="https://alpha.midjourney.com/jobs/7ebb9929-e2ad-442f-b9a8-ea6f82e7e006?index=3" TargetMode="External"/><Relationship Id="rId766" Type="http://schemas.openxmlformats.org/officeDocument/2006/relationships/hyperlink" Target="https://alpha.midjourney.com/jobs/d51d3493-9845-494e-abcd-8b4dda1b4954?index=3" TargetMode="External"/><Relationship Id="rId523" Type="http://schemas.openxmlformats.org/officeDocument/2006/relationships/hyperlink" Target="https://alpha.midjourney.com/jobs/3f24055e-e0a2-47c1-8470-64c33d0f6866?index=2" TargetMode="External"/><Relationship Id="rId765" Type="http://schemas.openxmlformats.org/officeDocument/2006/relationships/hyperlink" Target="https://alpha.midjourney.com/jobs/06aecf02-8df2-4041-bf0d-fe6ddf1c506d?index=1" TargetMode="External"/><Relationship Id="rId522" Type="http://schemas.openxmlformats.org/officeDocument/2006/relationships/hyperlink" Target="https://alpha.midjourney.com/jobs/64dbf7d3-51d9-49d7-826e-908e3f7f1760?index=0" TargetMode="External"/><Relationship Id="rId764" Type="http://schemas.openxmlformats.org/officeDocument/2006/relationships/hyperlink" Target="https://alpha.midjourney.com/jobs/06aecf02-8df2-4041-bf0d-fe6ddf1c506d?index=3" TargetMode="External"/><Relationship Id="rId529" Type="http://schemas.openxmlformats.org/officeDocument/2006/relationships/hyperlink" Target="https://alpha.midjourney.com/jobs/460856be-5a5a-4e01-880f-a9cc4ae12568?index=3" TargetMode="External"/><Relationship Id="rId528" Type="http://schemas.openxmlformats.org/officeDocument/2006/relationships/hyperlink" Target="https://alpha.midjourney.com/jobs/49574fbd-fd5a-42b4-ba67-f1956f3a5a0d?index=1" TargetMode="External"/><Relationship Id="rId527" Type="http://schemas.openxmlformats.org/officeDocument/2006/relationships/hyperlink" Target="https://alpha.midjourney.com/jobs/4ebf7027-ca2f-44a2-9f30-1afa66999935?index=3" TargetMode="External"/><Relationship Id="rId769" Type="http://schemas.openxmlformats.org/officeDocument/2006/relationships/hyperlink" Target="https://alpha.midjourney.com/jobs/98223da5-e9ab-403d-be92-42edfdeb232d?index=1" TargetMode="External"/><Relationship Id="rId526" Type="http://schemas.openxmlformats.org/officeDocument/2006/relationships/hyperlink" Target="https://alpha.midjourney.com/jobs/ef758448-e6c6-4375-a43a-ca7ef038fb25?index=0" TargetMode="External"/><Relationship Id="rId768" Type="http://schemas.openxmlformats.org/officeDocument/2006/relationships/hyperlink" Target="https://alpha.midjourney.com/jobs/6cbb2b81-50d4-40ad-b747-ec46393643e1?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64dbf7d3-51d9-49d7-826e-908e3f7f1760?index=1" TargetMode="External"/><Relationship Id="rId763" Type="http://schemas.openxmlformats.org/officeDocument/2006/relationships/hyperlink" Target="https://alpha.midjourney.com/jobs/ecbf8e81-c009-4e9e-b245-7c6d2d4b01e2?index=2" TargetMode="External"/><Relationship Id="rId1110" Type="http://schemas.openxmlformats.org/officeDocument/2006/relationships/hyperlink" Target="https://alpha.midjourney.com/jobs/dd8db80a-be81-42cd-8117-d370f2fdce6b?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8e48c3ce-1b90-4253-abcc-2da0b25ad425?index=1" TargetMode="External"/><Relationship Id="rId762" Type="http://schemas.openxmlformats.org/officeDocument/2006/relationships/hyperlink" Target="https://alpha.midjourney.com/jobs/5dc009ad-ce99-4a88-9749-a25a3795dab9?index=2" TargetMode="External"/><Relationship Id="rId1111" Type="http://schemas.openxmlformats.org/officeDocument/2006/relationships/hyperlink" Target="https://alpha.midjourney.com/jobs/8bc651f8-5a74-46c8-a338-5e7470e20d29?index=1" TargetMode="External"/><Relationship Id="rId761" Type="http://schemas.openxmlformats.org/officeDocument/2006/relationships/hyperlink" Target="https://alpha.midjourney.com/jobs/89a4af33-8c31-4818-8eb6-f9969b2c2213?index=3" TargetMode="External"/><Relationship Id="rId1112" Type="http://schemas.openxmlformats.org/officeDocument/2006/relationships/hyperlink" Target="https://alpha.midjourney.com/jobs/486584b2-e68e-44a9-a038-0edfd1135259?index=3" TargetMode="External"/><Relationship Id="rId760" Type="http://schemas.openxmlformats.org/officeDocument/2006/relationships/hyperlink" Target="https://alpha.midjourney.com/jobs/89a4af33-8c31-4818-8eb6-f9969b2c2213?index=1" TargetMode="External"/><Relationship Id="rId1113" Type="http://schemas.openxmlformats.org/officeDocument/2006/relationships/hyperlink" Target="https://alpha.midjourney.com/jobs/5303463c-59b3-4fb2-94c4-4a297ae0ad1a?index=1" TargetMode="External"/><Relationship Id="rId1103" Type="http://schemas.openxmlformats.org/officeDocument/2006/relationships/hyperlink" Target="https://alpha.midjourney.com/jobs/83ca19e2-2e10-4948-8314-32f44a89dd14?index=2" TargetMode="External"/><Relationship Id="rId1104" Type="http://schemas.openxmlformats.org/officeDocument/2006/relationships/hyperlink" Target="https://alpha.midjourney.com/jobs/3fd9ed41-930b-449c-a0d8-a582a3a8dc51?index=0" TargetMode="External"/><Relationship Id="rId1105" Type="http://schemas.openxmlformats.org/officeDocument/2006/relationships/hyperlink" Target="https://alpha.midjourney.com/jobs/c6073419-0b0b-47be-b834-e6de5a6e38db?index=1" TargetMode="External"/><Relationship Id="rId1106" Type="http://schemas.openxmlformats.org/officeDocument/2006/relationships/hyperlink" Target="https://alpha.midjourney.com/jobs/c6073419-0b0b-47be-b834-e6de5a6e38db?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56ad7b68-b4aa-44c6-ba28-2093ea5e6556?index=3"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902f686b-2aa6-427e-aa01-bd0121e13b27?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3bce2cc2-7905-4055-a5c5-f61caeece66e?index=1"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ea064ae-88ea-47ba-a280-c9e470d12b69?index=2" TargetMode="External"/><Relationship Id="rId514" Type="http://schemas.openxmlformats.org/officeDocument/2006/relationships/hyperlink" Target="https://alpha.midjourney.com/jobs/f8601415-70ff-4ce2-aed0-f550f9d08f3d?index=2" TargetMode="External"/><Relationship Id="rId756" Type="http://schemas.openxmlformats.org/officeDocument/2006/relationships/hyperlink" Target="https://alpha.midjourney.com/jobs/2597c96a-7d3a-446b-9533-8ddf115e632c?index=2" TargetMode="External"/><Relationship Id="rId998" Type="http://schemas.openxmlformats.org/officeDocument/2006/relationships/hyperlink" Target="https://alpha.midjourney.com/jobs/d51c42a9-d21b-455b-b717-2e711e19f0d6?index=3" TargetMode="External"/><Relationship Id="rId513" Type="http://schemas.openxmlformats.org/officeDocument/2006/relationships/hyperlink" Target="https://alpha.midjourney.com/jobs/f8601415-70ff-4ce2-aed0-f550f9d08f3d?index=1" TargetMode="External"/><Relationship Id="rId755" Type="http://schemas.openxmlformats.org/officeDocument/2006/relationships/hyperlink" Target="https://alpha.midjourney.com/jobs/16dd6fff-fe9a-4d6e-87c6-3ca358f44292?index=2" TargetMode="External"/><Relationship Id="rId997" Type="http://schemas.openxmlformats.org/officeDocument/2006/relationships/hyperlink" Target="https://alpha.midjourney.com/jobs/d51c42a9-d21b-455b-b717-2e711e19f0d6?index=2" TargetMode="External"/><Relationship Id="rId512" Type="http://schemas.openxmlformats.org/officeDocument/2006/relationships/hyperlink" Target="https://alpha.midjourney.com/jobs/f8601415-70ff-4ce2-aed0-f550f9d08f3d?index=0" TargetMode="External"/><Relationship Id="rId754" Type="http://schemas.openxmlformats.org/officeDocument/2006/relationships/hyperlink" Target="https://alpha.midjourney.com/jobs/0063068d-9dbd-4110-8aae-322eeb900c81?index=2" TargetMode="External"/><Relationship Id="rId996" Type="http://schemas.openxmlformats.org/officeDocument/2006/relationships/hyperlink" Target="https://alpha.midjourney.com/jobs/d51c42a9-d21b-455b-b717-2e711e19f0d6?index=0" TargetMode="External"/><Relationship Id="rId511" Type="http://schemas.openxmlformats.org/officeDocument/2006/relationships/hyperlink" Target="https://alpha.midjourney.com/jobs/acb30613-f9af-4a64-81e9-e6b568cba824?index=2" TargetMode="External"/><Relationship Id="rId753" Type="http://schemas.openxmlformats.org/officeDocument/2006/relationships/hyperlink" Target="https://alpha.midjourney.com/jobs/69e81fbf-243c-4e8a-ae5b-632a0bffeb89?index=0" TargetMode="External"/><Relationship Id="rId995" Type="http://schemas.openxmlformats.org/officeDocument/2006/relationships/hyperlink" Target="https://alpha.midjourney.com/jobs/eabb5d2b-34af-44b6-986e-b1f24cc82748?index=2" TargetMode="External"/><Relationship Id="rId518" Type="http://schemas.openxmlformats.org/officeDocument/2006/relationships/hyperlink" Target="https://alpha.midjourney.com/jobs/86b3223b-25b2-49c4-9ba0-56eef1eedbbf?index=1" TargetMode="External"/><Relationship Id="rId517" Type="http://schemas.openxmlformats.org/officeDocument/2006/relationships/hyperlink" Target="https://alpha.midjourney.com/jobs/3b50b5d8-08a1-4b97-8366-8e40ccb84ae0?index=3" TargetMode="External"/><Relationship Id="rId759" Type="http://schemas.openxmlformats.org/officeDocument/2006/relationships/hyperlink" Target="https://alpha.midjourney.com/jobs/84026d48-d440-4fbe-acd4-072430cb1aa9?index=3" TargetMode="External"/><Relationship Id="rId516" Type="http://schemas.openxmlformats.org/officeDocument/2006/relationships/hyperlink" Target="https://alpha.midjourney.com/jobs/f8601415-70ff-4ce2-aed0-f550f9d08f3d?index=0" TargetMode="External"/><Relationship Id="rId758" Type="http://schemas.openxmlformats.org/officeDocument/2006/relationships/hyperlink" Target="https://alpha.midjourney.com/jobs/f0ba1bb6-73d9-4919-bcab-c5dbd66466c8?index=2" TargetMode="External"/><Relationship Id="rId515" Type="http://schemas.openxmlformats.org/officeDocument/2006/relationships/hyperlink" Target="https://alpha.midjourney.com/jobs/2a292725-24e5-4da2-ae58-2f0eadedb275?index=2" TargetMode="External"/><Relationship Id="rId757" Type="http://schemas.openxmlformats.org/officeDocument/2006/relationships/hyperlink" Target="https://alpha.midjourney.com/jobs/b489dec3-9c93-4f7a-a86e-aaa05d7279fd?index=0" TargetMode="External"/><Relationship Id="rId999" Type="http://schemas.openxmlformats.org/officeDocument/2006/relationships/hyperlink" Target="https://alpha.midjourney.com/jobs/b392fba2-9f4d-4b44-8089-24bd297605d2?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3368ea80-eb99-431a-b18e-c6209d8c03da?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05ead972-45fd-4d93-b3b6-736da52e9d68?index=1" TargetMode="External"/><Relationship Id="rId752" Type="http://schemas.openxmlformats.org/officeDocument/2006/relationships/hyperlink" Target="https://alpha.midjourney.com/jobs/eaeb0c2c-5671-4d2a-88fd-4abe109eab65?index=1" TargetMode="External"/><Relationship Id="rId994" Type="http://schemas.openxmlformats.org/officeDocument/2006/relationships/hyperlink" Target="https://alpha.midjourney.com/jobs/eabb5d2b-34af-44b6-986e-b1f24cc82748?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73a9a1a1-32fd-4221-b568-f49bf10ec8c3?index=1" TargetMode="External"/><Relationship Id="rId993" Type="http://schemas.openxmlformats.org/officeDocument/2006/relationships/hyperlink" Target="https://alpha.midjourney.com/jobs/6cfaf2cf-9b54-457e-bb4e-122d7a36e929?index=1" TargetMode="External"/><Relationship Id="rId1100" Type="http://schemas.openxmlformats.org/officeDocument/2006/relationships/hyperlink" Target="https://alpha.midjourney.com/jobs/3851d550-a918-4f53-b99a-bfc3302de693?index=0" TargetMode="External"/><Relationship Id="rId750" Type="http://schemas.openxmlformats.org/officeDocument/2006/relationships/hyperlink" Target="https://alpha.midjourney.com/jobs/601a075d-73c7-4df6-81df-aed24988e0ef?index=1" TargetMode="External"/><Relationship Id="rId992" Type="http://schemas.openxmlformats.org/officeDocument/2006/relationships/hyperlink" Target="https://alpha.midjourney.com/jobs/9ed9297c-ced3-4ec8-b6c9-6a710831a6fb?index=2" TargetMode="External"/><Relationship Id="rId1101" Type="http://schemas.openxmlformats.org/officeDocument/2006/relationships/hyperlink" Target="https://alpha.midjourney.com/jobs/aa9fce64-251f-4480-9658-e135cc083f2f?index=1" TargetMode="External"/><Relationship Id="rId991" Type="http://schemas.openxmlformats.org/officeDocument/2006/relationships/hyperlink" Target="https://alpha.midjourney.com/jobs/3368ea80-eb99-431a-b18e-c6209d8c03da?index=3" TargetMode="External"/><Relationship Id="rId1102" Type="http://schemas.openxmlformats.org/officeDocument/2006/relationships/hyperlink" Target="https://alpha.midjourney.com/jobs/83ca19e2-2e10-4948-8314-32f44a89dd14?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9bf3783e-f8f6-4bbf-b78e-1ab8f2751edd?index=3" TargetMode="External"/><Relationship Id="rId708" Type="http://schemas.openxmlformats.org/officeDocument/2006/relationships/hyperlink" Target="https://alpha.midjourney.com/jobs/b8ede178-5b2a-48c9-8590-edff0fab188f?index=1" TargetMode="External"/><Relationship Id="rId707" Type="http://schemas.openxmlformats.org/officeDocument/2006/relationships/hyperlink" Target="https://alpha.midjourney.com/jobs/06e001ac-4ecf-4823-94e1-8dd68d2b05b7?index=1" TargetMode="External"/><Relationship Id="rId949" Type="http://schemas.openxmlformats.org/officeDocument/2006/relationships/hyperlink" Target="https://alpha.midjourney.com/jobs/42693e88-ca4f-4a7a-a2be-74411b6895cb?index=2" TargetMode="External"/><Relationship Id="rId706" Type="http://schemas.openxmlformats.org/officeDocument/2006/relationships/hyperlink" Target="https://alpha.midjourney.com/jobs/06e001ac-4ecf-4823-94e1-8dd68d2b05b7?index=3" TargetMode="External"/><Relationship Id="rId948" Type="http://schemas.openxmlformats.org/officeDocument/2006/relationships/hyperlink" Target="https://alpha.midjourney.com/jobs/2db381e4-758b-4f94-bff1-1e032ad14d5b?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e224a083-95f6-49e2-8c7f-dadfbba98f31?index=2" TargetMode="External"/><Relationship Id="rId943" Type="http://schemas.openxmlformats.org/officeDocument/2006/relationships/hyperlink" Target="https://alpha.midjourney.com/jobs/0d76b2b2-77d8-47f8-94c1-6ed325d5a45a?index=1" TargetMode="External"/><Relationship Id="rId700" Type="http://schemas.openxmlformats.org/officeDocument/2006/relationships/hyperlink" Target="https://alpha.midjourney.com/jobs/7e524fb9-e723-4ade-b636-4fc0ba247ccf?index=3" TargetMode="External"/><Relationship Id="rId942" Type="http://schemas.openxmlformats.org/officeDocument/2006/relationships/hyperlink" Target="https://alpha.midjourney.com/jobs/309667e3-9709-4077-8563-7cf140bf1479?index=0" TargetMode="External"/><Relationship Id="rId941" Type="http://schemas.openxmlformats.org/officeDocument/2006/relationships/hyperlink" Target="https://alpha.midjourney.com/jobs/dd9ab03e-052b-4097-af6c-3b3cadeb1397?index=1" TargetMode="External"/><Relationship Id="rId940" Type="http://schemas.openxmlformats.org/officeDocument/2006/relationships/hyperlink" Target="https://alpha.midjourney.com/jobs/fb864f4a-d8ba-4e0f-b68d-ded3b127b150?index=0" TargetMode="External"/><Relationship Id="rId705" Type="http://schemas.openxmlformats.org/officeDocument/2006/relationships/hyperlink" Target="https://alpha.midjourney.com/jobs/94f65a34-356e-4cee-ac91-40001b561c9e?index=2" TargetMode="External"/><Relationship Id="rId947" Type="http://schemas.openxmlformats.org/officeDocument/2006/relationships/hyperlink" Target="https://alpha.midjourney.com/jobs/a890381a-6618-4bda-b41f-c17f3157a96a?index=3" TargetMode="External"/><Relationship Id="rId704" Type="http://schemas.openxmlformats.org/officeDocument/2006/relationships/hyperlink" Target="https://alpha.midjourney.com/jobs/94f65a34-356e-4cee-ac91-40001b561c9e?index=0" TargetMode="External"/><Relationship Id="rId946" Type="http://schemas.openxmlformats.org/officeDocument/2006/relationships/hyperlink" Target="https://alpha.midjourney.com/jobs/34694f1a-f509-4223-8b31-9c8aae8cdece?index=0" TargetMode="External"/><Relationship Id="rId703" Type="http://schemas.openxmlformats.org/officeDocument/2006/relationships/hyperlink" Target="https://alpha.midjourney.com/jobs/38f3775f-1bfe-4229-8836-86361ca30379?index=1" TargetMode="External"/><Relationship Id="rId945" Type="http://schemas.openxmlformats.org/officeDocument/2006/relationships/hyperlink" Target="https://alpha.midjourney.com/jobs/110f3bf6-8abd-466d-9916-d5f4531b5662?index=3" TargetMode="External"/><Relationship Id="rId702" Type="http://schemas.openxmlformats.org/officeDocument/2006/relationships/hyperlink" Target="https://alpha.midjourney.com/jobs/38f3775f-1bfe-4229-8836-86361ca30379?index=0" TargetMode="External"/><Relationship Id="rId944" Type="http://schemas.openxmlformats.org/officeDocument/2006/relationships/hyperlink" Target="https://alpha.midjourney.com/jobs/3b01ef46-8788-46d1-a60a-8dcc32182dd0?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e5d24bd7-3153-4f93-9be1-39048146a93a?index=0" TargetMode="External"/><Relationship Id="rId938" Type="http://schemas.openxmlformats.org/officeDocument/2006/relationships/hyperlink" Target="https://alpha.midjourney.com/jobs/e5d24bd7-3153-4f93-9be1-39048146a93a?index=3" TargetMode="External"/><Relationship Id="rId937" Type="http://schemas.openxmlformats.org/officeDocument/2006/relationships/hyperlink" Target="https://alpha.midjourney.com/jobs/ca7c1b3c-407d-4968-9845-22c5da6b23d6?index=3"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a4f5483b-90f7-46f6-bc64-e085ee1e6596?index=3" TargetMode="External"/><Relationship Id="rId931" Type="http://schemas.openxmlformats.org/officeDocument/2006/relationships/hyperlink" Target="https://alpha.midjourney.com/jobs/d3070d31-c754-4f1e-9f2f-1bad7c022915?index=1" TargetMode="External"/><Relationship Id="rId930" Type="http://schemas.openxmlformats.org/officeDocument/2006/relationships/hyperlink" Target="https://alpha.midjourney.com/jobs/d3070d31-c754-4f1e-9f2f-1bad7c022915?index=0" TargetMode="External"/><Relationship Id="rId936" Type="http://schemas.openxmlformats.org/officeDocument/2006/relationships/hyperlink" Target="https://alpha.midjourney.com/jobs/514b7e19-3768-488b-b1b3-299534fdd868?index=1" TargetMode="External"/><Relationship Id="rId935" Type="http://schemas.openxmlformats.org/officeDocument/2006/relationships/hyperlink" Target="https://alpha.midjourney.com/jobs/867462c8-0b6f-4afe-aed8-994b90c1f52b?index=2" TargetMode="External"/><Relationship Id="rId934" Type="http://schemas.openxmlformats.org/officeDocument/2006/relationships/hyperlink" Target="https://alpha.midjourney.com/jobs/dad687db-e456-490a-87b4-60ad739e2bf8?index=1" TargetMode="External"/><Relationship Id="rId933" Type="http://schemas.openxmlformats.org/officeDocument/2006/relationships/hyperlink" Target="https://alpha.midjourney.com/jobs/a64853ac-4caa-477d-aa22-c34fe259ce6b?index=0"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75af3cd1-ca14-49e1-b440-992c90605717?index=2" TargetMode="External"/><Relationship Id="rId728" Type="http://schemas.openxmlformats.org/officeDocument/2006/relationships/hyperlink" Target="https://alpha.midjourney.com/jobs/35fabae1-ed92-4f52-bfc3-0eabddefa806?index=0"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6ef972f4-5b88-4066-b833-be272e43328c?index=2" TargetMode="External"/><Relationship Id="rId965" Type="http://schemas.openxmlformats.org/officeDocument/2006/relationships/hyperlink" Target="https://alpha.midjourney.com/jobs/24ce409b-3cca-4f46-b0b5-66ffc95c749d?index=3" TargetMode="External"/><Relationship Id="rId722" Type="http://schemas.openxmlformats.org/officeDocument/2006/relationships/hyperlink" Target="https://alpha.midjourney.com/jobs/4a8a8406-1e05-4b13-a11d-73885cebdc89?index=1" TargetMode="External"/><Relationship Id="rId964" Type="http://schemas.openxmlformats.org/officeDocument/2006/relationships/hyperlink" Target="https://alpha.midjourney.com/jobs/da6f42e6-7d2f-4e50-a16d-27cd86a9ca49?index=0" TargetMode="External"/><Relationship Id="rId721" Type="http://schemas.openxmlformats.org/officeDocument/2006/relationships/hyperlink" Target="https://alpha.midjourney.com/jobs/a3057994-a1cb-4ea6-a496-3064fe982b59?index=1" TargetMode="External"/><Relationship Id="rId963" Type="http://schemas.openxmlformats.org/officeDocument/2006/relationships/hyperlink" Target="https://alpha.midjourney.com/jobs/bc9ec0a0-e702-442d-9d1b-4dd0b5218bc6?index=1" TargetMode="External"/><Relationship Id="rId720" Type="http://schemas.openxmlformats.org/officeDocument/2006/relationships/hyperlink" Target="https://alpha.midjourney.com/jobs/19cdbc49-22ba-49f0-a7bf-adcb3a185fc5?index=2" TargetMode="External"/><Relationship Id="rId962" Type="http://schemas.openxmlformats.org/officeDocument/2006/relationships/hyperlink" Target="https://alpha.midjourney.com/jobs/02156549-476b-4ac1-89d0-6b01a7fbac8a?index=1" TargetMode="External"/><Relationship Id="rId727" Type="http://schemas.openxmlformats.org/officeDocument/2006/relationships/hyperlink" Target="https://alpha.midjourney.com/jobs/c0215ff7-e632-4301-8717-be673fdf5103?index=2" TargetMode="External"/><Relationship Id="rId969" Type="http://schemas.openxmlformats.org/officeDocument/2006/relationships/hyperlink" Target="https://alpha.midjourney.com/jobs/9e7e3a54-7034-42ee-ac74-f645c0872798?index=0" TargetMode="External"/><Relationship Id="rId726" Type="http://schemas.openxmlformats.org/officeDocument/2006/relationships/hyperlink" Target="https://alpha.midjourney.com/jobs/51d5c956-0945-49dd-ac85-28c30aa2553b?index=2" TargetMode="External"/><Relationship Id="rId968" Type="http://schemas.openxmlformats.org/officeDocument/2006/relationships/hyperlink" Target="https://alpha.midjourney.com/jobs/0e43359b-9b3e-4c45-beaf-af7d4832e628?index=0" TargetMode="External"/><Relationship Id="rId725" Type="http://schemas.openxmlformats.org/officeDocument/2006/relationships/hyperlink" Target="https://alpha.midjourney.com/jobs/51d5c956-0945-49dd-ac85-28c30aa2553b?index=0" TargetMode="External"/><Relationship Id="rId967" Type="http://schemas.openxmlformats.org/officeDocument/2006/relationships/hyperlink" Target="https://alpha.midjourney.com/jobs/0e43359b-9b3e-4c45-beaf-af7d4832e628?index=1" TargetMode="External"/><Relationship Id="rId724" Type="http://schemas.openxmlformats.org/officeDocument/2006/relationships/hyperlink" Target="https://alpha.midjourney.com/jobs/f73346c9-033d-42e0-a7bc-51d4f0779a79?index=0" TargetMode="External"/><Relationship Id="rId966" Type="http://schemas.openxmlformats.org/officeDocument/2006/relationships/hyperlink" Target="https://alpha.midjourney.com/jobs/1ac0e8f7-151e-4422-8b8c-bf61ba5d1a53?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263933fc-4153-44f6-a3cf-efe1c103b9c2?index=1" TargetMode="External"/><Relationship Id="rId960" Type="http://schemas.openxmlformats.org/officeDocument/2006/relationships/hyperlink" Target="https://alpha.midjourney.com/jobs/c7659340-8595-49ab-87e8-84787ee78ffd?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77ddb1fb-6d27-41fd-91a0-1490b1e96fd3?index=3" TargetMode="External"/><Relationship Id="rId718" Type="http://schemas.openxmlformats.org/officeDocument/2006/relationships/hyperlink" Target="https://alpha.midjourney.com/jobs/01774065-3ddf-4645-876e-b5f914ba9dfc?index=2" TargetMode="External"/><Relationship Id="rId717" Type="http://schemas.openxmlformats.org/officeDocument/2006/relationships/hyperlink" Target="https://cdn.midjourney.com/390f696b-fedd-4bcb-a5fd-645c2721ca8a/0_0.png" TargetMode="External"/><Relationship Id="rId959" Type="http://schemas.openxmlformats.org/officeDocument/2006/relationships/hyperlink" Target="https://alpha.midjourney.com/jobs/c7659340-8595-49ab-87e8-84787ee78ffd?index=1" TargetMode="External"/><Relationship Id="rId712" Type="http://schemas.openxmlformats.org/officeDocument/2006/relationships/hyperlink" Target="https://alpha.midjourney.com/jobs/b463c1a6-da7b-45d1-b9df-9c0118388788?index=3" TargetMode="External"/><Relationship Id="rId954" Type="http://schemas.openxmlformats.org/officeDocument/2006/relationships/hyperlink" Target="https://alpha.midjourney.com/jobs/3f6cf86c-a20b-48ba-9764-e840f53833d3?index=0" TargetMode="External"/><Relationship Id="rId711" Type="http://schemas.openxmlformats.org/officeDocument/2006/relationships/hyperlink" Target="https://alpha.midjourney.com/jobs/e829a262-4a18-4388-8c7f-8584048fc4ff?index=3" TargetMode="External"/><Relationship Id="rId953" Type="http://schemas.openxmlformats.org/officeDocument/2006/relationships/hyperlink" Target="https://alpha.midjourney.com/jobs/5190a1dd-f7bf-4e00-b502-3218c8396f35?index=0" TargetMode="External"/><Relationship Id="rId710" Type="http://schemas.openxmlformats.org/officeDocument/2006/relationships/hyperlink" Target="https://alpha.midjourney.com/jobs/32bff669-6480-4e61-b3d7-5b296fbb3e86?index=1" TargetMode="External"/><Relationship Id="rId952" Type="http://schemas.openxmlformats.org/officeDocument/2006/relationships/hyperlink" Target="https://alpha.midjourney.com/jobs/b6b028b1-6920-4dde-9694-73d589c7969e?index=1" TargetMode="External"/><Relationship Id="rId951" Type="http://schemas.openxmlformats.org/officeDocument/2006/relationships/hyperlink" Target="https://alpha.midjourney.com/jobs/666593e0-327b-4a28-a708-e86e2598acb6?index=1" TargetMode="External"/><Relationship Id="rId716" Type="http://schemas.openxmlformats.org/officeDocument/2006/relationships/hyperlink" Target="https://alpha.midjourney.com/jobs/e97f4d7a-e262-4e9e-bfa0-b88b710a66ca?index=0" TargetMode="External"/><Relationship Id="rId958" Type="http://schemas.openxmlformats.org/officeDocument/2006/relationships/hyperlink" Target="https://alpha.midjourney.com/jobs/7c387667-9d92-4476-b7a5-b7af2603e1fe?index=2" TargetMode="External"/><Relationship Id="rId715" Type="http://schemas.openxmlformats.org/officeDocument/2006/relationships/hyperlink" Target="https://alpha.midjourney.com/jobs/2696929c-fc7b-4b25-80c4-4c05acd4cf0b?index=0" TargetMode="External"/><Relationship Id="rId957" Type="http://schemas.openxmlformats.org/officeDocument/2006/relationships/hyperlink" Target="https://alpha.midjourney.com/jobs/162dad93-4925-48c0-86fa-5df8ffd82b08?index=0" TargetMode="External"/><Relationship Id="rId714" Type="http://schemas.openxmlformats.org/officeDocument/2006/relationships/hyperlink" Target="https://alpha.midjourney.com/jobs/10744971-91da-4603-9a30-c882162ef0b7?index=1" TargetMode="External"/><Relationship Id="rId956" Type="http://schemas.openxmlformats.org/officeDocument/2006/relationships/hyperlink" Target="https://alpha.midjourney.com/jobs/4fcdd87d-908c-4ced-bfd5-4be94a5d1013?index=0" TargetMode="External"/><Relationship Id="rId713" Type="http://schemas.openxmlformats.org/officeDocument/2006/relationships/hyperlink" Target="https://alpha.midjourney.com/jobs/2df60f72-ae91-42ff-b736-7b07706da614?index=0" TargetMode="External"/><Relationship Id="rId955" Type="http://schemas.openxmlformats.org/officeDocument/2006/relationships/hyperlink" Target="https://alpha.midjourney.com/jobs/dd82c4f3-911b-4612-a06e-69d65ac6c951?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057d309d-d004-4fbb-85bf-9f9f1a066608?index=3" TargetMode="External"/><Relationship Id="rId590" Type="http://schemas.openxmlformats.org/officeDocument/2006/relationships/hyperlink" Target="https://alpha.midjourney.com/jobs/8cc237fc-a571-4903-b553-94f9efeddb14?index=2"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8cc237fc-a571-4903-b553-94f9efeddb14?index=1"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7de8364c-0f5a-4d7b-b841-1f453c148129?index=0"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058ca6a3-cba6-4255-a098-e15d86ecc1d3?index=3"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18828197-cdfc-419a-ae08-acae2277df70?index=0" TargetMode="External"/><Relationship Id="rId581" Type="http://schemas.openxmlformats.org/officeDocument/2006/relationships/hyperlink" Target="https://alpha.midjourney.com/jobs/18828197-cdfc-419a-ae08-acae2277df70?index=1" TargetMode="External"/><Relationship Id="rId580" Type="http://schemas.openxmlformats.org/officeDocument/2006/relationships/hyperlink" Target="https://alpha.midjourney.com/jobs/af6bbace-c1a5-4a89-859d-e260f362a5a4?index=2"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b2dbb6cd-e386-4a06-bf27-555adcb9d763?index=2"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ce889b3b-91f9-4ff2-add2-e60285c57b17?index=1"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1702a29f-fe1f-40f0-aeb3-2892a3f1c0bc?index=2"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a770b241-fcb3-4872-830b-d7c0ffd5ae73?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b4c3f4b0-05dc-4917-a882-3e522fb1d744?index=1"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4c3f4b0-05dc-4917-a882-3e522fb1d744?index=3"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aa227e04-65dd-48c2-abfd-6e6fa6008da2?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6a68bc3e-bd7f-4880-954d-ff357e0580c0?index=2" TargetMode="External"/><Relationship Id="rId571" Type="http://schemas.openxmlformats.org/officeDocument/2006/relationships/hyperlink" Target="https://alpha.midjourney.com/jobs/1896af7e-08b8-4744-8b7a-ffb98cf9d3de?index=1" TargetMode="External"/><Relationship Id="rId570" Type="http://schemas.openxmlformats.org/officeDocument/2006/relationships/hyperlink" Target="https://alpha.midjourney.com/jobs/c9d4bd01-17d8-4d2f-9739-b9d56ab0d774?index=0"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aa227e04-65dd-48c2-abfd-6e6fa6008da2?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eec2fb9-6cc5-4526-b1b2-63f80ac65f95?index=1"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7953e818-8128-4a30-b696-521dc3af66e0?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8300a565-8179-4b9c-9445-18cd11e30feb?index=2" TargetMode="External"/><Relationship Id="rId370" Type="http://schemas.openxmlformats.org/officeDocument/2006/relationships/hyperlink" Target="https://alpha.midjourney.com/jobs/adc32e83-6c11-4fea-aa3c-a9e40440b22b?index=2"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2713d2d8-5a8c-4b9f-af7c-dd8ed118c60f?index=2"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16150944-ed00-466a-95ad-d8a577ce77a6?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739a58d2-3c6f-4364-ab8f-ebafeec197d5?index=0"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3254d5f3-70c2-4778-9d74-447ca7154551?index=0" TargetMode="External"/><Relationship Id="rId361" Type="http://schemas.openxmlformats.org/officeDocument/2006/relationships/hyperlink" Target="https://alpha.midjourney.com/jobs/1b8a54a1-1648-471a-8773-d33323edfc6c?index=1" TargetMode="External"/><Relationship Id="rId360" Type="http://schemas.openxmlformats.org/officeDocument/2006/relationships/hyperlink" Target="https://alpha.midjourney.com/jobs/4b0ae33e-48b0-4a70-bfe7-b7fb1ce19584?index=1"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a170f085-c1ab-4b23-aea1-faf04144ff38?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f91ee4b3-b0aa-4bb2-9123-cfc51a3d7303?index=1"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f91ee4b3-b0aa-4bb2-9123-cfc51a3d7303?index=3"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739a58d2-3c6f-4364-ab8f-ebafeec197d5?index=3"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939e6242-52c0-48ac-b399-3e52fec2a04a?index=0"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beade48b-dfc3-4b0d-a7b3-e813a507b363?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e6884d89-a8ec-43ec-85a8-dcc30ca69669?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d8f42a0c-63c6-40cf-9275-6ffc2157f99f?index=1" TargetMode="External"/><Relationship Id="rId591" Type="http://schemas.openxmlformats.org/officeDocument/2006/relationships/hyperlink" Target="https://alpha.midjourney.com/jobs/1ba85f4c-e36a-405c-84dd-450c9b836a2a?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9782e556-bad6-4ad2-9833-8d831131a5eb?index=1"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5c6c381c-6392-4f21-a9e1-c5126a4d283d?index=2"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3a69abc9-4dbb-4de3-8916-1f75f4991dac?index=3"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aff786fd-7fc1-4a2d-9343-59060d86249f?index=0" TargetMode="External"/><Relationship Id="rId1136" Type="http://schemas.openxmlformats.org/officeDocument/2006/relationships/hyperlink" Target="https://alpha.midjourney.com/jobs/ca25e5d3-d262-4f14-9b5c-79a9a9086431?index=2" TargetMode="External"/><Relationship Id="rId1137" Type="http://schemas.openxmlformats.org/officeDocument/2006/relationships/hyperlink" Target="https://alpha.midjourney.com/jobs/ec5ac332-b6b1-4b86-8b06-ac7403f17f1b?index=3" TargetMode="External"/><Relationship Id="rId1138" Type="http://schemas.openxmlformats.org/officeDocument/2006/relationships/hyperlink" Target="https://alpha.midjourney.com/jobs/ec5ac332-b6b1-4b86-8b06-ac7403f17f1b?index=1" TargetMode="External"/><Relationship Id="rId1139" Type="http://schemas.openxmlformats.org/officeDocument/2006/relationships/hyperlink" Target="https://alpha.midjourney.com/jobs/0910dc1c-1abc-4850-9805-126bdbab7799?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ffb1e104-375b-4f63-8128-521e20f32108?index=3" TargetMode="External"/><Relationship Id="rId789" Type="http://schemas.openxmlformats.org/officeDocument/2006/relationships/hyperlink" Target="https://alpha.midjourney.com/jobs/a5c44eb7-da14-41f3-9224-3efecd944123?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60b4cdd1-0eb4-42fa-9e84-240b001d2af7?index=1" TargetMode="External"/><Relationship Id="rId788" Type="http://schemas.openxmlformats.org/officeDocument/2006/relationships/hyperlink" Target="https://alpha.midjourney.com/jobs/0fb05a95-0a81-4b72-945d-5c058c4700f5?index=1"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14c4af69-8e71-4174-ab81-7b2daa2c165f?index=3" TargetMode="External"/><Relationship Id="rId787" Type="http://schemas.openxmlformats.org/officeDocument/2006/relationships/hyperlink" Target="https://alpha.midjourney.com/jobs/5af8b654-da9f-4dd4-a0df-9904431dd0aa?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c05760f1-f3cd-41ec-8511-d7268f2ece64?index=2" TargetMode="External"/><Relationship Id="rId786" Type="http://schemas.openxmlformats.org/officeDocument/2006/relationships/hyperlink" Target="https://alpha.midjourney.com/jobs/5af8b654-da9f-4dd4-a0df-9904431dd0aa?index=2"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cd68eca5-b2a0-4c1c-8754-be10ef5594c4?index=0"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cd68eca5-b2a0-4c1c-8754-be10ef5594c4?index=2" TargetMode="External"/><Relationship Id="rId781" Type="http://schemas.openxmlformats.org/officeDocument/2006/relationships/hyperlink" Target="https://alpha.midjourney.com/jobs/d7107579-6d7c-4f5d-9453-a4c93ecba7ba?index=1" TargetMode="External"/><Relationship Id="rId780" Type="http://schemas.openxmlformats.org/officeDocument/2006/relationships/hyperlink" Target="https://alpha.midjourney.com/jobs/9bc47bf6-4360-4c92-a9f6-de43a34d4321?index=2" TargetMode="External"/><Relationship Id="rId1130" Type="http://schemas.openxmlformats.org/officeDocument/2006/relationships/hyperlink" Target="https://alpha.midjourney.com/jobs/cda9e665-f4f8-47ac-8a96-6bb29eb7cff1?index=0" TargetMode="External"/><Relationship Id="rId1131" Type="http://schemas.openxmlformats.org/officeDocument/2006/relationships/hyperlink" Target="https://alpha.midjourney.com/jobs/cda9e665-f4f8-47ac-8a96-6bb29eb7cff1?index=2"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c05760f1-f3cd-41ec-8511-d7268f2ece64?index=0" TargetMode="External"/><Relationship Id="rId785" Type="http://schemas.openxmlformats.org/officeDocument/2006/relationships/hyperlink" Target="https://alpha.midjourney.com/jobs/0be0113f-6c45-41fa-b908-b4fb6dafd0af?index=1" TargetMode="External"/><Relationship Id="rId1132" Type="http://schemas.openxmlformats.org/officeDocument/2006/relationships/hyperlink" Target="https://alpha.midjourney.com/jobs/050c77d2-5182-4382-b5bc-db641bf5cec5?index=2"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c05760f1-f3cd-41ec-8511-d7268f2ece64?index=3" TargetMode="External"/><Relationship Id="rId784" Type="http://schemas.openxmlformats.org/officeDocument/2006/relationships/hyperlink" Target="https://alpha.midjourney.com/jobs/eead3c4e-a8ac-4276-8742-a41f4a027d95?index=1" TargetMode="External"/><Relationship Id="rId1133" Type="http://schemas.openxmlformats.org/officeDocument/2006/relationships/hyperlink" Target="https://alpha.midjourney.com/jobs/9c28fb54-8e94-4d81-8f7f-af5a9d185ca2?index=2" TargetMode="External"/><Relationship Id="rId541" Type="http://schemas.openxmlformats.org/officeDocument/2006/relationships/hyperlink" Target="https://alpha.midjourney.com/jobs/f73f0149-0f46-4732-a763-e53b93a1af4c?index=2" TargetMode="External"/><Relationship Id="rId783" Type="http://schemas.openxmlformats.org/officeDocument/2006/relationships/hyperlink" Target="https://alpha.midjourney.com/jobs/b6937e53-11e4-443e-81dd-10370da6f07f?index=2" TargetMode="External"/><Relationship Id="rId1134" Type="http://schemas.openxmlformats.org/officeDocument/2006/relationships/hyperlink" Target="https://alpha.midjourney.com/jobs/d18a97fb-acf3-40be-b0ea-1d03a5d4f718?index=0" TargetMode="External"/><Relationship Id="rId540" Type="http://schemas.openxmlformats.org/officeDocument/2006/relationships/hyperlink" Target="https://alpha.midjourney.com/jobs/4ff343f0-4546-4f8f-bb97-7214850f4953?index=3" TargetMode="External"/><Relationship Id="rId782" Type="http://schemas.openxmlformats.org/officeDocument/2006/relationships/hyperlink" Target="https://alpha.midjourney.com/jobs/d7107579-6d7c-4f5d-9453-a4c93ecba7ba?index=2" TargetMode="External"/><Relationship Id="rId1135" Type="http://schemas.openxmlformats.org/officeDocument/2006/relationships/hyperlink" Target="https://alpha.midjourney.com/jobs/e39d57f2-0251-4a7d-83b3-fbf31cdf863d?index=1" TargetMode="External"/><Relationship Id="rId1125" Type="http://schemas.openxmlformats.org/officeDocument/2006/relationships/hyperlink" Target="https://alpha.midjourney.com/jobs/1e429c2b-5a05-49ab-9489-c12018649b91?index=3" TargetMode="External"/><Relationship Id="rId1126" Type="http://schemas.openxmlformats.org/officeDocument/2006/relationships/hyperlink" Target="https://alpha.midjourney.com/jobs/73e183ab-cd8f-4e66-b328-a4226a72e32b?index=1" TargetMode="External"/><Relationship Id="rId1127" Type="http://schemas.openxmlformats.org/officeDocument/2006/relationships/hyperlink" Target="https://alpha.midjourney.com/jobs/93428f42-6dac-49ed-8e69-43a69015a590?index=0" TargetMode="External"/><Relationship Id="rId1128" Type="http://schemas.openxmlformats.org/officeDocument/2006/relationships/hyperlink" Target="https://alpha.midjourney.com/jobs/62caf3af-4107-40ab-861f-b8b9f3da8602?index=2" TargetMode="External"/><Relationship Id="rId1129" Type="http://schemas.openxmlformats.org/officeDocument/2006/relationships/hyperlink" Target="https://alpha.midjourney.com/jobs/9f44ec3c-8312-484b-bc3f-b055f211334b?index=1" TargetMode="External"/><Relationship Id="rId536" Type="http://schemas.openxmlformats.org/officeDocument/2006/relationships/hyperlink" Target="https://alpha.midjourney.com/jobs/54b00b16-65a7-4baa-b8e3-37fd71f85d8f?index=3" TargetMode="External"/><Relationship Id="rId778" Type="http://schemas.openxmlformats.org/officeDocument/2006/relationships/hyperlink" Target="https://alpha.midjourney.com/jobs/c3087eef-7469-4826-9f20-8b251ac86aad?index=2" TargetMode="External"/><Relationship Id="rId535" Type="http://schemas.openxmlformats.org/officeDocument/2006/relationships/hyperlink" Target="https://alpha.midjourney.com/jobs/fdf1b8f9-ccc0-4aaa-8191-4fab233512d4?index=0" TargetMode="External"/><Relationship Id="rId777" Type="http://schemas.openxmlformats.org/officeDocument/2006/relationships/hyperlink" Target="https://alpha.midjourney.com/jobs/5716ac68-4e00-4b29-9696-033a3bf329f0?index=0" TargetMode="External"/><Relationship Id="rId534" Type="http://schemas.openxmlformats.org/officeDocument/2006/relationships/hyperlink" Target="https://alpha.midjourney.com/jobs/8d1657bf-8d7f-4836-b474-5c1cff1916c0?index=2" TargetMode="External"/><Relationship Id="rId776" Type="http://schemas.openxmlformats.org/officeDocument/2006/relationships/hyperlink" Target="https://alpha.midjourney.com/jobs/1aa17e4b-0cfc-4e1a-8aba-d422bd1262f8?index=3" TargetMode="External"/><Relationship Id="rId533" Type="http://schemas.openxmlformats.org/officeDocument/2006/relationships/hyperlink" Target="https://alpha.midjourney.com/jobs/1c7bdaca-4cf8-4915-ae8e-aacfc7c209d2?index=3" TargetMode="External"/><Relationship Id="rId775" Type="http://schemas.openxmlformats.org/officeDocument/2006/relationships/hyperlink" Target="https://alpha.midjourney.com/jobs/78b50fc7-c88b-4266-af01-f6310f7c66b6?index=1" TargetMode="External"/><Relationship Id="rId539" Type="http://schemas.openxmlformats.org/officeDocument/2006/relationships/hyperlink" Target="https://alpha.midjourney.com/jobs/4ff343f0-4546-4f8f-bb97-7214850f4953?index=1" TargetMode="External"/><Relationship Id="rId538" Type="http://schemas.openxmlformats.org/officeDocument/2006/relationships/hyperlink" Target="https://alpha.midjourney.com/jobs/81588d14-ce8b-416b-ab7d-351ff14b045b?index=1" TargetMode="External"/><Relationship Id="rId537" Type="http://schemas.openxmlformats.org/officeDocument/2006/relationships/hyperlink" Target="https://alpha.midjourney.com/jobs/a70a1341-a55b-41e0-af0e-c975f47bf9b4?index=0" TargetMode="External"/><Relationship Id="rId779" Type="http://schemas.openxmlformats.org/officeDocument/2006/relationships/hyperlink" Target="https://alpha.midjourney.com/jobs/0c710866-fc1d-4c12-b44c-e13a1ae37407?index=1" TargetMode="External"/><Relationship Id="rId770" Type="http://schemas.openxmlformats.org/officeDocument/2006/relationships/hyperlink" Target="https://alpha.midjourney.com/jobs/4163fbff-fc6e-4102-a952-85b519a3d421?index=2" TargetMode="External"/><Relationship Id="rId1120" Type="http://schemas.openxmlformats.org/officeDocument/2006/relationships/hyperlink" Target="https://alpha.midjourney.com/jobs/ead00509-22e1-4300-a2f5-37e68b0be839?index=1" TargetMode="External"/><Relationship Id="rId532" Type="http://schemas.openxmlformats.org/officeDocument/2006/relationships/hyperlink" Target="https://alpha.midjourney.com/jobs/cb3ef15b-833e-4f93-9735-f5e82d3fc66a?index=0" TargetMode="External"/><Relationship Id="rId774" Type="http://schemas.openxmlformats.org/officeDocument/2006/relationships/hyperlink" Target="https://alpha.midjourney.com/jobs/3b4089d0-bf4d-4a94-bb35-c0b4906f1216?index=0" TargetMode="External"/><Relationship Id="rId1121" Type="http://schemas.openxmlformats.org/officeDocument/2006/relationships/hyperlink" Target="https://alpha.midjourney.com/jobs/46a0753e-b7f5-4268-a101-deb73939d6be?index=2" TargetMode="External"/><Relationship Id="rId531" Type="http://schemas.openxmlformats.org/officeDocument/2006/relationships/hyperlink" Target="https://alpha.midjourney.com/jobs/284a6f4c-c46f-4a01-9341-585d947f44bd?index=1" TargetMode="External"/><Relationship Id="rId773" Type="http://schemas.openxmlformats.org/officeDocument/2006/relationships/hyperlink" Target="https://alpha.midjourney.com/jobs/5a15d0ed-7e2b-4bc5-843e-bf70a3693e5e?index=0" TargetMode="External"/><Relationship Id="rId1122" Type="http://schemas.openxmlformats.org/officeDocument/2006/relationships/hyperlink" Target="https://alpha.midjourney.com/jobs/ead00509-22e1-4300-a2f5-37e68b0be839?index=0" TargetMode="External"/><Relationship Id="rId530" Type="http://schemas.openxmlformats.org/officeDocument/2006/relationships/hyperlink" Target="https://alpha.midjourney.com/jobs/b950d7fe-0373-44bc-876b-60878bbaa0ab?index=1" TargetMode="External"/><Relationship Id="rId772" Type="http://schemas.openxmlformats.org/officeDocument/2006/relationships/hyperlink" Target="https://alpha.midjourney.com/jobs/92a991cd-e307-4753-906a-519a0c62105d?index=3" TargetMode="External"/><Relationship Id="rId1123" Type="http://schemas.openxmlformats.org/officeDocument/2006/relationships/hyperlink" Target="https://alpha.midjourney.com/jobs/b66028ef-5e3a-4038-a5ee-304d9808015f?index=2" TargetMode="External"/><Relationship Id="rId771" Type="http://schemas.openxmlformats.org/officeDocument/2006/relationships/hyperlink" Target="https://alpha.midjourney.com/jobs/5a15d0ed-7e2b-4bc5-843e-bf70a3693e5e?index=1" TargetMode="External"/><Relationship Id="rId1124" Type="http://schemas.openxmlformats.org/officeDocument/2006/relationships/hyperlink" Target="https://alpha.midjourney.com/jobs/1f413697-4aa9-4268-8632-34cae7b439c3?index=3"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c9d4bd01-17d8-4d2f-9739-b9d56ab0d774?index=2"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4472fa6e-c6fb-4157-b854-c8e1d2b42995?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cad89887-2107-4a4a-a838-1f9e91e99c08?index=0"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cad89887-2107-4a4a-a838-1f9e91e99c08?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d0e2890-33fe-48d4-b23e-7e57b1b55461?index=2" TargetMode="External"/><Relationship Id="rId560" Type="http://schemas.openxmlformats.org/officeDocument/2006/relationships/hyperlink" Target="https://alpha.midjourney.com/jobs/c4613f86-a57d-47d7-a262-96719837ce9c?index=1"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18914ea-b88b-4850-b270-9a974e0f9c38?index=3"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a7bc418c-0990-4a3f-bc7d-3afbdf436f51?index=3"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f7f3688f-3853-44d1-bca6-d995d6876cc0?index=3"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1c4b3aa0-24ce-4b0d-932d-a4ef2357ffd3?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7f3fc151-552c-4fdc-8562-e0fb8c45fd4e?index=1"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f49f8020-8320-4fdc-ae76-8030c07ee2b5?index=0" TargetMode="External"/><Relationship Id="rId799" Type="http://schemas.openxmlformats.org/officeDocument/2006/relationships/hyperlink" Target="https://alpha.midjourney.com/jobs/fe82b490-d8d5-4266-9483-e5e6cc7fed0b?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f1e95a77-2ca1-473a-a951-6d24ac381780?index=1" TargetMode="External"/><Relationship Id="rId798" Type="http://schemas.openxmlformats.org/officeDocument/2006/relationships/hyperlink" Target="https://alpha.midjourney.com/jobs/4fdf6f46-9093-45c4-9cce-693164456f42?index=2"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f1e95a77-2ca1-473a-a951-6d24ac381780?index=0" TargetMode="External"/><Relationship Id="rId797" Type="http://schemas.openxmlformats.org/officeDocument/2006/relationships/hyperlink" Target="https://alpha.midjourney.com/jobs/9bc62077-e455-483f-9165-0f69014631da?index=1"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2d0e2890-33fe-48d4-b23e-7e57b1b55461?index=3" TargetMode="External"/><Relationship Id="rId550" Type="http://schemas.openxmlformats.org/officeDocument/2006/relationships/hyperlink" Target="https://alpha.midjourney.com/jobs/2627db62-ac7f-48d3-8657-931ef0586217?index=0" TargetMode="External"/><Relationship Id="rId792" Type="http://schemas.openxmlformats.org/officeDocument/2006/relationships/hyperlink" Target="https://alpha.midjourney.com/jobs/1cfc858c-6584-4a4c-851f-996f2b733b93?index=2" TargetMode="External"/><Relationship Id="rId791" Type="http://schemas.openxmlformats.org/officeDocument/2006/relationships/hyperlink" Target="https://alpha.midjourney.com/jobs/40745ea9-ba83-47ff-bca6-6735764dd00a?index=1" TargetMode="External"/><Relationship Id="rId1140" Type="http://schemas.openxmlformats.org/officeDocument/2006/relationships/hyperlink" Target="https://alpha.midjourney.com/jobs/e44b464d-8fb8-4785-b44d-30862c9b331d?index=0" TargetMode="External"/><Relationship Id="rId790" Type="http://schemas.openxmlformats.org/officeDocument/2006/relationships/hyperlink" Target="https://alpha.midjourney.com/jobs/9e8e75e3-f444-4abc-a658-3223aea1bd47?index=3" TargetMode="External"/><Relationship Id="rId1141" Type="http://schemas.openxmlformats.org/officeDocument/2006/relationships/drawing" Target="../drawings/drawing1.xm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71ad0300-4ba1-428b-8822-b9eb4533ed5b?index=2" TargetMode="External"/><Relationship Id="rId796" Type="http://schemas.openxmlformats.org/officeDocument/2006/relationships/hyperlink" Target="https://alpha.midjourney.com/jobs/2306b48b-d456-4855-b8c7-c47b3ff07136?index=0"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0e512ffb-8345-4946-84e7-5131a9bbf7ae?index=0" TargetMode="External"/><Relationship Id="rId795" Type="http://schemas.openxmlformats.org/officeDocument/2006/relationships/hyperlink" Target="https://alpha.midjourney.com/jobs/7bcd0fa6-fe66-4b08-9ad7-979d61cc9e92?index=3"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0e512ffb-8345-4946-84e7-5131a9bbf7ae?index=2" TargetMode="External"/><Relationship Id="rId794" Type="http://schemas.openxmlformats.org/officeDocument/2006/relationships/hyperlink" Target="https://alpha.midjourney.com/jobs/247d054f-e364-4ce1-b670-1b47270f9559?index=0" TargetMode="External"/><Relationship Id="rId551" Type="http://schemas.openxmlformats.org/officeDocument/2006/relationships/hyperlink" Target="https://alpha.midjourney.com/jobs/9978fdf6-d358-4abc-9d71-d32a8d78e40a?index=1" TargetMode="External"/><Relationship Id="rId793" Type="http://schemas.openxmlformats.org/officeDocument/2006/relationships/hyperlink" Target="https://alpha.midjourney.com/jobs/d3af5807-e0fe-4edb-b5aa-14e19625ff05?index=0"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7f88d60-31a2-4dbc-a2ac-7dd5f12faad2?index=1"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de56e6d6-8aad-4bd2-87f9-f0c5f1ec9d8d?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21d93227-da2e-4a58-8af8-8d84f202d465?index=1"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66f83bd6-353d-4924-b469-c22fdaf65162?index=2"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e4ab81e9-3fd7-4319-9c94-67577b4742fc?index=1"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721910bd-16ac-4a72-aa68-a72421d90c86?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59597b80-8b3f-4d4b-806c-dcf5365bda0f?index=2"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2148c090-768e-48c9-837a-fed7af76f1c3?index=1"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bcecf6af-d421-4426-b939-1bfe1135a3af?index=0" TargetMode="External"/><Relationship Id="rId906" Type="http://schemas.openxmlformats.org/officeDocument/2006/relationships/hyperlink" Target="https://alpha.midjourney.com/jobs/0d47aacf-f872-453a-9e76-46be5b8c0d58?index=0" TargetMode="External"/><Relationship Id="rId905" Type="http://schemas.openxmlformats.org/officeDocument/2006/relationships/hyperlink" Target="https://alpha.midjourney.com/jobs/ffedd623-bb69-4d4e-90ef-c4df4720e9e1?index=2" TargetMode="External"/><Relationship Id="rId904" Type="http://schemas.openxmlformats.org/officeDocument/2006/relationships/hyperlink" Target="https://alpha.midjourney.com/jobs/fb648043-749a-4606-a195-bdadd5ff8f55?index=2" TargetMode="External"/><Relationship Id="rId909" Type="http://schemas.openxmlformats.org/officeDocument/2006/relationships/hyperlink" Target="https://alpha.midjourney.com/jobs/35991119-7ba6-4c24-a87b-b4c394a58d6d?index=3" TargetMode="External"/><Relationship Id="rId908" Type="http://schemas.openxmlformats.org/officeDocument/2006/relationships/hyperlink" Target="https://alpha.midjourney.com/jobs/15bb684b-3f7f-4bfb-aa19-82f80bb37242?index=1" TargetMode="External"/><Relationship Id="rId903" Type="http://schemas.openxmlformats.org/officeDocument/2006/relationships/hyperlink" Target="https://alpha.midjourney.com/jobs/e0288bb4-ece3-44b8-bcd6-0c2118d6102b?index=0" TargetMode="External"/><Relationship Id="rId902" Type="http://schemas.openxmlformats.org/officeDocument/2006/relationships/hyperlink" Target="https://alpha.midjourney.com/jobs/3d3fd5da-11ee-4372-bd75-6ea0bc00cd4c?index=0" TargetMode="External"/><Relationship Id="rId901" Type="http://schemas.openxmlformats.org/officeDocument/2006/relationships/hyperlink" Target="https://alpha.midjourney.com/jobs/3c61384c-db9d-4a99-8274-8f5b7feac1b0?index=0" TargetMode="External"/><Relationship Id="rId900" Type="http://schemas.openxmlformats.org/officeDocument/2006/relationships/hyperlink" Target="https://alpha.midjourney.com/jobs/4e465558-f513-40cf-a15c-ba4a014ce281?index=3" TargetMode="External"/><Relationship Id="rId929" Type="http://schemas.openxmlformats.org/officeDocument/2006/relationships/hyperlink" Target="https://alpha.midjourney.com/jobs/2aebadfc-1d60-4971-b4bd-5779b594ffd6?index=0" TargetMode="External"/><Relationship Id="rId928" Type="http://schemas.openxmlformats.org/officeDocument/2006/relationships/hyperlink" Target="https://alpha.midjourney.com/jobs/709b734e-8221-4b6d-b1fb-b9e994d589d4?index=0" TargetMode="External"/><Relationship Id="rId927" Type="http://schemas.openxmlformats.org/officeDocument/2006/relationships/hyperlink" Target="https://alpha.midjourney.com/jobs/cf5bb8f9-3338-42bc-a9f9-824999736b41?index=0" TargetMode="External"/><Relationship Id="rId926" Type="http://schemas.openxmlformats.org/officeDocument/2006/relationships/hyperlink" Target="https://alpha.midjourney.com/jobs/de5ce549-89c5-48e7-83b2-5870c54d6d0e?index=1" TargetMode="External"/><Relationship Id="rId921" Type="http://schemas.openxmlformats.org/officeDocument/2006/relationships/hyperlink" Target="https://alpha.midjourney.com/jobs/7399c7ff-7b42-4f82-a81d-f40c09646558?index=2" TargetMode="External"/><Relationship Id="rId920" Type="http://schemas.openxmlformats.org/officeDocument/2006/relationships/hyperlink" Target="https://alpha.midjourney.com/jobs/6894b85d-6620-4799-bd20-6a1db9f5d56b?index=0" TargetMode="External"/><Relationship Id="rId925" Type="http://schemas.openxmlformats.org/officeDocument/2006/relationships/hyperlink" Target="https://alpha.midjourney.com/jobs/3f31c4b0-cd07-4900-b285-a14fc0073944?index=1" TargetMode="External"/><Relationship Id="rId924" Type="http://schemas.openxmlformats.org/officeDocument/2006/relationships/hyperlink" Target="https://alpha.midjourney.com/jobs/0a3720ad-bd7d-4920-bffe-856f1df5a6ad?index=0" TargetMode="External"/><Relationship Id="rId923" Type="http://schemas.openxmlformats.org/officeDocument/2006/relationships/hyperlink" Target="https://alpha.midjourney.com/jobs/da00e795-3e18-435b-bbb9-d314cdcd60b5?index=0" TargetMode="External"/><Relationship Id="rId922" Type="http://schemas.openxmlformats.org/officeDocument/2006/relationships/hyperlink" Target="https://alpha.midjourney.com/jobs/8f2c630d-33f3-44ba-a0de-e0043f8bb6e0?index=2" TargetMode="External"/><Relationship Id="rId918" Type="http://schemas.openxmlformats.org/officeDocument/2006/relationships/hyperlink" Target="https://alpha.midjourney.com/jobs/856a4fea-b06a-4a94-ae05-d75327bd229b?index=0" TargetMode="External"/><Relationship Id="rId917" Type="http://schemas.openxmlformats.org/officeDocument/2006/relationships/hyperlink" Target="https://alpha.midjourney.com/jobs/ba4f164a-c100-4819-bb38-bd2d0592e0fb?index=3" TargetMode="External"/><Relationship Id="rId916" Type="http://schemas.openxmlformats.org/officeDocument/2006/relationships/hyperlink" Target="https://alpha.midjourney.com/jobs/041b2be6-66f8-4c8d-beda-7ee71ef53cd8?index=2" TargetMode="External"/><Relationship Id="rId915" Type="http://schemas.openxmlformats.org/officeDocument/2006/relationships/hyperlink" Target="https://alpha.midjourney.com/jobs/cf39914b-09eb-4de3-b6fb-186dec55d252?index=2" TargetMode="External"/><Relationship Id="rId919" Type="http://schemas.openxmlformats.org/officeDocument/2006/relationships/hyperlink" Target="https://alpha.midjourney.com/jobs/6894b85d-6620-4799-bd20-6a1db9f5d56b?index=2" TargetMode="External"/><Relationship Id="rId910" Type="http://schemas.openxmlformats.org/officeDocument/2006/relationships/hyperlink" Target="https://alpha.midjourney.com/jobs/5e80afa2-0581-4114-aa65-25b6c2551688?index=1" TargetMode="External"/><Relationship Id="rId914" Type="http://schemas.openxmlformats.org/officeDocument/2006/relationships/hyperlink" Target="https://alpha.midjourney.com/jobs/1290b799-7274-4730-b0f9-d40fe763a9a3?index=1" TargetMode="External"/><Relationship Id="rId913" Type="http://schemas.openxmlformats.org/officeDocument/2006/relationships/hyperlink" Target="https://alpha.midjourney.com/jobs/60321d02-a28d-47f0-8642-d42f9b49fac5?index=0" TargetMode="External"/><Relationship Id="rId912" Type="http://schemas.openxmlformats.org/officeDocument/2006/relationships/hyperlink" Target="https://alpha.midjourney.com/jobs/42eced4e-b70a-454f-9e59-b34c026f6853?index=3" TargetMode="External"/><Relationship Id="rId911" Type="http://schemas.openxmlformats.org/officeDocument/2006/relationships/hyperlink" Target="https://alpha.midjourney.com/jobs/488941f3-bc56-4cb1-9719-d15323861de6?index=2" TargetMode="External"/><Relationship Id="rId629" Type="http://schemas.openxmlformats.org/officeDocument/2006/relationships/hyperlink" Target="https://alpha.midjourney.com/jobs/51236e4b-aa09-40de-ae37-9c9b9cd7e7e5?index=2" TargetMode="External"/><Relationship Id="rId624" Type="http://schemas.openxmlformats.org/officeDocument/2006/relationships/hyperlink" Target="https://alpha.midjourney.com/jobs/aee22cf0-e1c9-45a5-a846-dba786d16a8c?index=2" TargetMode="External"/><Relationship Id="rId866" Type="http://schemas.openxmlformats.org/officeDocument/2006/relationships/hyperlink" Target="https://alpha.midjourney.com/jobs/cdf9f2d4-9c5b-4463-889d-566fda0c3ba0?index=0" TargetMode="External"/><Relationship Id="rId623" Type="http://schemas.openxmlformats.org/officeDocument/2006/relationships/hyperlink" Target="https://alpha.midjourney.com/jobs/ca45b97d-ac28-459d-8fb9-5efff2a635e4?index=1" TargetMode="External"/><Relationship Id="rId865" Type="http://schemas.openxmlformats.org/officeDocument/2006/relationships/hyperlink" Target="https://alpha.midjourney.com/jobs/c5875f38-8c50-454f-8f24-5ca55ca271c4?index=1" TargetMode="External"/><Relationship Id="rId622" Type="http://schemas.openxmlformats.org/officeDocument/2006/relationships/hyperlink" Target="https://alpha.midjourney.com/jobs/ca45b97d-ac28-459d-8fb9-5efff2a635e4?index=0" TargetMode="External"/><Relationship Id="rId864" Type="http://schemas.openxmlformats.org/officeDocument/2006/relationships/hyperlink" Target="https://alpha.midjourney.com/jobs/df435127-4535-4681-b89b-eec4ffa529c7?index=0" TargetMode="External"/><Relationship Id="rId621" Type="http://schemas.openxmlformats.org/officeDocument/2006/relationships/hyperlink" Target="https://alpha.midjourney.com/jobs/f708086f-145d-4ad0-9476-e5c3de78f661?index=3" TargetMode="External"/><Relationship Id="rId863" Type="http://schemas.openxmlformats.org/officeDocument/2006/relationships/hyperlink" Target="https://alpha.midjourney.com/jobs/d88283a5-5792-42c5-aec4-2d68e2006546?index=0" TargetMode="External"/><Relationship Id="rId628" Type="http://schemas.openxmlformats.org/officeDocument/2006/relationships/hyperlink" Target="https://alpha.midjourney.com/jobs/6aaaa00b-e42b-42c5-ba0e-45f3ec7aae7e?index=1" TargetMode="External"/><Relationship Id="rId627" Type="http://schemas.openxmlformats.org/officeDocument/2006/relationships/hyperlink" Target="https://alpha.midjourney.com/jobs/6aaaa00b-e42b-42c5-ba0e-45f3ec7aae7e?index=2" TargetMode="External"/><Relationship Id="rId869" Type="http://schemas.openxmlformats.org/officeDocument/2006/relationships/hyperlink" Target="https://alpha.midjourney.com/jobs/4935ac9c-8ab4-4c9d-957a-10586754da6a?index=3" TargetMode="External"/><Relationship Id="rId626" Type="http://schemas.openxmlformats.org/officeDocument/2006/relationships/hyperlink" Target="https://alpha.midjourney.com/jobs/6449d263-572c-48fd-abea-49b336ed533e?index=0" TargetMode="External"/><Relationship Id="rId868" Type="http://schemas.openxmlformats.org/officeDocument/2006/relationships/hyperlink" Target="https://alpha.midjourney.com/jobs/d65799d4-2b4c-4a67-b3db-92ab18625712?index=1" TargetMode="External"/><Relationship Id="rId625" Type="http://schemas.openxmlformats.org/officeDocument/2006/relationships/hyperlink" Target="https://alpha.midjourney.com/jobs/80b0da3a-75e9-4521-9a8a-d80a02376aef?index=3" TargetMode="External"/><Relationship Id="rId867" Type="http://schemas.openxmlformats.org/officeDocument/2006/relationships/hyperlink" Target="https://alpha.midjourney.com/jobs/88105867-8090-4172-bfce-1b89be7bbf4d?index=3" TargetMode="External"/><Relationship Id="rId620" Type="http://schemas.openxmlformats.org/officeDocument/2006/relationships/hyperlink" Target="https://alpha.midjourney.com/jobs/32c69796-a1fc-4d40-86e1-8b215a05bb23?index=0" TargetMode="External"/><Relationship Id="rId862" Type="http://schemas.openxmlformats.org/officeDocument/2006/relationships/hyperlink" Target="https://alpha.midjourney.com/jobs/80a1b34c-eee4-4dc4-b941-3a15ce682d1a?index=2" TargetMode="External"/><Relationship Id="rId861" Type="http://schemas.openxmlformats.org/officeDocument/2006/relationships/hyperlink" Target="https://alpha.midjourney.com/jobs/2f33e1b3-2e0e-4026-a457-bf83bf9f691d?index=0" TargetMode="External"/><Relationship Id="rId860" Type="http://schemas.openxmlformats.org/officeDocument/2006/relationships/hyperlink" Target="https://alpha.midjourney.com/jobs/50c1849f-5f11-4883-935d-7b2180147df1?index=3" TargetMode="External"/><Relationship Id="rId619" Type="http://schemas.openxmlformats.org/officeDocument/2006/relationships/hyperlink" Target="https://alpha.midjourney.com/jobs/b1a05e1b-d3e7-4c3b-8a21-e208cfcab472?index=0" TargetMode="External"/><Relationship Id="rId618" Type="http://schemas.openxmlformats.org/officeDocument/2006/relationships/hyperlink" Target="https://alpha.midjourney.com/jobs/d04ef1e9-013f-4c58-8d1d-7d6410f55644?index=3" TargetMode="External"/><Relationship Id="rId613" Type="http://schemas.openxmlformats.org/officeDocument/2006/relationships/hyperlink" Target="https://alpha.midjourney.com/jobs/1b7457f5-ab2d-4751-b1f3-3957be5a28c2?index=2" TargetMode="External"/><Relationship Id="rId855" Type="http://schemas.openxmlformats.org/officeDocument/2006/relationships/hyperlink" Target="https://alpha.midjourney.com/jobs/b08502a5-5aca-438a-94dd-8131f6449d0f?index=0" TargetMode="External"/><Relationship Id="rId612" Type="http://schemas.openxmlformats.org/officeDocument/2006/relationships/hyperlink" Target="https://alpha.midjourney.com/jobs/2a3b4bb4-107d-4a0e-82e5-32c1dc607528?index=0" TargetMode="External"/><Relationship Id="rId854" Type="http://schemas.openxmlformats.org/officeDocument/2006/relationships/hyperlink" Target="https://alpha.midjourney.com/jobs/68756729-3a30-4b41-b769-c6867a043cb9?index=3" TargetMode="External"/><Relationship Id="rId611" Type="http://schemas.openxmlformats.org/officeDocument/2006/relationships/hyperlink" Target="https://alpha.midjourney.com/jobs/cd0955a7-8a85-43d7-97b8-c639bd21502c?index=3" TargetMode="External"/><Relationship Id="rId853" Type="http://schemas.openxmlformats.org/officeDocument/2006/relationships/hyperlink" Target="https://alpha.midjourney.com/jobs/0a06d262-0fba-46b7-8b36-c0577450e03f?index=2" TargetMode="External"/><Relationship Id="rId610" Type="http://schemas.openxmlformats.org/officeDocument/2006/relationships/hyperlink" Target="https://alpha.midjourney.com/jobs/8edd484f-1cb1-4f1f-933e-b6506442c848?index=1" TargetMode="External"/><Relationship Id="rId852" Type="http://schemas.openxmlformats.org/officeDocument/2006/relationships/hyperlink" Target="https://alpha.midjourney.com/jobs/ded6b164-2889-42a4-b1f9-04282827ce15?index=0" TargetMode="External"/><Relationship Id="rId617" Type="http://schemas.openxmlformats.org/officeDocument/2006/relationships/hyperlink" Target="https://alpha.midjourney.com/jobs/104896b4-1644-44c0-97cb-a115a5a27f3b?index=0" TargetMode="External"/><Relationship Id="rId859" Type="http://schemas.openxmlformats.org/officeDocument/2006/relationships/hyperlink" Target="https://alpha.midjourney.com/jobs/348510da-2553-4aeb-82e5-38b2cdbccaac?index=1" TargetMode="External"/><Relationship Id="rId616" Type="http://schemas.openxmlformats.org/officeDocument/2006/relationships/hyperlink" Target="https://alpha.midjourney.com/jobs/834cdaa2-b2f5-4156-998e-506a5ca68984?index=2" TargetMode="External"/><Relationship Id="rId858" Type="http://schemas.openxmlformats.org/officeDocument/2006/relationships/hyperlink" Target="https://alpha.midjourney.com/jobs/f55162d5-e50e-422e-8591-d8fddf15d6e7?index=3" TargetMode="External"/><Relationship Id="rId615" Type="http://schemas.openxmlformats.org/officeDocument/2006/relationships/hyperlink" Target="https://alpha.midjourney.com/jobs/d75ae876-16de-4a4f-80fb-098c3204e2e3?index=2" TargetMode="External"/><Relationship Id="rId857" Type="http://schemas.openxmlformats.org/officeDocument/2006/relationships/hyperlink" Target="https://alpha.midjourney.com/jobs/51595c18-3b00-4985-8cac-2578e4df451c?index=1" TargetMode="External"/><Relationship Id="rId614" Type="http://schemas.openxmlformats.org/officeDocument/2006/relationships/hyperlink" Target="https://alpha.midjourney.com/jobs/d5d7a3d8-bc57-4d5e-9030-e092ef28934d?index=1" TargetMode="External"/><Relationship Id="rId856" Type="http://schemas.openxmlformats.org/officeDocument/2006/relationships/hyperlink" Target="https://alpha.midjourney.com/jobs/274f0ec2-a274-4e22-99ff-109dc900f82e?index=2" TargetMode="External"/><Relationship Id="rId851" Type="http://schemas.openxmlformats.org/officeDocument/2006/relationships/hyperlink" Target="https://alpha.midjourney.com/jobs/94fd87fd-6fe5-4515-b144-4c4f0d68d57f?index=1" TargetMode="External"/><Relationship Id="rId850" Type="http://schemas.openxmlformats.org/officeDocument/2006/relationships/hyperlink" Target="https://alpha.midjourney.com/jobs/2ab65831-7f8c-4cc5-8d16-dd8600a5c55d?index=1" TargetMode="External"/><Relationship Id="rId409" Type="http://schemas.openxmlformats.org/officeDocument/2006/relationships/hyperlink" Target="https://alpha.midjourney.com/jobs/9b4c1075-32e7-4d23-a0ed-09a036f0b737?index=3" TargetMode="External"/><Relationship Id="rId404" Type="http://schemas.openxmlformats.org/officeDocument/2006/relationships/hyperlink" Target="https://alpha.midjourney.com/jobs/a5b23374-c9e0-4cc3-ac9e-7cc693ab07b6?index=1" TargetMode="External"/><Relationship Id="rId646" Type="http://schemas.openxmlformats.org/officeDocument/2006/relationships/hyperlink" Target="https://alpha.midjourney.com/jobs/bdf467d6-4699-4676-a6f9-39e3cbb899e5?index=0" TargetMode="External"/><Relationship Id="rId888" Type="http://schemas.openxmlformats.org/officeDocument/2006/relationships/hyperlink" Target="https://alpha.midjourney.com/jobs/ddce92f6-9667-4f94-aedd-3ec10f6e1d0e?index=0" TargetMode="External"/><Relationship Id="rId403" Type="http://schemas.openxmlformats.org/officeDocument/2006/relationships/hyperlink" Target="https://alpha.midjourney.com/jobs/ee08debf-6dfa-4c1a-b68d-af2815e27ecd?index=0" TargetMode="External"/><Relationship Id="rId645" Type="http://schemas.openxmlformats.org/officeDocument/2006/relationships/hyperlink" Target="https://alpha.midjourney.com/jobs/c4a83c37-4d6d-4f59-96bb-5d38ce1a9de6?index=3" TargetMode="External"/><Relationship Id="rId887" Type="http://schemas.openxmlformats.org/officeDocument/2006/relationships/hyperlink" Target="https://alpha.midjourney.com/jobs/20cdce45-1642-4ee6-90dc-0fb39b65eeaf?index=3" TargetMode="External"/><Relationship Id="rId402" Type="http://schemas.openxmlformats.org/officeDocument/2006/relationships/hyperlink" Target="https://alpha.midjourney.com/jobs/e8e96f76-94bd-41ae-b1bd-4ca96aebdd1e?index=3" TargetMode="External"/><Relationship Id="rId644" Type="http://schemas.openxmlformats.org/officeDocument/2006/relationships/hyperlink" Target="https://alpha.midjourney.com/jobs/dc99fa2e-811a-4134-88e2-76ee3a711eec?index=3" TargetMode="External"/><Relationship Id="rId886" Type="http://schemas.openxmlformats.org/officeDocument/2006/relationships/hyperlink" Target="https://alpha.midjourney.com/jobs/8f5f7154-98a1-4cba-922c-1374417a73c6?index=2" TargetMode="External"/><Relationship Id="rId401" Type="http://schemas.openxmlformats.org/officeDocument/2006/relationships/hyperlink" Target="https://alpha.midjourney.com/jobs/04e07353-17ab-4846-84bc-818bc402f09d?index=1" TargetMode="External"/><Relationship Id="rId643" Type="http://schemas.openxmlformats.org/officeDocument/2006/relationships/hyperlink" Target="https://alpha.midjourney.com/jobs/12fada4d-5aaf-4322-b3d3-24be5496e64d?index=3" TargetMode="External"/><Relationship Id="rId885" Type="http://schemas.openxmlformats.org/officeDocument/2006/relationships/hyperlink" Target="https://alpha.midjourney.com/jobs/2b9073bb-0341-476a-8631-8ae5e430e13e?index=0" TargetMode="External"/><Relationship Id="rId408" Type="http://schemas.openxmlformats.org/officeDocument/2006/relationships/hyperlink" Target="https://alpha.midjourney.com/jobs/beb9e0a6-b2bf-406a-acb9-c9f670ba00a8?index=0" TargetMode="External"/><Relationship Id="rId407" Type="http://schemas.openxmlformats.org/officeDocument/2006/relationships/hyperlink" Target="https://alpha.midjourney.com/jobs/d5963950-ad56-4cfb-8146-c8e9dbf4cf69?index=3" TargetMode="External"/><Relationship Id="rId649" Type="http://schemas.openxmlformats.org/officeDocument/2006/relationships/hyperlink" Target="https://alpha.midjourney.com/jobs/26cf6a40-ae53-40b8-b6e8-cf911b9a91a6?index=3" TargetMode="External"/><Relationship Id="rId406" Type="http://schemas.openxmlformats.org/officeDocument/2006/relationships/hyperlink" Target="https://alpha.midjourney.com/jobs/4f1b5033-05f9-4562-ad56-d2b641ef5f1f?index=3" TargetMode="External"/><Relationship Id="rId648" Type="http://schemas.openxmlformats.org/officeDocument/2006/relationships/hyperlink" Target="https://alpha.midjourney.com/jobs/a1a13900-c801-42e6-af4f-64055214e78b?index=2" TargetMode="External"/><Relationship Id="rId405" Type="http://schemas.openxmlformats.org/officeDocument/2006/relationships/hyperlink" Target="https://alpha.midjourney.com/jobs/da48772a-b4d4-44f8-8d55-428c4b7750df?index=1" TargetMode="External"/><Relationship Id="rId647" Type="http://schemas.openxmlformats.org/officeDocument/2006/relationships/hyperlink" Target="https://alpha.midjourney.com/jobs/47bd8a99-96cc-4b41-bc50-6ab93ee3369d?index=0" TargetMode="External"/><Relationship Id="rId889" Type="http://schemas.openxmlformats.org/officeDocument/2006/relationships/hyperlink" Target="https://alpha.midjourney.com/jobs/37c10154-7476-4026-890c-6f49fe955787?index=3" TargetMode="External"/><Relationship Id="rId880" Type="http://schemas.openxmlformats.org/officeDocument/2006/relationships/hyperlink" Target="https://alpha.midjourney.com/jobs/02f490f5-8a73-4b18-98b2-f180b56a6854?index=0" TargetMode="External"/><Relationship Id="rId400" Type="http://schemas.openxmlformats.org/officeDocument/2006/relationships/hyperlink" Target="https://alpha.midjourney.com/jobs/c0768680-bd4c-4545-846f-002afd6a854b?index=0" TargetMode="External"/><Relationship Id="rId642" Type="http://schemas.openxmlformats.org/officeDocument/2006/relationships/hyperlink" Target="https://alpha.midjourney.com/jobs/83be14db-adaf-4786-aeef-ad19b39bd2ca?index=2" TargetMode="External"/><Relationship Id="rId884" Type="http://schemas.openxmlformats.org/officeDocument/2006/relationships/hyperlink" Target="https://alpha.midjourney.com/jobs/d32d623f-8304-4652-a723-5e08c4834598?index=0" TargetMode="External"/><Relationship Id="rId641" Type="http://schemas.openxmlformats.org/officeDocument/2006/relationships/hyperlink" Target="https://alpha.midjourney.com/jobs/52110149-5889-41ad-8d65-2ed05aed8c38?index=3" TargetMode="External"/><Relationship Id="rId883" Type="http://schemas.openxmlformats.org/officeDocument/2006/relationships/hyperlink" Target="https://alpha.midjourney.com/jobs/d32d623f-8304-4652-a723-5e08c4834598?index=1" TargetMode="External"/><Relationship Id="rId640" Type="http://schemas.openxmlformats.org/officeDocument/2006/relationships/hyperlink" Target="https://alpha.midjourney.com/jobs/1712423c-8247-4d89-938a-b7a8f72676d3?index=3" TargetMode="External"/><Relationship Id="rId882" Type="http://schemas.openxmlformats.org/officeDocument/2006/relationships/hyperlink" Target="https://alpha.midjourney.com/jobs/d873ea84-8af5-4c95-9311-a13fdaff6ba8?index=3" TargetMode="External"/><Relationship Id="rId881" Type="http://schemas.openxmlformats.org/officeDocument/2006/relationships/hyperlink" Target="https://alpha.midjourney.com/jobs/96117920-bb02-4af0-bdd5-92bafd2f9a02?index=0" TargetMode="External"/><Relationship Id="rId635" Type="http://schemas.openxmlformats.org/officeDocument/2006/relationships/hyperlink" Target="https://alpha.midjourney.com/jobs/9a06b103-b5a9-4d2f-a06c-f2a3692244cc?index=0" TargetMode="External"/><Relationship Id="rId877" Type="http://schemas.openxmlformats.org/officeDocument/2006/relationships/hyperlink" Target="https://alpha.midjourney.com/jobs/8101b753-c1a7-48f9-9c48-ff7c964630a9?index=3" TargetMode="External"/><Relationship Id="rId634" Type="http://schemas.openxmlformats.org/officeDocument/2006/relationships/hyperlink" Target="https://alpha.midjourney.com/jobs/4b96f219-952d-4629-9ea5-07d8b6625b64?index=3" TargetMode="External"/><Relationship Id="rId876" Type="http://schemas.openxmlformats.org/officeDocument/2006/relationships/hyperlink" Target="https://alpha.midjourney.com/jobs/4b4ec7c1-50af-47ee-b257-f0ccc5310487?index=1" TargetMode="External"/><Relationship Id="rId633" Type="http://schemas.openxmlformats.org/officeDocument/2006/relationships/hyperlink" Target="https://alpha.midjourney.com/jobs/615b65df-6059-4623-9a52-ba6e23fd19a8?index=1" TargetMode="External"/><Relationship Id="rId875" Type="http://schemas.openxmlformats.org/officeDocument/2006/relationships/hyperlink" Target="https://alpha.midjourney.com/jobs/2ce31b6e-a291-48f4-a0c1-403152383537?index=3" TargetMode="External"/><Relationship Id="rId632" Type="http://schemas.openxmlformats.org/officeDocument/2006/relationships/hyperlink" Target="https://alpha.midjourney.com/jobs/615b65df-6059-4623-9a52-ba6e23fd19a8?index=0" TargetMode="External"/><Relationship Id="rId874" Type="http://schemas.openxmlformats.org/officeDocument/2006/relationships/hyperlink" Target="https://alpha.midjourney.com/jobs/2ce31b6e-a291-48f4-a0c1-403152383537?index=0" TargetMode="External"/><Relationship Id="rId639" Type="http://schemas.openxmlformats.org/officeDocument/2006/relationships/hyperlink" Target="https://alpha.midjourney.com/jobs/48ee5064-30f0-4f2f-bf04-ffa46a4af4b3?index=2" TargetMode="External"/><Relationship Id="rId638" Type="http://schemas.openxmlformats.org/officeDocument/2006/relationships/hyperlink" Target="https://alpha.midjourney.com/jobs/88e3f9b4-074b-4645-969f-b36b4a03b283?index=0" TargetMode="External"/><Relationship Id="rId637" Type="http://schemas.openxmlformats.org/officeDocument/2006/relationships/hyperlink" Target="https://alpha.midjourney.com/jobs/fbd01acd-ec46-450e-a41b-df9c33a118ab?index=1" TargetMode="External"/><Relationship Id="rId879" Type="http://schemas.openxmlformats.org/officeDocument/2006/relationships/hyperlink" Target="https://alpha.midjourney.com/jobs/791b4388-e42b-4a77-a558-2677d1590cd0?index=0" TargetMode="External"/><Relationship Id="rId636" Type="http://schemas.openxmlformats.org/officeDocument/2006/relationships/hyperlink" Target="https://alpha.midjourney.com/jobs/b697235d-58dc-46a5-852e-9cf127307d53?index=2" TargetMode="External"/><Relationship Id="rId878" Type="http://schemas.openxmlformats.org/officeDocument/2006/relationships/hyperlink" Target="https://alpha.midjourney.com/jobs/0cac4099-b720-427d-94a1-4232a7ee0eee?index=3" TargetMode="External"/><Relationship Id="rId631" Type="http://schemas.openxmlformats.org/officeDocument/2006/relationships/hyperlink" Target="https://alpha.midjourney.com/jobs/615b65df-6059-4623-9a52-ba6e23fd19a8?index=3" TargetMode="External"/><Relationship Id="rId873" Type="http://schemas.openxmlformats.org/officeDocument/2006/relationships/hyperlink" Target="https://alpha.midjourney.com/jobs/387b5688-00d1-43e1-994b-f1166a9f9f07?index=2" TargetMode="External"/><Relationship Id="rId630" Type="http://schemas.openxmlformats.org/officeDocument/2006/relationships/hyperlink" Target="https://alpha.midjourney.com/jobs/51236e4b-aa09-40de-ae37-9c9b9cd7e7e5?index=0" TargetMode="External"/><Relationship Id="rId872" Type="http://schemas.openxmlformats.org/officeDocument/2006/relationships/hyperlink" Target="https://alpha.midjourney.com/jobs/383d2d7d-4882-42d2-a387-a8f0955ab3ee?index=0" TargetMode="External"/><Relationship Id="rId871" Type="http://schemas.openxmlformats.org/officeDocument/2006/relationships/hyperlink" Target="https://alpha.midjourney.com/jobs/efb2dd81-b6be-4417-ac5f-7d627f4b4e0c?index=0" TargetMode="External"/><Relationship Id="rId870" Type="http://schemas.openxmlformats.org/officeDocument/2006/relationships/hyperlink" Target="https://alpha.midjourney.com/jobs/bb398dc4-8526-4fa4-a38b-9191edd4b28f?index=3" TargetMode="External"/><Relationship Id="rId829" Type="http://schemas.openxmlformats.org/officeDocument/2006/relationships/hyperlink" Target="https://alpha.midjourney.com/jobs/60f4fa59-8404-4637-b4cc-84822ee10408?index=2" TargetMode="External"/><Relationship Id="rId828" Type="http://schemas.openxmlformats.org/officeDocument/2006/relationships/hyperlink" Target="https://alpha.midjourney.com/jobs/60f4fa59-8404-4637-b4cc-84822ee10408?index=1" TargetMode="External"/><Relationship Id="rId827" Type="http://schemas.openxmlformats.org/officeDocument/2006/relationships/hyperlink" Target="https://alpha.midjourney.com/jobs/69392398-99f3-418a-b440-62bf3028e365?index=0" TargetMode="External"/><Relationship Id="rId822" Type="http://schemas.openxmlformats.org/officeDocument/2006/relationships/hyperlink" Target="https://alpha.midjourney.com/jobs/eac8ad84-63f3-4a8c-87fc-19cb680363b6?index=3" TargetMode="External"/><Relationship Id="rId821" Type="http://schemas.openxmlformats.org/officeDocument/2006/relationships/hyperlink" Target="https://alpha.midjourney.com/jobs/0628379f-448a-41df-add6-3fe06c4d2945?index=0" TargetMode="External"/><Relationship Id="rId820" Type="http://schemas.openxmlformats.org/officeDocument/2006/relationships/hyperlink" Target="https://alpha.midjourney.com/jobs/0628379f-448a-41df-add6-3fe06c4d2945?index=3" TargetMode="External"/><Relationship Id="rId826" Type="http://schemas.openxmlformats.org/officeDocument/2006/relationships/hyperlink" Target="https://alpha.midjourney.com/jobs/89013cde-4192-47cd-aaf5-42d2b236e249?index=0" TargetMode="External"/><Relationship Id="rId825" Type="http://schemas.openxmlformats.org/officeDocument/2006/relationships/hyperlink" Target="https://alpha.midjourney.com/jobs/89013cde-4192-47cd-aaf5-42d2b236e249?index=3" TargetMode="External"/><Relationship Id="rId824" Type="http://schemas.openxmlformats.org/officeDocument/2006/relationships/hyperlink" Target="https://alpha.midjourney.com/jobs/c160a400-d22a-45b1-b32c-459ce7fc2bd7?index=3" TargetMode="External"/><Relationship Id="rId823" Type="http://schemas.openxmlformats.org/officeDocument/2006/relationships/hyperlink" Target="https://alpha.midjourney.com/jobs/c160a400-d22a-45b1-b32c-459ce7fc2bd7?index=0" TargetMode="External"/><Relationship Id="rId819" Type="http://schemas.openxmlformats.org/officeDocument/2006/relationships/hyperlink" Target="https://alpha.midjourney.com/jobs/a9fa523c-5a8a-43f0-96ab-a2000206f5cd?index=3" TargetMode="External"/><Relationship Id="rId818" Type="http://schemas.openxmlformats.org/officeDocument/2006/relationships/hyperlink" Target="https://alpha.midjourney.com/jobs/a9fa523c-5a8a-43f0-96ab-a2000206f5cd?index=2" TargetMode="External"/><Relationship Id="rId817" Type="http://schemas.openxmlformats.org/officeDocument/2006/relationships/hyperlink" Target="https://alpha.midjourney.com/jobs/9bdfe646-e0af-4d06-916f-b5aca401938e?index=2" TargetMode="External"/><Relationship Id="rId816" Type="http://schemas.openxmlformats.org/officeDocument/2006/relationships/hyperlink" Target="https://alpha.midjourney.com/jobs/9c862914-1633-485d-a9af-ebe932f88329?index=3" TargetMode="External"/><Relationship Id="rId811" Type="http://schemas.openxmlformats.org/officeDocument/2006/relationships/hyperlink" Target="https://alpha.midjourney.com/jobs/42d98fdd-4573-4737-a372-114e30992a73?index=3" TargetMode="External"/><Relationship Id="rId810" Type="http://schemas.openxmlformats.org/officeDocument/2006/relationships/hyperlink" Target="https://alpha.midjourney.com/jobs/96487f9a-27d2-43e6-b609-313d1ae7376b?index=0" TargetMode="External"/><Relationship Id="rId815" Type="http://schemas.openxmlformats.org/officeDocument/2006/relationships/hyperlink" Target="https://alpha.midjourney.com/jobs/355c4193-17fe-46f5-a75f-8244d0699eda?index=2" TargetMode="External"/><Relationship Id="rId814" Type="http://schemas.openxmlformats.org/officeDocument/2006/relationships/hyperlink" Target="https://alpha.midjourney.com/jobs/355c4193-17fe-46f5-a75f-8244d0699eda?index=0" TargetMode="External"/><Relationship Id="rId813" Type="http://schemas.openxmlformats.org/officeDocument/2006/relationships/hyperlink" Target="https://alpha.midjourney.com/jobs/08837e51-8acd-40e2-9947-b986ecef1f8b?index=3" TargetMode="External"/><Relationship Id="rId812" Type="http://schemas.openxmlformats.org/officeDocument/2006/relationships/hyperlink" Target="https://alpha.midjourney.com/jobs/08837e51-8acd-40e2-9947-b986ecef1f8b?index=2" TargetMode="External"/><Relationship Id="rId609" Type="http://schemas.openxmlformats.org/officeDocument/2006/relationships/hyperlink" Target="https://alpha.midjourney.com/jobs/08e98d57-c82d-41bf-974e-2594723e8387?index=3" TargetMode="External"/><Relationship Id="rId608" Type="http://schemas.openxmlformats.org/officeDocument/2006/relationships/hyperlink" Target="https://alpha.midjourney.com/jobs/9d1c0ad9-d7ac-48b5-8887-39cdbcde27cd?index=2" TargetMode="External"/><Relationship Id="rId607" Type="http://schemas.openxmlformats.org/officeDocument/2006/relationships/hyperlink" Target="https://alpha.midjourney.com/jobs/a40c6919-d2e2-4cdd-a1de-4ce6a532def9?index=3" TargetMode="External"/><Relationship Id="rId849" Type="http://schemas.openxmlformats.org/officeDocument/2006/relationships/hyperlink" Target="https://alpha.midjourney.com/jobs/f6e8a559-f4fc-4cf8-b9f5-569b484cff1b?index=2" TargetMode="External"/><Relationship Id="rId602" Type="http://schemas.openxmlformats.org/officeDocument/2006/relationships/hyperlink" Target="https://alpha.midjourney.com/jobs/2ba47d27-dbef-49be-8e14-890b895409a3?index=2" TargetMode="External"/><Relationship Id="rId844" Type="http://schemas.openxmlformats.org/officeDocument/2006/relationships/hyperlink" Target="https://alpha.midjourney.com/jobs/a660357f-f781-484d-9c02-d4107b2b1921?index=3" TargetMode="External"/><Relationship Id="rId601" Type="http://schemas.openxmlformats.org/officeDocument/2006/relationships/hyperlink" Target="https://alpha.midjourney.com/jobs/cbeba22e-057c-463e-8a6c-d84fec4e4147?index=0" TargetMode="External"/><Relationship Id="rId843" Type="http://schemas.openxmlformats.org/officeDocument/2006/relationships/hyperlink" Target="https://alpha.midjourney.com/jobs/8e937feb-8227-422d-8f90-e44a4d7fed4a?index=1" TargetMode="External"/><Relationship Id="rId600" Type="http://schemas.openxmlformats.org/officeDocument/2006/relationships/hyperlink" Target="https://alpha.midjourney.com/jobs/b1d61053-bd99-4609-9c8c-ba7d1af8873a?index=2" TargetMode="External"/><Relationship Id="rId842" Type="http://schemas.openxmlformats.org/officeDocument/2006/relationships/hyperlink" Target="https://alpha.midjourney.com/jobs/4954a71b-620f-4810-9cea-b02f6b424cae?index=2" TargetMode="External"/><Relationship Id="rId841" Type="http://schemas.openxmlformats.org/officeDocument/2006/relationships/hyperlink" Target="https://alpha.midjourney.com/jobs/70740339-f369-4a1a-ad6a-212daf6b27c2?index=1" TargetMode="External"/><Relationship Id="rId606" Type="http://schemas.openxmlformats.org/officeDocument/2006/relationships/hyperlink" Target="https://alpha.midjourney.com/jobs/e9ced58e-d729-4c3b-b959-01736c8f312f?index=1" TargetMode="External"/><Relationship Id="rId848" Type="http://schemas.openxmlformats.org/officeDocument/2006/relationships/hyperlink" Target="https://alpha.midjourney.com/jobs/f6e8a559-f4fc-4cf8-b9f5-569b484cff1b?index=1" TargetMode="External"/><Relationship Id="rId605" Type="http://schemas.openxmlformats.org/officeDocument/2006/relationships/hyperlink" Target="https://alpha.midjourney.com/jobs/22a8f992-981f-46f6-9814-6acd4fd78883?index=2" TargetMode="External"/><Relationship Id="rId847" Type="http://schemas.openxmlformats.org/officeDocument/2006/relationships/hyperlink" Target="https://alpha.midjourney.com/jobs/a3158ad4-0ab7-45c4-aed6-9ab285a23027?index=2" TargetMode="External"/><Relationship Id="rId604" Type="http://schemas.openxmlformats.org/officeDocument/2006/relationships/hyperlink" Target="https://alpha.midjourney.com/jobs/5bd0ca22-a83a-414a-9139-c2092a485671?index=1" TargetMode="External"/><Relationship Id="rId846" Type="http://schemas.openxmlformats.org/officeDocument/2006/relationships/hyperlink" Target="https://alpha.midjourney.com/jobs/86478582-4086-482d-9ccd-7d3de2bc5fb8?index=0" TargetMode="External"/><Relationship Id="rId603" Type="http://schemas.openxmlformats.org/officeDocument/2006/relationships/hyperlink" Target="https://alpha.midjourney.com/jobs/c6991389-b3bd-41f0-94f8-3a128fa5ced1?index=3" TargetMode="External"/><Relationship Id="rId845" Type="http://schemas.openxmlformats.org/officeDocument/2006/relationships/hyperlink" Target="https://alpha.midjourney.com/jobs/2eac0e7f-1057-4e7a-8328-509c0dceae16?index=0" TargetMode="External"/><Relationship Id="rId840" Type="http://schemas.openxmlformats.org/officeDocument/2006/relationships/hyperlink" Target="https://alpha.midjourney.com/jobs/6f794a01-5504-4ec7-bb5a-ac0c8f5716c9?index=1" TargetMode="External"/><Relationship Id="rId839" Type="http://schemas.openxmlformats.org/officeDocument/2006/relationships/hyperlink" Target="https://alpha.midjourney.com/jobs/841dd73b-7d36-4a8a-8a78-c022ece5f065?index=3" TargetMode="External"/><Relationship Id="rId838" Type="http://schemas.openxmlformats.org/officeDocument/2006/relationships/hyperlink" Target="https://alpha.midjourney.com/jobs/368b24f9-1c00-4779-a36d-f23591683de3?index=2" TargetMode="External"/><Relationship Id="rId833" Type="http://schemas.openxmlformats.org/officeDocument/2006/relationships/hyperlink" Target="https://alpha.midjourney.com/jobs/63098f38-8ca0-4ef2-aebe-f49b99d438c7?index=0" TargetMode="External"/><Relationship Id="rId832" Type="http://schemas.openxmlformats.org/officeDocument/2006/relationships/hyperlink" Target="https://alpha.midjourney.com/jobs/f5622707-3a33-4f6e-a48d-a0ad27d68cef?index=3" TargetMode="External"/><Relationship Id="rId831" Type="http://schemas.openxmlformats.org/officeDocument/2006/relationships/hyperlink" Target="https://alpha.midjourney.com/jobs/b58dc0ce-5fc2-431e-8af7-ef1a4f0ce200?index=1" TargetMode="External"/><Relationship Id="rId830" Type="http://schemas.openxmlformats.org/officeDocument/2006/relationships/hyperlink" Target="https://alpha.midjourney.com/jobs/60f4fa59-8404-4637-b4cc-84822ee10408?index=3" TargetMode="External"/><Relationship Id="rId837" Type="http://schemas.openxmlformats.org/officeDocument/2006/relationships/hyperlink" Target="https://alpha.midjourney.com/jobs/cc8f43a5-20c6-4de5-94aa-485ac5585189?index=1" TargetMode="External"/><Relationship Id="rId836" Type="http://schemas.openxmlformats.org/officeDocument/2006/relationships/hyperlink" Target="https://alpha.midjourney.com/jobs/cc8f43a5-20c6-4de5-94aa-485ac5585189?index=2" TargetMode="External"/><Relationship Id="rId835" Type="http://schemas.openxmlformats.org/officeDocument/2006/relationships/hyperlink" Target="https://alpha.midjourney.com/jobs/58f469e1-7b8d-44b8-bc46-7633399d832f?index=3" TargetMode="External"/><Relationship Id="rId834" Type="http://schemas.openxmlformats.org/officeDocument/2006/relationships/hyperlink" Target="https://alpha.midjourney.com/jobs/63098f38-8ca0-4ef2-aebe-f49b99d438c7?index=1" TargetMode="External"/><Relationship Id="rId1059" Type="http://schemas.openxmlformats.org/officeDocument/2006/relationships/hyperlink" Target="https://www.midjourney.com/jobs/6c58f11f-2c5c-4343-bafa-89c85f0d6bab?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36f45aba-7dd3-4234-a291-4a6bd6317f10?index=2"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da05031f-b161-4dbf-82ed-34f56ec60f8b?index=0"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da05031f-b161-4dbf-82ed-34f56ec60f8b?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www.midjourney.com/jobs/0dc2f6bf-8e60-4443-8ca9-01ae9d2c452f?index=3"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49af1a65-37b2-43e7-abfb-fec1ef5ae6d3?index=2" TargetMode="External"/><Relationship Id="rId1051" Type="http://schemas.openxmlformats.org/officeDocument/2006/relationships/hyperlink" Target="https://www.midjourney.com/jobs/0dc2f6bf-8e60-4443-8ca9-01ae9d2c452f?index=1" TargetMode="External"/><Relationship Id="rId461" Type="http://schemas.openxmlformats.org/officeDocument/2006/relationships/hyperlink" Target="https://alpha.midjourney.com/jobs/24410310-250b-4dfc-957c-f04fe0d1851b?index=0" TargetMode="External"/><Relationship Id="rId1052" Type="http://schemas.openxmlformats.org/officeDocument/2006/relationships/hyperlink" Target="https://www.midjourney.com/jobs/46d3e87b-dfdf-4208-b209-43eb59d25124?index=3" TargetMode="External"/><Relationship Id="rId460" Type="http://schemas.openxmlformats.org/officeDocument/2006/relationships/hyperlink" Target="https://alpha.midjourney.com/jobs/727e14da-bc4a-4671-9e13-4f06e7007152?index=0" TargetMode="External"/><Relationship Id="rId1053" Type="http://schemas.openxmlformats.org/officeDocument/2006/relationships/hyperlink" Target="https://www.midjourney.com/jobs/e6b4dd99-8a01-416c-8bfc-b09999257964?index=0" TargetMode="External"/><Relationship Id="rId1054" Type="http://schemas.openxmlformats.org/officeDocument/2006/relationships/hyperlink" Target="https://www.midjourney.com/jobs/07eb6c29-8494-4c11-a4e7-b612a9696f60?index=1"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14907b72-ac7b-441a-89c1-206aa74ae3cc?index=3" TargetMode="External"/><Relationship Id="rId1055" Type="http://schemas.openxmlformats.org/officeDocument/2006/relationships/hyperlink" Target="https://www.midjourney.com/jobs/d0b52e1f-9803-4fca-8f47-ba7ad90ee845?index=2"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cbc1003a-54e1-4023-a949-d6248d86958a?index=1" TargetMode="External"/><Relationship Id="rId1056" Type="http://schemas.openxmlformats.org/officeDocument/2006/relationships/hyperlink" Target="https://www.midjourney.com/jobs/d0b52e1f-9803-4fca-8f47-ba7ad90ee845?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b85e9529-2c1c-43be-8887-f8653d2daa3e?index=1" TargetMode="External"/><Relationship Id="rId1057" Type="http://schemas.openxmlformats.org/officeDocument/2006/relationships/hyperlink" Target="https://www.midjourney.com/jobs/b701efe8-1aeb-4fc1-b2fd-54656d5acc9b?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c49fa673-bcd1-49dc-a65d-b262aa8d349c?index=3" TargetMode="External"/><Relationship Id="rId1058" Type="http://schemas.openxmlformats.org/officeDocument/2006/relationships/hyperlink" Target="https://www.midjourney.com/jobs/79bb5089-1ab6-4752-ac4e-59d397d4af89?index=1" TargetMode="External"/><Relationship Id="rId1048" Type="http://schemas.openxmlformats.org/officeDocument/2006/relationships/hyperlink" Target="https://www.midjourney.com/jobs/d7dca630-c76d-42db-8c8e-098b170c9f61?index=0" TargetMode="External"/><Relationship Id="rId1049" Type="http://schemas.openxmlformats.org/officeDocument/2006/relationships/hyperlink" Target="https://www.midjourney.com/jobs/fe64b7e6-2440-4d46-a4c5-1101d3bf5f3d?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eea88919-f1b3-40c0-9f43-d0e3f3705e14?index=2"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915e002d-0994-4e3b-9b5b-10849e3c35ad?index=2"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0c8ecc9c-0eba-4e1f-88ef-eb8a6b5bb902?index=0" TargetMode="External"/><Relationship Id="rId699" Type="http://schemas.openxmlformats.org/officeDocument/2006/relationships/hyperlink" Target="https://alpha.midjourney.com/jobs/b64fcfaa-f524-4106-97e4-999815c35ba8?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e1308eb5-a0fa-420c-983e-4f03c2e8e1b1?index=3" TargetMode="External"/><Relationship Id="rId698" Type="http://schemas.openxmlformats.org/officeDocument/2006/relationships/hyperlink" Target="https://alpha.midjourney.com/jobs/762ada30-e1d4-42fd-9cb5-0890aa7ebf5e?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48703433-d069-4669-a233-4fb736b88afa?index=0" TargetMode="External"/><Relationship Id="rId693" Type="http://schemas.openxmlformats.org/officeDocument/2006/relationships/hyperlink" Target="https://alpha.midjourney.com/jobs/112e52b5-82ca-4b76-9909-c0aa04aeeb7a?index=1" TargetMode="External"/><Relationship Id="rId1040" Type="http://schemas.openxmlformats.org/officeDocument/2006/relationships/hyperlink" Target="https://www.midjourney.com/jobs/54a955fa-4cf9-4ad7-a49d-3d9d28a206ad?index=1" TargetMode="External"/><Relationship Id="rId450" Type="http://schemas.openxmlformats.org/officeDocument/2006/relationships/hyperlink" Target="https://alpha.midjourney.com/jobs/48703433-d069-4669-a233-4fb736b88afa?index=2" TargetMode="External"/><Relationship Id="rId692" Type="http://schemas.openxmlformats.org/officeDocument/2006/relationships/hyperlink" Target="https://alpha.midjourney.com/jobs/6e0215b8-b92d-42ca-b447-89ce45b7a682?index=3" TargetMode="External"/><Relationship Id="rId1041" Type="http://schemas.openxmlformats.org/officeDocument/2006/relationships/hyperlink" Target="https://www.midjourney.com/jobs/3432df11-bef6-4eda-b76e-b4eb16b94be1?index=3" TargetMode="External"/><Relationship Id="rId691" Type="http://schemas.openxmlformats.org/officeDocument/2006/relationships/hyperlink" Target="https://alpha.midjourney.com/jobs/4e8939d3-700e-432e-87ea-5a6d537e421f?index=2" TargetMode="External"/><Relationship Id="rId1042" Type="http://schemas.openxmlformats.org/officeDocument/2006/relationships/hyperlink" Target="https://www.midjourney.com/jobs/3a147f13-6f59-44b7-8b20-2b2f8cbec4e3?index=3" TargetMode="External"/><Relationship Id="rId690" Type="http://schemas.openxmlformats.org/officeDocument/2006/relationships/hyperlink" Target="https://alpha.midjourney.com/jobs/4e8939d3-700e-432e-87ea-5a6d537e421f?index=0" TargetMode="External"/><Relationship Id="rId1043" Type="http://schemas.openxmlformats.org/officeDocument/2006/relationships/hyperlink" Target="https://www.midjourney.com/jobs/518a6ecb-c3fa-47f3-9af1-951f280135b2?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ce3cd5be-146d-4747-a725-96d02fce6988?index=3" TargetMode="External"/><Relationship Id="rId697" Type="http://schemas.openxmlformats.org/officeDocument/2006/relationships/hyperlink" Target="https://alpha.midjourney.com/jobs/a45d38bf-1bbc-418f-83d2-652c7d2f34d7?index=1" TargetMode="External"/><Relationship Id="rId1044" Type="http://schemas.openxmlformats.org/officeDocument/2006/relationships/hyperlink" Target="https://www.midjourney.com/jobs/518a6ecb-c3fa-47f3-9af1-951f280135b2?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ad69563e-8c74-41b0-8e13-8b39afa3b3cf?index=3" TargetMode="External"/><Relationship Id="rId696" Type="http://schemas.openxmlformats.org/officeDocument/2006/relationships/hyperlink" Target="https://alpha.midjourney.com/jobs/3bf4a471-5c25-4362-83a7-ff9d2b62f7a6?index=2" TargetMode="External"/><Relationship Id="rId1045" Type="http://schemas.openxmlformats.org/officeDocument/2006/relationships/hyperlink" Target="https://www.midjourney.com/jobs/d10de1b7-898f-4645-92ce-e778e24c0c6d?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888400b6-fc24-4382-9b4f-cb536d1c6259?index=2" TargetMode="External"/><Relationship Id="rId695" Type="http://schemas.openxmlformats.org/officeDocument/2006/relationships/hyperlink" Target="https://alpha.midjourney.com/jobs/16c76d9e-93cf-40a6-b25c-afdd8780d9cd?index=1" TargetMode="External"/><Relationship Id="rId1046" Type="http://schemas.openxmlformats.org/officeDocument/2006/relationships/hyperlink" Target="https://www.midjourney.com/jobs/ceffc422-8f67-4373-b88f-9001f745346e?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3500932c-0e0c-496e-8393-7f54603731c9?index=3" TargetMode="External"/><Relationship Id="rId694" Type="http://schemas.openxmlformats.org/officeDocument/2006/relationships/hyperlink" Target="https://alpha.midjourney.com/jobs/d632fcf9-6880-4101-b670-edad8226ce60?index=1" TargetMode="External"/><Relationship Id="rId1047" Type="http://schemas.openxmlformats.org/officeDocument/2006/relationships/hyperlink" Target="https://www.midjourney.com/jobs/329c884d-b09a-4e73-aaa6-624bb2faf437?index=0" TargetMode="External"/><Relationship Id="rId491" Type="http://schemas.openxmlformats.org/officeDocument/2006/relationships/hyperlink" Target="https://alpha.midjourney.com/jobs/64fe4f62-cd24-4b28-8008-3a9184077878?index=1" TargetMode="External"/><Relationship Id="rId490" Type="http://schemas.openxmlformats.org/officeDocument/2006/relationships/hyperlink" Target="https://alpha.midjourney.com/jobs/2d36ed03-9eb8-4873-a6b6-490fa41bd145?index=2"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c6262938-a0bb-4c14-a59f-2cd741aebb5d?index=2" TargetMode="External"/><Relationship Id="rId1070" Type="http://schemas.openxmlformats.org/officeDocument/2006/relationships/hyperlink" Target="https://www.midjourney.com/jobs/5c478fb9-7816-41dd-b67b-2e723d70b953?index=2" TargetMode="External"/><Relationship Id="rId1071" Type="http://schemas.openxmlformats.org/officeDocument/2006/relationships/hyperlink" Target="https://www.midjourney.com/jobs/65cffa49-030d-4bf0-8642-4b296917b9f0?index=1" TargetMode="External"/><Relationship Id="rId1072" Type="http://schemas.openxmlformats.org/officeDocument/2006/relationships/hyperlink" Target="https://www.midjourney.com/jobs/65cffa49-030d-4bf0-8642-4b296917b9f0?index=3"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16b422f4-9fd2-4bb1-9674-585e0409a383?index=3" TargetMode="External"/><Relationship Id="rId1073" Type="http://schemas.openxmlformats.org/officeDocument/2006/relationships/hyperlink" Target="https://www.midjourney.com/jobs/54e5785d-426b-4577-8b6f-9860501a149d?index=0"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4623ba22-8900-4ec0-baf7-811a3eacf3be?index=1" TargetMode="External"/><Relationship Id="rId1074" Type="http://schemas.openxmlformats.org/officeDocument/2006/relationships/hyperlink" Target="https://www.midjourney.com/jobs/54e5785d-426b-4577-8b6f-9860501a149d?index=1"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16ae4b70-d224-42db-b6b6-ecf2124ed295?index=0" TargetMode="External"/><Relationship Id="rId1075" Type="http://schemas.openxmlformats.org/officeDocument/2006/relationships/hyperlink" Target="https://www.midjourney.com/jobs/54e5785d-426b-4577-8b6f-9860501a149d?index=3" TargetMode="External"/><Relationship Id="rId481" Type="http://schemas.openxmlformats.org/officeDocument/2006/relationships/hyperlink" Target="https://alpha.midjourney.com/jobs/c0cf7df8-c1a5-454a-bfd0-19b8243d58cc?index=1" TargetMode="External"/><Relationship Id="rId1076" Type="http://schemas.openxmlformats.org/officeDocument/2006/relationships/hyperlink" Target="https://www.midjourney.com/jobs/f1f51a3a-0295-445c-9c9a-dfd9d9b423b5?index=3"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4b8a171-093e-48a9-b7dd-0eb68cf31160?index=0" TargetMode="External"/><Relationship Id="rId1077" Type="http://schemas.openxmlformats.org/officeDocument/2006/relationships/hyperlink" Target="https://www.midjourney.com/jobs/a01f0b5d-1d81-4499-9574-a9009c478114?index=2"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993d4901-e479-4c23-8e37-374cc886632f?index=0" TargetMode="External"/><Relationship Id="rId1078" Type="http://schemas.openxmlformats.org/officeDocument/2006/relationships/hyperlink" Target="https://www.midjourney.com/jobs/a01f0b5d-1d81-4499-9574-a9009c478114?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dce6223e-4d4d-4a94-b8ed-94d249a1b876?index=2" TargetMode="External"/><Relationship Id="rId1079" Type="http://schemas.openxmlformats.org/officeDocument/2006/relationships/hyperlink" Target="https://www.midjourney.com/jobs/537aae6e-8ea5-477b-af84-e4fd575571d9?index=1"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ce917096-e668-418b-8741-693ddbec1b5e?index=3" TargetMode="External"/><Relationship Id="rId480" Type="http://schemas.openxmlformats.org/officeDocument/2006/relationships/hyperlink" Target="https://alpha.midjourney.com/jobs/01a4f043-f235-41b9-8d46-7b35d6f18030?index=2"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aad8229e-1d42-48dd-8179-36ff489b78e3?index=2"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1147f4d1-0ebc-4af6-a726-d02c68d60b73?index=2" TargetMode="External"/><Relationship Id="rId1060" Type="http://schemas.openxmlformats.org/officeDocument/2006/relationships/hyperlink" Target="https://www.midjourney.com/jobs/04324003-0364-4d0e-b28e-cb9f4a2554e2?index=0" TargetMode="External"/><Relationship Id="rId1061" Type="http://schemas.openxmlformats.org/officeDocument/2006/relationships/hyperlink" Target="https://www.midjourney.com/jobs/04324003-0364-4d0e-b28e-cb9f4a2554e2?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89be5e2a-6702-40e7-bb2c-87dce748f051?index=0" TargetMode="External"/><Relationship Id="rId1062" Type="http://schemas.openxmlformats.org/officeDocument/2006/relationships/hyperlink" Target="https://www.midjourney.com/jobs/04324003-0364-4d0e-b28e-cb9f4a2554e2?index=3"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5346acfb-9c48-4258-a97e-45266d64b6d2?index=3" TargetMode="External"/><Relationship Id="rId1063" Type="http://schemas.openxmlformats.org/officeDocument/2006/relationships/hyperlink" Target="https://www.midjourney.com/jobs/af796306-fa16-40f5-9f28-2a1b84a1f3ab?index=1" TargetMode="External"/><Relationship Id="rId471" Type="http://schemas.openxmlformats.org/officeDocument/2006/relationships/hyperlink" Target="https://alpha.midjourney.com/jobs/cb5ae9cc-bb0c-4b23-93f2-9aba3eead611?index=0" TargetMode="External"/><Relationship Id="rId1064" Type="http://schemas.openxmlformats.org/officeDocument/2006/relationships/hyperlink" Target="https://www.midjourney.com/jobs/9d276849-3be7-4a19-8a23-be0e88fd505b?index=0" TargetMode="External"/><Relationship Id="rId470" Type="http://schemas.openxmlformats.org/officeDocument/2006/relationships/hyperlink" Target="https://alpha.midjourney.com/jobs/36f45aba-7dd3-4234-a291-4a6bd6317f10?index=0" TargetMode="External"/><Relationship Id="rId1065" Type="http://schemas.openxmlformats.org/officeDocument/2006/relationships/hyperlink" Target="https://www.midjourney.com/jobs/9d276849-3be7-4a19-8a23-be0e88fd505b?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1147f4d1-0ebc-4af6-a726-d02c68d60b73?index=0" TargetMode="External"/><Relationship Id="rId1066" Type="http://schemas.openxmlformats.org/officeDocument/2006/relationships/hyperlink" Target="https://www.midjourney.com/jobs/9d276849-3be7-4a19-8a23-be0e88fd505b?index=3"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b817370e-a391-4a6b-9688-f381c88b69b0?index=2" TargetMode="External"/><Relationship Id="rId1067" Type="http://schemas.openxmlformats.org/officeDocument/2006/relationships/hyperlink" Target="https://www.midjourney.com/jobs/689c4844-d4f2-4395-9092-dc50d63f0541?index=0"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237069bf-4281-4ab7-875e-331a4121cc5c?index=2" TargetMode="External"/><Relationship Id="rId1068" Type="http://schemas.openxmlformats.org/officeDocument/2006/relationships/hyperlink" Target="https://www.midjourney.com/jobs/689c4844-d4f2-4395-9092-dc50d63f0541?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ade40824-39ca-4001-a6f9-b17abaa7f8c9?index=2" TargetMode="External"/><Relationship Id="rId1069" Type="http://schemas.openxmlformats.org/officeDocument/2006/relationships/hyperlink" Target="https://www.midjourney.com/jobs/880ee418-cfc5-4423-92a4-d5c3264c546a?index=2" TargetMode="External"/><Relationship Id="rId1015" Type="http://schemas.openxmlformats.org/officeDocument/2006/relationships/hyperlink" Target="https://alpha.midjourney.com/jobs/04085c59-02b2-4615-a629-0a24c3e14894?index=0" TargetMode="External"/><Relationship Id="rId1016" Type="http://schemas.openxmlformats.org/officeDocument/2006/relationships/hyperlink" Target="https://alpha.midjourney.com/jobs/04085c59-02b2-4615-a629-0a24c3e14894?index=1" TargetMode="External"/><Relationship Id="rId1017" Type="http://schemas.openxmlformats.org/officeDocument/2006/relationships/hyperlink" Target="https://alpha.midjourney.com/jobs/ae6a24ea-f137-4d87-a4f0-375045bce929?index=0" TargetMode="External"/><Relationship Id="rId1018" Type="http://schemas.openxmlformats.org/officeDocument/2006/relationships/hyperlink" Target="https://alpha.midjourney.com/jobs/5d3ff22a-635c-49a0-947e-22c88e092c1d?index=2" TargetMode="External"/><Relationship Id="rId1019" Type="http://schemas.openxmlformats.org/officeDocument/2006/relationships/hyperlink" Target="https://alpha.midjourney.com/jobs/c8c47bdb-5783-4472-8113-a503b7a339de?index=0" TargetMode="External"/><Relationship Id="rId426" Type="http://schemas.openxmlformats.org/officeDocument/2006/relationships/hyperlink" Target="https://alpha.midjourney.com/jobs/dacfd129-71b1-45b1-93b4-a93fd9c33cc6?index=3" TargetMode="External"/><Relationship Id="rId668" Type="http://schemas.openxmlformats.org/officeDocument/2006/relationships/hyperlink" Target="https://alpha.midjourney.com/jobs/85e96c0b-7f8e-45eb-8f72-4d3e18eded4f?index=2" TargetMode="External"/><Relationship Id="rId425" Type="http://schemas.openxmlformats.org/officeDocument/2006/relationships/hyperlink" Target="https://alpha.midjourney.com/jobs/4a9e3c36-a665-4b81-a07f-375b1413395e?index=0" TargetMode="External"/><Relationship Id="rId667" Type="http://schemas.openxmlformats.org/officeDocument/2006/relationships/hyperlink" Target="https://alpha.midjourney.com/jobs/a407a34c-2a7a-47d2-858a-c385875cdc0c?index=0" TargetMode="External"/><Relationship Id="rId424" Type="http://schemas.openxmlformats.org/officeDocument/2006/relationships/hyperlink" Target="https://alpha.midjourney.com/jobs/0cb75510-f358-4ad9-9e35-132f03cd7b17?index=2" TargetMode="External"/><Relationship Id="rId666" Type="http://schemas.openxmlformats.org/officeDocument/2006/relationships/hyperlink" Target="https://alpha.midjourney.com/jobs/4a047b2e-a8c8-4e3b-935a-a0167e827322?index=3" TargetMode="External"/><Relationship Id="rId423" Type="http://schemas.openxmlformats.org/officeDocument/2006/relationships/hyperlink" Target="https://alpha.midjourney.com/jobs/cbd3dd24-e89a-4b6b-9fb7-f15fbc5a3f00?index=3" TargetMode="External"/><Relationship Id="rId665" Type="http://schemas.openxmlformats.org/officeDocument/2006/relationships/hyperlink" Target="https://alpha.midjourney.com/jobs/ec8bc6ad-ad0e-4de1-8b67-74577084f9b3?index=3" TargetMode="External"/><Relationship Id="rId429" Type="http://schemas.openxmlformats.org/officeDocument/2006/relationships/hyperlink" Target="https://alpha.midjourney.com/jobs/378f2078-1824-455e-895f-fe0feb0387e6?index=1" TargetMode="External"/><Relationship Id="rId428" Type="http://schemas.openxmlformats.org/officeDocument/2006/relationships/hyperlink" Target="https://alpha.midjourney.com/jobs/80b1b60f-a56a-4316-b236-3c64efd9e7e2?index=2" TargetMode="External"/><Relationship Id="rId427" Type="http://schemas.openxmlformats.org/officeDocument/2006/relationships/hyperlink" Target="https://alpha.midjourney.com/jobs/52054a28-e5d2-4108-97d7-7f8c717e13f9?index=0" TargetMode="External"/><Relationship Id="rId669" Type="http://schemas.openxmlformats.org/officeDocument/2006/relationships/hyperlink" Target="https://alpha.midjourney.com/jobs/0b995103-dd4c-42dc-aec0-6590d8d4db84?index=3" TargetMode="External"/><Relationship Id="rId660" Type="http://schemas.openxmlformats.org/officeDocument/2006/relationships/hyperlink" Target="https://alpha.midjourney.com/jobs/ffc45f5d-17c3-4d3e-936b-870f313b274d?index=1" TargetMode="External"/><Relationship Id="rId1010" Type="http://schemas.openxmlformats.org/officeDocument/2006/relationships/hyperlink" Target="https://alpha.midjourney.com/jobs/9a41f8d3-5bc5-4d9b-81c3-e95ef5b1479e?index=2" TargetMode="External"/><Relationship Id="rId422" Type="http://schemas.openxmlformats.org/officeDocument/2006/relationships/hyperlink" Target="https://alpha.midjourney.com/jobs/c35359e9-f505-4086-9f77-c29fa1d8a9e1?index=1" TargetMode="External"/><Relationship Id="rId664" Type="http://schemas.openxmlformats.org/officeDocument/2006/relationships/hyperlink" Target="https://alpha.midjourney.com/jobs/ec8bc6ad-ad0e-4de1-8b67-74577084f9b3?index=0" TargetMode="External"/><Relationship Id="rId1011" Type="http://schemas.openxmlformats.org/officeDocument/2006/relationships/hyperlink" Target="https://alpha.midjourney.com/jobs/17c5c75e-e1c2-4ce4-a33f-2c72a7754f18?index=1" TargetMode="External"/><Relationship Id="rId421" Type="http://schemas.openxmlformats.org/officeDocument/2006/relationships/hyperlink" Target="https://alpha.midjourney.com/jobs/05e2906a-9860-4f5b-a13d-6f5d84bd149f?index=2" TargetMode="External"/><Relationship Id="rId663" Type="http://schemas.openxmlformats.org/officeDocument/2006/relationships/hyperlink" Target="https://alpha.midjourney.com/jobs/ec8bc6ad-ad0e-4de1-8b67-74577084f9b3?index=2" TargetMode="External"/><Relationship Id="rId1012" Type="http://schemas.openxmlformats.org/officeDocument/2006/relationships/hyperlink" Target="https://alpha.midjourney.com/jobs/536617b6-2031-4c60-aee8-5c7d124d29a1?index=3" TargetMode="External"/><Relationship Id="rId420" Type="http://schemas.openxmlformats.org/officeDocument/2006/relationships/hyperlink" Target="https://alpha.midjourney.com/jobs/ae5403d8-a727-4efc-95dc-e3c984fb160c?index=0" TargetMode="External"/><Relationship Id="rId662" Type="http://schemas.openxmlformats.org/officeDocument/2006/relationships/hyperlink" Target="https://alpha.midjourney.com/jobs/c010a863-b47f-48fe-a635-442f668abe87?index=0" TargetMode="External"/><Relationship Id="rId1013" Type="http://schemas.openxmlformats.org/officeDocument/2006/relationships/hyperlink" Target="https://alpha.midjourney.com/jobs/9909c810-1d1a-4522-9746-608c8037fb22?index=1" TargetMode="External"/><Relationship Id="rId661" Type="http://schemas.openxmlformats.org/officeDocument/2006/relationships/hyperlink" Target="https://alpha.midjourney.com/jobs/a773fda1-8e09-4208-91c9-e509ced2b25d?index=0" TargetMode="External"/><Relationship Id="rId1014" Type="http://schemas.openxmlformats.org/officeDocument/2006/relationships/hyperlink" Target="https://alpha.midjourney.com/jobs/9909c810-1d1a-4522-9746-608c8037fb22?index=2" TargetMode="External"/><Relationship Id="rId1004" Type="http://schemas.openxmlformats.org/officeDocument/2006/relationships/hyperlink" Target="https://alpha.midjourney.com/jobs/d14b775f-e7b0-42bf-a5a7-ee4e093d8287?index=0" TargetMode="External"/><Relationship Id="rId1005" Type="http://schemas.openxmlformats.org/officeDocument/2006/relationships/hyperlink" Target="https://alpha.midjourney.com/jobs/22fa481a-78f9-4baa-8123-8872b633cc3c?index=0" TargetMode="External"/><Relationship Id="rId1006" Type="http://schemas.openxmlformats.org/officeDocument/2006/relationships/hyperlink" Target="https://alpha.midjourney.com/jobs/721d5d72-5e1b-492d-a65a-671dc46df53a?index=3" TargetMode="External"/><Relationship Id="rId1007" Type="http://schemas.openxmlformats.org/officeDocument/2006/relationships/hyperlink" Target="https://alpha.midjourney.com/jobs/721d5d72-5e1b-492d-a65a-671dc46df53a?index=0" TargetMode="External"/><Relationship Id="rId1008" Type="http://schemas.openxmlformats.org/officeDocument/2006/relationships/hyperlink" Target="https://alpha.midjourney.com/jobs/a9ccb994-28ac-424d-a80c-a74d62f592c9?index=1" TargetMode="External"/><Relationship Id="rId1009" Type="http://schemas.openxmlformats.org/officeDocument/2006/relationships/hyperlink" Target="https://alpha.midjourney.com/jobs/6d8f687e-3016-4046-b7dc-d01ad76ff4be?index=3" TargetMode="External"/><Relationship Id="rId415" Type="http://schemas.openxmlformats.org/officeDocument/2006/relationships/hyperlink" Target="https://alpha.midjourney.com/jobs/05c6f5a4-d62f-42b1-9238-de993928da7c?index=0" TargetMode="External"/><Relationship Id="rId657" Type="http://schemas.openxmlformats.org/officeDocument/2006/relationships/hyperlink" Target="https://alpha.midjourney.com/jobs/042c7da6-d2b4-4b4e-9fac-c8a1de048f01?index=0" TargetMode="External"/><Relationship Id="rId899" Type="http://schemas.openxmlformats.org/officeDocument/2006/relationships/hyperlink" Target="https://alpha.midjourney.com/jobs/4e465558-f513-40cf-a15c-ba4a014ce281?index=1" TargetMode="External"/><Relationship Id="rId414" Type="http://schemas.openxmlformats.org/officeDocument/2006/relationships/hyperlink" Target="https://alpha.midjourney.com/jobs/7f321faf-3805-447d-865c-1174f939f1fb?index=2" TargetMode="External"/><Relationship Id="rId656" Type="http://schemas.openxmlformats.org/officeDocument/2006/relationships/hyperlink" Target="https://alpha.midjourney.com/jobs/ecea684f-75e7-4a2a-8d8c-b31339d7d861?index=0" TargetMode="External"/><Relationship Id="rId898" Type="http://schemas.openxmlformats.org/officeDocument/2006/relationships/hyperlink" Target="https://alpha.midjourney.com/jobs/b13d4b38-4043-4d72-8b94-3b6c276f71c2?index=1" TargetMode="External"/><Relationship Id="rId413" Type="http://schemas.openxmlformats.org/officeDocument/2006/relationships/hyperlink" Target="https://alpha.midjourney.com/jobs/5b8d513e-1e55-4e3d-83e3-5bb91d908d86?index=0" TargetMode="External"/><Relationship Id="rId655" Type="http://schemas.openxmlformats.org/officeDocument/2006/relationships/hyperlink" Target="https://alpha.midjourney.com/jobs/1d4aed0b-b3f1-4a68-841a-b6560e29fb45?index=1" TargetMode="External"/><Relationship Id="rId897" Type="http://schemas.openxmlformats.org/officeDocument/2006/relationships/hyperlink" Target="https://alpha.midjourney.com/jobs/b13d4b38-4043-4d72-8b94-3b6c276f71c2?index=3" TargetMode="External"/><Relationship Id="rId412" Type="http://schemas.openxmlformats.org/officeDocument/2006/relationships/hyperlink" Target="https://alpha.midjourney.com/jobs/cdb66904-4d64-426d-9b57-b52c40bac280?index=3" TargetMode="External"/><Relationship Id="rId654" Type="http://schemas.openxmlformats.org/officeDocument/2006/relationships/hyperlink" Target="https://alpha.midjourney.com/jobs/c6c2204f-73dc-4f96-bf79-85232ef0cb07?index=0" TargetMode="External"/><Relationship Id="rId896" Type="http://schemas.openxmlformats.org/officeDocument/2006/relationships/hyperlink" Target="https://alpha.midjourney.com/jobs/b13d4b38-4043-4d72-8b94-3b6c276f71c2?index=0" TargetMode="External"/><Relationship Id="rId419" Type="http://schemas.openxmlformats.org/officeDocument/2006/relationships/hyperlink" Target="https://alpha.midjourney.com/jobs/ae5403d8-a727-4efc-95dc-e3c984fb160c?index=3" TargetMode="External"/><Relationship Id="rId418" Type="http://schemas.openxmlformats.org/officeDocument/2006/relationships/hyperlink" Target="https://alpha.midjourney.com/jobs/e05954af-33c9-4da9-8e4a-db59dcbfe183?index=1" TargetMode="External"/><Relationship Id="rId417" Type="http://schemas.openxmlformats.org/officeDocument/2006/relationships/hyperlink" Target="https://alpha.midjourney.com/jobs/17400965-7d5e-43d1-89d1-50bc40d768d4?index=3" TargetMode="External"/><Relationship Id="rId659" Type="http://schemas.openxmlformats.org/officeDocument/2006/relationships/hyperlink" Target="https://alpha.midjourney.com/jobs/ffc45f5d-17c3-4d3e-936b-870f313b274d?index=3" TargetMode="External"/><Relationship Id="rId416" Type="http://schemas.openxmlformats.org/officeDocument/2006/relationships/hyperlink" Target="https://alpha.midjourney.com/jobs/f8a1ed76-7240-4cde-a3b9-27fa3ef0e3c1?index=2" TargetMode="External"/><Relationship Id="rId658" Type="http://schemas.openxmlformats.org/officeDocument/2006/relationships/hyperlink" Target="https://alpha.midjourney.com/jobs/9be18b40-35c2-40a9-81e0-0d0edb28fc87?index=0" TargetMode="External"/><Relationship Id="rId891" Type="http://schemas.openxmlformats.org/officeDocument/2006/relationships/hyperlink" Target="https://alpha.midjourney.com/jobs/1ee877c7-69cb-4902-bfd2-efc3d72ba15b?index=0" TargetMode="External"/><Relationship Id="rId890" Type="http://schemas.openxmlformats.org/officeDocument/2006/relationships/hyperlink" Target="https://alpha.midjourney.com/jobs/1ee877c7-69cb-4902-bfd2-efc3d72ba15b?index=2" TargetMode="External"/><Relationship Id="rId411" Type="http://schemas.openxmlformats.org/officeDocument/2006/relationships/hyperlink" Target="https://alpha.midjourney.com/jobs/4d30a02e-716e-4b60-a09c-89f780874304?index=3" TargetMode="External"/><Relationship Id="rId653" Type="http://schemas.openxmlformats.org/officeDocument/2006/relationships/hyperlink" Target="https://alpha.midjourney.com/jobs/4865252e-62d3-4d61-a1ff-9e163d348e13?index=2" TargetMode="External"/><Relationship Id="rId895" Type="http://schemas.openxmlformats.org/officeDocument/2006/relationships/hyperlink" Target="https://alpha.midjourney.com/jobs/ee4faeba-2f6a-47e5-83d6-2d5a67471d77?index=1" TargetMode="External"/><Relationship Id="rId1000" Type="http://schemas.openxmlformats.org/officeDocument/2006/relationships/hyperlink" Target="https://alpha.midjourney.com/jobs/2d9d297a-3f82-4914-a300-7c37c26ac936?index=0" TargetMode="External"/><Relationship Id="rId410" Type="http://schemas.openxmlformats.org/officeDocument/2006/relationships/hyperlink" Target="https://alpha.midjourney.com/jobs/01aeb422-4b10-4f42-9cdc-16002a77d82f?index=3" TargetMode="External"/><Relationship Id="rId652" Type="http://schemas.openxmlformats.org/officeDocument/2006/relationships/hyperlink" Target="https://alpha.midjourney.com/jobs/210e4748-4c39-4d6d-84d6-16b05dcaab37?index=1" TargetMode="External"/><Relationship Id="rId894" Type="http://schemas.openxmlformats.org/officeDocument/2006/relationships/hyperlink" Target="https://alpha.midjourney.com/jobs/518bf4f9-11be-4f69-b853-63d66a200ddc?index=0" TargetMode="External"/><Relationship Id="rId1001" Type="http://schemas.openxmlformats.org/officeDocument/2006/relationships/hyperlink" Target="https://alpha.midjourney.com/jobs/9c727ff6-c46f-495a-8745-eb3feef08a58?index=2" TargetMode="External"/><Relationship Id="rId651" Type="http://schemas.openxmlformats.org/officeDocument/2006/relationships/hyperlink" Target="https://alpha.midjourney.com/jobs/1ee1739c-f460-4f92-977f-b926ed62b9c9?index=2" TargetMode="External"/><Relationship Id="rId893" Type="http://schemas.openxmlformats.org/officeDocument/2006/relationships/hyperlink" Target="https://alpha.midjourney.com/jobs/c94ebe95-2550-4104-aa4d-1fb9ab6ec79b?index=0" TargetMode="External"/><Relationship Id="rId1002" Type="http://schemas.openxmlformats.org/officeDocument/2006/relationships/hyperlink" Target="https://alpha.midjourney.com/jobs/3b94e074-2b90-4fa3-bb5b-c3a7d3664e1b?index=2" TargetMode="External"/><Relationship Id="rId650" Type="http://schemas.openxmlformats.org/officeDocument/2006/relationships/hyperlink" Target="https://alpha.midjourney.com/jobs/bb65025a-3646-4b47-89da-e109c9da39f9?index=2" TargetMode="External"/><Relationship Id="rId892" Type="http://schemas.openxmlformats.org/officeDocument/2006/relationships/hyperlink" Target="https://alpha.midjourney.com/jobs/29a727a2-e00d-48c6-a41e-570e773070a3?index=0" TargetMode="External"/><Relationship Id="rId1003" Type="http://schemas.openxmlformats.org/officeDocument/2006/relationships/hyperlink" Target="https://alpha.midjourney.com/jobs/d14b775f-e7b0-42bf-a5a7-ee4e093d8287?index=2" TargetMode="External"/><Relationship Id="rId1037" Type="http://schemas.openxmlformats.org/officeDocument/2006/relationships/hyperlink" Target="https://www.midjourney.com/jobs/88ec9dfa-d82b-4beb-804a-4ec0ac518a50?index=2" TargetMode="External"/><Relationship Id="rId1038" Type="http://schemas.openxmlformats.org/officeDocument/2006/relationships/hyperlink" Target="https://www.midjourney.com/jobs/83f33e56-5ef0-478d-a89a-26f7c2b2c30c?index=0" TargetMode="External"/><Relationship Id="rId1039" Type="http://schemas.openxmlformats.org/officeDocument/2006/relationships/hyperlink" Target="https://www.midjourney.com/jobs/83f33e56-5ef0-478d-a89a-26f7c2b2c30c?index=3"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0bfb1ddb-5317-44ca-ac28-18bec4484bb2?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eb6b6ed8-09d8-4cb7-8e72-89daeeb5ad45?index=1" TargetMode="External"/><Relationship Id="rId689" Type="http://schemas.openxmlformats.org/officeDocument/2006/relationships/hyperlink" Target="https://alpha.midjourney.com/jobs/dd9d91c4-8389-4b65-9bba-37f6db63dfe1?index=3"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0d462342-adfb-4bc1-8852-2f568fbc9684?index=2" TargetMode="External"/><Relationship Id="rId688" Type="http://schemas.openxmlformats.org/officeDocument/2006/relationships/hyperlink" Target="https://alpha.midjourney.com/jobs/0874622e-ceb7-4298-aa38-4f6bf7fa38ea?index=1"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95d4bd24-c3f9-417f-be00-e2b02341a172?index=0" TargetMode="External"/><Relationship Id="rId687" Type="http://schemas.openxmlformats.org/officeDocument/2006/relationships/hyperlink" Target="https://alpha.midjourney.com/jobs/5c5f6b26-162e-4512-81a8-623ad199c9db?index=2"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fc65d230-0b7a-4bbd-9653-6fa105e5bcec?index=3" TargetMode="External"/><Relationship Id="rId440" Type="http://schemas.openxmlformats.org/officeDocument/2006/relationships/hyperlink" Target="https://alpha.midjourney.com/jobs/35a72dcd-bf6d-4211-a3ec-b4a56e9266de?index=3" TargetMode="External"/><Relationship Id="rId682" Type="http://schemas.openxmlformats.org/officeDocument/2006/relationships/hyperlink" Target="https://alpha.midjourney.com/jobs/a3f9b0a5-cf95-46d6-b2ad-b875e23a9b7b?index=2" TargetMode="External"/><Relationship Id="rId681" Type="http://schemas.openxmlformats.org/officeDocument/2006/relationships/hyperlink" Target="https://alpha.midjourney.com/jobs/a3f9b0a5-cf95-46d6-b2ad-b875e23a9b7b?index=3" TargetMode="External"/><Relationship Id="rId1030" Type="http://schemas.openxmlformats.org/officeDocument/2006/relationships/hyperlink" Target="https://www.midjourney.com/jobs/f2f0d1d5-448c-41c9-aeee-7989cce9f4b1?index=0" TargetMode="External"/><Relationship Id="rId680" Type="http://schemas.openxmlformats.org/officeDocument/2006/relationships/hyperlink" Target="https://alpha.midjourney.com/jobs/2be582e5-299d-470b-9cbc-a89027a4991d?index=3" TargetMode="External"/><Relationship Id="rId1031" Type="http://schemas.openxmlformats.org/officeDocument/2006/relationships/hyperlink" Target="https://www.midjourney.com/jobs/ff03a905-8b47-4bd9-928f-24dcb019a190?index=1" TargetMode="External"/><Relationship Id="rId1032" Type="http://schemas.openxmlformats.org/officeDocument/2006/relationships/hyperlink" Target="https://alpha.midjourney.com/jobs/5ac52d41-3ad4-459d-b8d6-8c2cc855a039?index=3"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64a2413c-9261-4124-ba7d-e64c2319aae0?index=0" TargetMode="External"/><Relationship Id="rId686" Type="http://schemas.openxmlformats.org/officeDocument/2006/relationships/hyperlink" Target="https://alpha.midjourney.com/jobs/74ae0134-7c5f-4b5f-b25f-6d6412423dc0?index=1" TargetMode="External"/><Relationship Id="rId1033" Type="http://schemas.openxmlformats.org/officeDocument/2006/relationships/hyperlink" Target="https://alpha.midjourney.com/jobs/43030d91-8b9c-4935-9aab-5de2c288506e?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b7fa891c-92aa-4309-9f37-1140cd8df7b3?index=2" TargetMode="External"/><Relationship Id="rId685" Type="http://schemas.openxmlformats.org/officeDocument/2006/relationships/hyperlink" Target="https://alpha.midjourney.com/jobs/b446efd1-d0f0-46e6-bb05-0789f08d931d?index=3" TargetMode="External"/><Relationship Id="rId1034" Type="http://schemas.openxmlformats.org/officeDocument/2006/relationships/hyperlink" Target="https://www.midjourney.com/jobs/f90f6950-8d45-4b82-98fe-6ad9bb1f3bb3?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f36ce57-0d46-485b-824d-f5324b716d84?index=1" TargetMode="External"/><Relationship Id="rId684" Type="http://schemas.openxmlformats.org/officeDocument/2006/relationships/hyperlink" Target="https://alpha.midjourney.com/jobs/b446efd1-d0f0-46e6-bb05-0789f08d931d?index=1" TargetMode="External"/><Relationship Id="rId1035" Type="http://schemas.openxmlformats.org/officeDocument/2006/relationships/hyperlink" Target="https://www.midjourney.com/jobs/f90f6950-8d45-4b82-98fe-6ad9bb1f3bb3?index=3" TargetMode="External"/><Relationship Id="rId441" Type="http://schemas.openxmlformats.org/officeDocument/2006/relationships/hyperlink" Target="https://alpha.midjourney.com/jobs/64811c7a-9306-4518-8d43-b94ca602125b?index=2" TargetMode="External"/><Relationship Id="rId683" Type="http://schemas.openxmlformats.org/officeDocument/2006/relationships/hyperlink" Target="https://alpha.midjourney.com/jobs/a3f9b0a5-cf95-46d6-b2ad-b875e23a9b7b?index=1" TargetMode="External"/><Relationship Id="rId1036" Type="http://schemas.openxmlformats.org/officeDocument/2006/relationships/hyperlink" Target="https://www.midjourney.com/jobs/f90f6950-8d45-4b82-98fe-6ad9bb1f3bb3?index=2" TargetMode="External"/><Relationship Id="rId1026" Type="http://schemas.openxmlformats.org/officeDocument/2006/relationships/hyperlink" Target="https://alpha.midjourney.com/jobs/c2f4baf1-31f1-4606-bf23-6d1860caa636?index=2" TargetMode="External"/><Relationship Id="rId1027" Type="http://schemas.openxmlformats.org/officeDocument/2006/relationships/hyperlink" Target="https://alpha.midjourney.com/jobs/1051c755-b7be-4af9-b7f5-630390db8721?index=2" TargetMode="External"/><Relationship Id="rId1028" Type="http://schemas.openxmlformats.org/officeDocument/2006/relationships/hyperlink" Target="https://www.midjourney.com/jobs/daa5df80-5847-4fa3-b98f-9e5564d261e0?index=0" TargetMode="External"/><Relationship Id="rId1029" Type="http://schemas.openxmlformats.org/officeDocument/2006/relationships/hyperlink" Target="https://www.midjourney.com/jobs/daa5df80-5847-4fa3-b98f-9e5564d261e0?index=3" TargetMode="External"/><Relationship Id="rId437" Type="http://schemas.openxmlformats.org/officeDocument/2006/relationships/hyperlink" Target="https://alpha.midjourney.com/jobs/7f15e033-4d9d-48a2-9a39-7197c3b9bf07?index=3" TargetMode="External"/><Relationship Id="rId679" Type="http://schemas.openxmlformats.org/officeDocument/2006/relationships/hyperlink" Target="https://alpha.midjourney.com/jobs/82cf010f-86e1-4c76-bba4-1f5a5c122086?index=3" TargetMode="External"/><Relationship Id="rId436" Type="http://schemas.openxmlformats.org/officeDocument/2006/relationships/hyperlink" Target="https://alpha.midjourney.com/jobs/f29821d3-a78b-46a9-ab7b-9b476d6ecfd7?index=1" TargetMode="External"/><Relationship Id="rId678" Type="http://schemas.openxmlformats.org/officeDocument/2006/relationships/hyperlink" Target="https://alpha.midjourney.com/jobs/82cf010f-86e1-4c76-bba4-1f5a5c122086?index=2" TargetMode="External"/><Relationship Id="rId435" Type="http://schemas.openxmlformats.org/officeDocument/2006/relationships/hyperlink" Target="https://alpha.midjourney.com/jobs/acf0f6ca-a4e8-42f7-998a-6dbb4b4e97db?index=2" TargetMode="External"/><Relationship Id="rId677" Type="http://schemas.openxmlformats.org/officeDocument/2006/relationships/hyperlink" Target="https://alpha.midjourney.com/jobs/22a34a29-1762-4b99-a1b7-f4960f0961b3?index=0" TargetMode="External"/><Relationship Id="rId434" Type="http://schemas.openxmlformats.org/officeDocument/2006/relationships/hyperlink" Target="https://alpha.midjourney.com/jobs/a737b620-375e-4bea-841a-f15d67a967ae?index=0" TargetMode="External"/><Relationship Id="rId676" Type="http://schemas.openxmlformats.org/officeDocument/2006/relationships/hyperlink" Target="https://alpha.midjourney.com/jobs/b4e6f87d-bee5-4e2c-bc71-25002b90cf7b?index=2" TargetMode="External"/><Relationship Id="rId439" Type="http://schemas.openxmlformats.org/officeDocument/2006/relationships/hyperlink" Target="https://alpha.midjourney.com/jobs/60403217-9653-4c7f-8bd1-52389abddd0b?index=2" TargetMode="External"/><Relationship Id="rId438" Type="http://schemas.openxmlformats.org/officeDocument/2006/relationships/hyperlink" Target="https://alpha.midjourney.com/jobs/a6b8108d-1bb5-42d2-a7a0-28095eb3d2c2?index=2" TargetMode="External"/><Relationship Id="rId671" Type="http://schemas.openxmlformats.org/officeDocument/2006/relationships/hyperlink" Target="https://alpha.midjourney.com/jobs/e9cfddb2-74e8-4821-93ef-db5a57e9c0e6?index=1" TargetMode="External"/><Relationship Id="rId670" Type="http://schemas.openxmlformats.org/officeDocument/2006/relationships/hyperlink" Target="https://alpha.midjourney.com/jobs/cfeb6d61-6de8-4337-8049-cf9ea0ce4b14?index=2" TargetMode="External"/><Relationship Id="rId1020" Type="http://schemas.openxmlformats.org/officeDocument/2006/relationships/hyperlink" Target="https://alpha.midjourney.com/jobs/c8c47bdb-5783-4472-8113-a503b7a339de?index=2" TargetMode="External"/><Relationship Id="rId1021" Type="http://schemas.openxmlformats.org/officeDocument/2006/relationships/hyperlink" Target="https://alpha.midjourney.com/jobs/d85a9ebe-d10f-41c3-8c3f-8f39e905f0f7?index=2" TargetMode="External"/><Relationship Id="rId433" Type="http://schemas.openxmlformats.org/officeDocument/2006/relationships/hyperlink" Target="https://alpha.midjourney.com/jobs/a737b620-375e-4bea-841a-f15d67a967ae?index=3" TargetMode="External"/><Relationship Id="rId675" Type="http://schemas.openxmlformats.org/officeDocument/2006/relationships/hyperlink" Target="https://alpha.midjourney.com/jobs/b4e6f87d-bee5-4e2c-bc71-25002b90cf7b?index=3" TargetMode="External"/><Relationship Id="rId1022" Type="http://schemas.openxmlformats.org/officeDocument/2006/relationships/hyperlink" Target="https://alpha.midjourney.com/jobs/686f79ee-72a4-4494-84de-527749b07bc1?index=0" TargetMode="External"/><Relationship Id="rId432" Type="http://schemas.openxmlformats.org/officeDocument/2006/relationships/hyperlink" Target="https://alpha.midjourney.com/jobs/7ce57454-8e8b-49fb-a4c3-0211ff1fde73?index=0" TargetMode="External"/><Relationship Id="rId674" Type="http://schemas.openxmlformats.org/officeDocument/2006/relationships/hyperlink" Target="https://alpha.midjourney.com/jobs/7f83f9df-7679-4c80-af2f-aaa0f9a41c1e?index=0" TargetMode="External"/><Relationship Id="rId1023" Type="http://schemas.openxmlformats.org/officeDocument/2006/relationships/hyperlink" Target="https://alpha.midjourney.com/jobs/b816314c-3b2a-4218-b988-7d8a32017561?index=0" TargetMode="External"/><Relationship Id="rId431" Type="http://schemas.openxmlformats.org/officeDocument/2006/relationships/hyperlink" Target="https://alpha.midjourney.com/jobs/067e0e0c-01bf-4cd5-b362-2ff08a3ca946?index=0" TargetMode="External"/><Relationship Id="rId673" Type="http://schemas.openxmlformats.org/officeDocument/2006/relationships/hyperlink" Target="https://alpha.midjourney.com/jobs/37b0498c-4b19-4c10-b0ef-756203163b3f?index=2" TargetMode="External"/><Relationship Id="rId1024" Type="http://schemas.openxmlformats.org/officeDocument/2006/relationships/hyperlink" Target="https://alpha.midjourney.com/jobs/b816314c-3b2a-4218-b988-7d8a32017561?index=3" TargetMode="External"/><Relationship Id="rId430" Type="http://schemas.openxmlformats.org/officeDocument/2006/relationships/hyperlink" Target="https://alpha.midjourney.com/jobs/5dd74aad-64d1-4f3c-85dc-1047094fdebc?index=1" TargetMode="External"/><Relationship Id="rId672" Type="http://schemas.openxmlformats.org/officeDocument/2006/relationships/hyperlink" Target="https://alpha.midjourney.com/jobs/3bf3147f-0874-4e69-a5cf-babf4744fc51?index=3" TargetMode="External"/><Relationship Id="rId1025" Type="http://schemas.openxmlformats.org/officeDocument/2006/relationships/hyperlink" Target="https://alpha.midjourney.com/jobs/c2f4baf1-31f1-4606-bf23-6d1860caa636?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L142" s="13" t="s">
        <v>963</v>
      </c>
    </row>
    <row r="143" hidden="1">
      <c r="A143" s="16" t="s">
        <v>964</v>
      </c>
      <c r="B143" s="7" t="s">
        <v>22</v>
      </c>
      <c r="C143" s="40" t="s">
        <v>965</v>
      </c>
      <c r="D143" s="15">
        <v>2.0</v>
      </c>
      <c r="E143" s="15" t="s">
        <v>540</v>
      </c>
      <c r="F143" s="16" t="s">
        <v>966</v>
      </c>
      <c r="G143" s="17" t="s">
        <v>664</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652</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639</v>
      </c>
      <c r="J146" s="15" t="s">
        <v>28</v>
      </c>
      <c r="K146" s="16" t="s">
        <v>979</v>
      </c>
      <c r="L146" s="13" t="s">
        <v>980</v>
      </c>
      <c r="M146" s="13" t="s">
        <v>981</v>
      </c>
      <c r="N146" s="13" t="s">
        <v>982</v>
      </c>
      <c r="O146" s="13" t="s">
        <v>983</v>
      </c>
      <c r="P146" s="13" t="s">
        <v>984</v>
      </c>
      <c r="Q146" s="13" t="s">
        <v>985</v>
      </c>
      <c r="R146" s="13" t="s">
        <v>986</v>
      </c>
      <c r="S146" s="13" t="s">
        <v>987</v>
      </c>
      <c r="T146" s="13" t="s">
        <v>988</v>
      </c>
      <c r="U146" s="13" t="s">
        <v>989</v>
      </c>
    </row>
    <row r="147" hidden="1">
      <c r="A147" s="7" t="s">
        <v>990</v>
      </c>
      <c r="B147" s="7" t="s">
        <v>22</v>
      </c>
      <c r="C147" s="25" t="s">
        <v>965</v>
      </c>
      <c r="D147" s="15">
        <v>2.0</v>
      </c>
      <c r="E147" s="9" t="s">
        <v>991</v>
      </c>
      <c r="F147" s="7" t="s">
        <v>992</v>
      </c>
      <c r="G147" s="10" t="s">
        <v>993</v>
      </c>
      <c r="H147" s="9">
        <v>4.0</v>
      </c>
      <c r="I147" s="9" t="s">
        <v>972</v>
      </c>
      <c r="J147" s="9" t="s">
        <v>72</v>
      </c>
    </row>
    <row r="148">
      <c r="A148" s="24" t="s">
        <v>994</v>
      </c>
      <c r="B148" s="7" t="s">
        <v>22</v>
      </c>
      <c r="C148" s="25" t="s">
        <v>420</v>
      </c>
      <c r="D148" s="15">
        <v>1.0</v>
      </c>
      <c r="E148" s="9" t="s">
        <v>589</v>
      </c>
      <c r="F148" s="7" t="s">
        <v>995</v>
      </c>
      <c r="G148" s="75" t="s">
        <v>996</v>
      </c>
      <c r="H148" s="21">
        <v>7.0</v>
      </c>
      <c r="I148" s="9" t="s">
        <v>997</v>
      </c>
      <c r="J148" s="21" t="s">
        <v>34</v>
      </c>
      <c r="K148" s="11" t="s">
        <v>998</v>
      </c>
      <c r="L148" s="13" t="s">
        <v>999</v>
      </c>
      <c r="M148" s="13" t="s">
        <v>1000</v>
      </c>
      <c r="N148" s="13" t="s">
        <v>1001</v>
      </c>
      <c r="O148" s="13" t="s">
        <v>1002</v>
      </c>
      <c r="P148" s="13" t="s">
        <v>1003</v>
      </c>
      <c r="Q148" s="13" t="s">
        <v>1004</v>
      </c>
      <c r="R148" s="13" t="s">
        <v>1005</v>
      </c>
      <c r="S148" s="13" t="s">
        <v>1006</v>
      </c>
      <c r="T148" s="13" t="s">
        <v>1007</v>
      </c>
      <c r="U148" s="13" t="s">
        <v>1008</v>
      </c>
    </row>
    <row r="149" hidden="1">
      <c r="A149" s="22" t="s">
        <v>1009</v>
      </c>
      <c r="B149" s="7" t="s">
        <v>22</v>
      </c>
      <c r="C149" s="25" t="s">
        <v>965</v>
      </c>
      <c r="D149" s="9">
        <v>2.0</v>
      </c>
      <c r="E149" s="9" t="s">
        <v>1010</v>
      </c>
      <c r="F149" s="7" t="s">
        <v>1011</v>
      </c>
      <c r="G149" s="10" t="s">
        <v>1012</v>
      </c>
      <c r="H149" s="9">
        <v>5.0</v>
      </c>
      <c r="I149" s="9" t="s">
        <v>972</v>
      </c>
      <c r="J149" s="9" t="s">
        <v>72</v>
      </c>
    </row>
    <row r="150" ht="15.75" customHeight="1">
      <c r="A150" s="20" t="s">
        <v>1013</v>
      </c>
      <c r="B150" s="7" t="s">
        <v>22</v>
      </c>
      <c r="C150" s="25" t="s">
        <v>420</v>
      </c>
      <c r="D150" s="9">
        <v>1.0</v>
      </c>
      <c r="E150" s="21" t="s">
        <v>410</v>
      </c>
      <c r="G150" s="10" t="s">
        <v>1014</v>
      </c>
      <c r="H150" s="21">
        <v>5.0</v>
      </c>
      <c r="I150" s="9" t="s">
        <v>523</v>
      </c>
      <c r="J150" s="21" t="s">
        <v>28</v>
      </c>
      <c r="K150" s="11" t="s">
        <v>1015</v>
      </c>
      <c r="L150" s="13" t="s">
        <v>1016</v>
      </c>
      <c r="M150" s="13" t="s">
        <v>1017</v>
      </c>
      <c r="N150" s="13" t="s">
        <v>1018</v>
      </c>
      <c r="O150" s="13" t="s">
        <v>1019</v>
      </c>
      <c r="P150" s="13" t="s">
        <v>1020</v>
      </c>
      <c r="Q150" s="13" t="s">
        <v>1021</v>
      </c>
      <c r="R150" s="13" t="s">
        <v>1022</v>
      </c>
      <c r="S150" s="13" t="s">
        <v>1023</v>
      </c>
      <c r="T150" s="13" t="s">
        <v>1024</v>
      </c>
      <c r="U150" s="13" t="s">
        <v>1025</v>
      </c>
    </row>
    <row r="151">
      <c r="A151" s="16" t="s">
        <v>1026</v>
      </c>
      <c r="B151" s="7" t="s">
        <v>22</v>
      </c>
      <c r="C151" s="40" t="s">
        <v>420</v>
      </c>
      <c r="D151" s="15">
        <v>1.0</v>
      </c>
      <c r="E151" s="15" t="s">
        <v>435</v>
      </c>
      <c r="F151" s="16"/>
      <c r="G151" s="17" t="s">
        <v>1027</v>
      </c>
      <c r="H151" s="15">
        <v>9.0</v>
      </c>
      <c r="I151" s="15" t="s">
        <v>1028</v>
      </c>
      <c r="J151" s="9" t="s">
        <v>28</v>
      </c>
      <c r="K151" s="11" t="s">
        <v>1029</v>
      </c>
      <c r="L151" s="13" t="s">
        <v>1030</v>
      </c>
      <c r="M151" s="13" t="s">
        <v>1031</v>
      </c>
      <c r="N151" s="13" t="s">
        <v>1032</v>
      </c>
      <c r="O151" s="13" t="s">
        <v>1033</v>
      </c>
      <c r="P151" s="13" t="s">
        <v>1034</v>
      </c>
      <c r="Q151" s="13" t="s">
        <v>1035</v>
      </c>
      <c r="R151" s="13" t="s">
        <v>1036</v>
      </c>
      <c r="S151" s="13" t="s">
        <v>1037</v>
      </c>
      <c r="T151" s="13" t="s">
        <v>1038</v>
      </c>
      <c r="U151" s="13" t="s">
        <v>1039</v>
      </c>
    </row>
    <row r="152">
      <c r="A152" s="16" t="s">
        <v>1040</v>
      </c>
      <c r="B152" s="7" t="s">
        <v>22</v>
      </c>
      <c r="C152" s="40" t="s">
        <v>420</v>
      </c>
      <c r="D152" s="15">
        <v>1.0</v>
      </c>
      <c r="E152" s="15" t="s">
        <v>1041</v>
      </c>
      <c r="F152" s="16" t="s">
        <v>1042</v>
      </c>
      <c r="G152" s="17" t="s">
        <v>1043</v>
      </c>
      <c r="H152" s="15">
        <v>3.0</v>
      </c>
      <c r="I152" s="15" t="s">
        <v>527</v>
      </c>
      <c r="J152" s="15" t="s">
        <v>34</v>
      </c>
      <c r="K152" s="11" t="s">
        <v>1044</v>
      </c>
      <c r="L152" s="13" t="s">
        <v>1045</v>
      </c>
      <c r="M152" s="13" t="s">
        <v>1046</v>
      </c>
      <c r="N152" s="13" t="s">
        <v>1047</v>
      </c>
      <c r="O152" s="13" t="s">
        <v>1048</v>
      </c>
      <c r="P152" s="13" t="s">
        <v>1049</v>
      </c>
    </row>
    <row r="153" hidden="1">
      <c r="A153" s="16" t="s">
        <v>1050</v>
      </c>
      <c r="B153" s="7" t="s">
        <v>22</v>
      </c>
      <c r="C153" s="76" t="s">
        <v>1051</v>
      </c>
      <c r="D153" s="15">
        <v>2.0</v>
      </c>
      <c r="E153" s="15" t="s">
        <v>39</v>
      </c>
      <c r="F153" s="16" t="s">
        <v>1052</v>
      </c>
      <c r="G153" s="17" t="s">
        <v>1053</v>
      </c>
      <c r="H153" s="15">
        <v>2.0</v>
      </c>
      <c r="I153" s="15" t="s">
        <v>1054</v>
      </c>
      <c r="J153" s="15" t="s">
        <v>72</v>
      </c>
    </row>
    <row r="154">
      <c r="A154" s="31" t="s">
        <v>1055</v>
      </c>
      <c r="B154" s="7" t="s">
        <v>22</v>
      </c>
      <c r="C154" s="40" t="s">
        <v>420</v>
      </c>
      <c r="D154" s="15">
        <v>1.0</v>
      </c>
      <c r="E154" s="15" t="s">
        <v>435</v>
      </c>
      <c r="F154" s="31" t="s">
        <v>1056</v>
      </c>
      <c r="G154" s="16" t="s">
        <v>1057</v>
      </c>
      <c r="H154" s="15">
        <v>4.0</v>
      </c>
      <c r="I154" s="15" t="s">
        <v>518</v>
      </c>
      <c r="J154" s="15" t="s">
        <v>34</v>
      </c>
      <c r="K154" s="16" t="s">
        <v>1058</v>
      </c>
      <c r="L154" s="13" t="s">
        <v>1059</v>
      </c>
      <c r="M154" s="13" t="s">
        <v>1060</v>
      </c>
      <c r="N154" s="13" t="s">
        <v>1061</v>
      </c>
      <c r="O154" s="13" t="s">
        <v>1062</v>
      </c>
      <c r="P154" s="13" t="s">
        <v>1063</v>
      </c>
      <c r="Q154" s="13" t="s">
        <v>1064</v>
      </c>
    </row>
    <row r="155">
      <c r="A155" s="31" t="s">
        <v>1065</v>
      </c>
      <c r="B155" s="7" t="s">
        <v>22</v>
      </c>
      <c r="C155" s="40" t="s">
        <v>420</v>
      </c>
      <c r="D155" s="15">
        <v>1.0</v>
      </c>
      <c r="E155" s="15" t="s">
        <v>435</v>
      </c>
      <c r="F155" s="31" t="s">
        <v>1066</v>
      </c>
      <c r="G155" s="16" t="s">
        <v>1067</v>
      </c>
      <c r="H155" s="15">
        <v>4.0</v>
      </c>
      <c r="I155" s="15" t="s">
        <v>872</v>
      </c>
      <c r="J155" s="15" t="s">
        <v>34</v>
      </c>
      <c r="K155" s="16" t="s">
        <v>1068</v>
      </c>
      <c r="L155" s="13" t="s">
        <v>1069</v>
      </c>
      <c r="M155" s="13" t="s">
        <v>1070</v>
      </c>
      <c r="N155" s="13" t="s">
        <v>1071</v>
      </c>
      <c r="O155" s="13" t="s">
        <v>1072</v>
      </c>
      <c r="P155" s="13" t="s">
        <v>1073</v>
      </c>
      <c r="Q155" s="13" t="s">
        <v>1074</v>
      </c>
      <c r="R155" s="13" t="s">
        <v>1075</v>
      </c>
    </row>
    <row r="156" hidden="1">
      <c r="A156" s="31" t="s">
        <v>1076</v>
      </c>
      <c r="B156" s="7" t="s">
        <v>22</v>
      </c>
      <c r="C156" s="76" t="s">
        <v>1051</v>
      </c>
      <c r="D156" s="15">
        <v>2.0</v>
      </c>
      <c r="E156" s="15" t="s">
        <v>697</v>
      </c>
      <c r="F156" s="16" t="s">
        <v>1077</v>
      </c>
      <c r="G156" s="17" t="s">
        <v>698</v>
      </c>
      <c r="H156" s="15">
        <v>2.0</v>
      </c>
      <c r="I156" s="15" t="s">
        <v>1078</v>
      </c>
      <c r="J156" s="15" t="s">
        <v>28</v>
      </c>
    </row>
    <row r="157">
      <c r="A157" s="31" t="s">
        <v>1079</v>
      </c>
      <c r="B157" s="7" t="s">
        <v>22</v>
      </c>
      <c r="C157" s="40" t="s">
        <v>420</v>
      </c>
      <c r="D157" s="15">
        <v>1.0</v>
      </c>
      <c r="E157" s="15" t="s">
        <v>1080</v>
      </c>
      <c r="F157" s="16" t="s">
        <v>1081</v>
      </c>
      <c r="G157" s="34"/>
      <c r="H157" s="15">
        <v>3.0</v>
      </c>
      <c r="I157" s="15" t="s">
        <v>423</v>
      </c>
      <c r="J157" s="15" t="s">
        <v>34</v>
      </c>
      <c r="K157" s="16" t="s">
        <v>1082</v>
      </c>
      <c r="L157" s="13" t="s">
        <v>1083</v>
      </c>
      <c r="M157" s="13" t="s">
        <v>1084</v>
      </c>
      <c r="N157" s="13" t="s">
        <v>1085</v>
      </c>
      <c r="O157" s="13" t="s">
        <v>1086</v>
      </c>
      <c r="P157" s="13" t="s">
        <v>1087</v>
      </c>
      <c r="Q157" s="13" t="s">
        <v>1088</v>
      </c>
    </row>
    <row r="158">
      <c r="A158" s="16" t="s">
        <v>1089</v>
      </c>
      <c r="B158" s="7" t="s">
        <v>22</v>
      </c>
      <c r="C158" s="40" t="s">
        <v>420</v>
      </c>
      <c r="D158" s="15">
        <v>1.0</v>
      </c>
      <c r="E158" s="15" t="s">
        <v>1090</v>
      </c>
      <c r="G158" s="34"/>
      <c r="H158" s="15">
        <v>1.0</v>
      </c>
      <c r="I158" s="9" t="s">
        <v>441</v>
      </c>
      <c r="J158" s="15" t="s">
        <v>28</v>
      </c>
      <c r="K158" s="16" t="s">
        <v>1091</v>
      </c>
      <c r="L158" s="13" t="s">
        <v>1092</v>
      </c>
      <c r="M158" s="13" t="s">
        <v>1093</v>
      </c>
      <c r="N158" s="13" t="s">
        <v>1094</v>
      </c>
      <c r="O158" s="13" t="s">
        <v>1095</v>
      </c>
      <c r="P158" s="13" t="s">
        <v>1096</v>
      </c>
      <c r="Q158" s="13" t="s">
        <v>1097</v>
      </c>
      <c r="R158" s="13" t="s">
        <v>1098</v>
      </c>
    </row>
    <row r="159">
      <c r="A159" s="16" t="s">
        <v>1099</v>
      </c>
      <c r="B159" s="7" t="s">
        <v>22</v>
      </c>
      <c r="C159" s="40" t="s">
        <v>420</v>
      </c>
      <c r="D159" s="15">
        <v>1.0</v>
      </c>
      <c r="E159" s="15" t="s">
        <v>435</v>
      </c>
      <c r="F159" s="77" t="s">
        <v>1100</v>
      </c>
      <c r="G159" s="16" t="s">
        <v>1101</v>
      </c>
      <c r="H159" s="15">
        <v>1.0</v>
      </c>
      <c r="I159" s="15" t="s">
        <v>1102</v>
      </c>
      <c r="J159" s="15" t="s">
        <v>28</v>
      </c>
      <c r="K159" s="16" t="s">
        <v>1103</v>
      </c>
      <c r="L159" s="13" t="s">
        <v>1104</v>
      </c>
      <c r="M159" s="13" t="s">
        <v>1105</v>
      </c>
      <c r="N159" s="13" t="s">
        <v>1106</v>
      </c>
      <c r="O159" s="13" t="s">
        <v>1107</v>
      </c>
    </row>
    <row r="160" hidden="1">
      <c r="A160" s="16" t="s">
        <v>1108</v>
      </c>
      <c r="B160" s="7" t="s">
        <v>22</v>
      </c>
      <c r="C160" s="40" t="s">
        <v>1051</v>
      </c>
      <c r="D160" s="15">
        <v>2.0</v>
      </c>
      <c r="E160" s="15" t="s">
        <v>1109</v>
      </c>
      <c r="F160" s="16" t="s">
        <v>1110</v>
      </c>
      <c r="G160" s="17" t="s">
        <v>1111</v>
      </c>
      <c r="H160" s="15">
        <v>4.0</v>
      </c>
      <c r="I160" s="15" t="s">
        <v>1112</v>
      </c>
      <c r="J160" s="15" t="s">
        <v>34</v>
      </c>
    </row>
    <row r="161">
      <c r="A161" s="7" t="s">
        <v>1113</v>
      </c>
      <c r="B161" s="7" t="s">
        <v>22</v>
      </c>
      <c r="C161" s="7" t="s">
        <v>895</v>
      </c>
      <c r="D161" s="9">
        <v>1.0</v>
      </c>
      <c r="E161" s="9" t="s">
        <v>1114</v>
      </c>
      <c r="F161" s="7" t="s">
        <v>1115</v>
      </c>
      <c r="G161" s="10" t="s">
        <v>1116</v>
      </c>
      <c r="H161" s="9">
        <v>2.0</v>
      </c>
      <c r="I161" s="9" t="s">
        <v>898</v>
      </c>
      <c r="J161" s="9" t="s">
        <v>72</v>
      </c>
      <c r="K161" s="11" t="s">
        <v>1117</v>
      </c>
      <c r="L161" s="13" t="s">
        <v>1118</v>
      </c>
      <c r="M161" s="13" t="s">
        <v>1119</v>
      </c>
      <c r="N161" s="13" t="s">
        <v>1120</v>
      </c>
      <c r="O161" s="13" t="s">
        <v>1121</v>
      </c>
      <c r="P161" s="13" t="s">
        <v>1122</v>
      </c>
      <c r="Q161" s="13" t="s">
        <v>1123</v>
      </c>
      <c r="R161" s="13" t="s">
        <v>1124</v>
      </c>
      <c r="S161" s="13" t="s">
        <v>1125</v>
      </c>
      <c r="T161" s="13" t="s">
        <v>1126</v>
      </c>
      <c r="U161" s="13" t="s">
        <v>1127</v>
      </c>
    </row>
    <row r="162">
      <c r="A162" s="7" t="s">
        <v>1128</v>
      </c>
      <c r="B162" s="7" t="s">
        <v>22</v>
      </c>
      <c r="C162" s="7" t="s">
        <v>895</v>
      </c>
      <c r="D162" s="9">
        <v>1.0</v>
      </c>
      <c r="E162" s="9" t="s">
        <v>337</v>
      </c>
      <c r="F162" s="7" t="s">
        <v>1129</v>
      </c>
      <c r="G162" s="75" t="s">
        <v>1130</v>
      </c>
      <c r="H162" s="9">
        <v>5.0</v>
      </c>
      <c r="I162" s="9" t="s">
        <v>1131</v>
      </c>
      <c r="J162" s="9" t="s">
        <v>34</v>
      </c>
      <c r="K162" s="11" t="s">
        <v>1132</v>
      </c>
      <c r="L162" s="13" t="s">
        <v>1133</v>
      </c>
      <c r="M162" s="13" t="s">
        <v>1134</v>
      </c>
      <c r="N162" s="13" t="s">
        <v>1135</v>
      </c>
      <c r="O162" s="13" t="s">
        <v>1136</v>
      </c>
      <c r="P162" s="13" t="s">
        <v>1137</v>
      </c>
      <c r="Q162" s="13" t="s">
        <v>1138</v>
      </c>
      <c r="R162" s="13" t="s">
        <v>1139</v>
      </c>
      <c r="S162" s="13" t="s">
        <v>1140</v>
      </c>
    </row>
    <row r="163" hidden="1">
      <c r="A163" s="16" t="s">
        <v>1141</v>
      </c>
      <c r="B163" s="7" t="s">
        <v>22</v>
      </c>
      <c r="C163" s="78" t="s">
        <v>1051</v>
      </c>
      <c r="D163" s="15">
        <v>2.0</v>
      </c>
      <c r="E163" s="15" t="s">
        <v>39</v>
      </c>
      <c r="F163" s="16" t="s">
        <v>1142</v>
      </c>
      <c r="G163" s="17" t="s">
        <v>215</v>
      </c>
      <c r="H163" s="15">
        <v>2.0</v>
      </c>
      <c r="I163" s="15" t="s">
        <v>1143</v>
      </c>
      <c r="J163" s="9" t="s">
        <v>72</v>
      </c>
    </row>
    <row r="164" hidden="1">
      <c r="A164" s="16" t="s">
        <v>1144</v>
      </c>
      <c r="B164" s="7" t="s">
        <v>22</v>
      </c>
      <c r="C164" s="78" t="s">
        <v>1051</v>
      </c>
      <c r="D164" s="15">
        <v>2.0</v>
      </c>
      <c r="E164" s="15" t="s">
        <v>151</v>
      </c>
      <c r="F164" s="16" t="s">
        <v>1145</v>
      </c>
      <c r="G164" s="17" t="s">
        <v>1146</v>
      </c>
      <c r="H164" s="15">
        <v>4.0</v>
      </c>
      <c r="I164" s="15" t="s">
        <v>1143</v>
      </c>
      <c r="J164" s="15" t="s">
        <v>72</v>
      </c>
    </row>
    <row r="165">
      <c r="A165" s="18" t="s">
        <v>1147</v>
      </c>
      <c r="B165" s="7" t="s">
        <v>22</v>
      </c>
      <c r="C165" s="7" t="s">
        <v>895</v>
      </c>
      <c r="D165" s="9">
        <v>1.0</v>
      </c>
      <c r="E165" s="9" t="s">
        <v>1148</v>
      </c>
      <c r="F165" s="7"/>
      <c r="G165" s="10" t="s">
        <v>1149</v>
      </c>
      <c r="H165" s="9">
        <v>2.0</v>
      </c>
      <c r="I165" s="9" t="s">
        <v>1150</v>
      </c>
      <c r="J165" s="9" t="s">
        <v>28</v>
      </c>
      <c r="K165" s="11" t="s">
        <v>1151</v>
      </c>
      <c r="L165" s="13" t="s">
        <v>1152</v>
      </c>
      <c r="M165" s="13" t="s">
        <v>1153</v>
      </c>
      <c r="N165" s="13" t="s">
        <v>1154</v>
      </c>
      <c r="O165" s="13" t="s">
        <v>1155</v>
      </c>
      <c r="P165" s="13" t="s">
        <v>1156</v>
      </c>
      <c r="Q165" s="13" t="s">
        <v>1157</v>
      </c>
      <c r="R165" s="13" t="s">
        <v>1158</v>
      </c>
      <c r="S165" s="13" t="s">
        <v>1159</v>
      </c>
      <c r="T165" s="13" t="s">
        <v>1160</v>
      </c>
      <c r="U165" s="13" t="s">
        <v>1161</v>
      </c>
    </row>
    <row r="166">
      <c r="A166" s="79" t="s">
        <v>1162</v>
      </c>
      <c r="B166" s="7" t="s">
        <v>22</v>
      </c>
      <c r="C166" s="7" t="s">
        <v>918</v>
      </c>
      <c r="D166" s="9">
        <v>1.0</v>
      </c>
      <c r="E166" s="9" t="s">
        <v>589</v>
      </c>
      <c r="F166" s="7" t="s">
        <v>1163</v>
      </c>
      <c r="G166" s="10" t="s">
        <v>1164</v>
      </c>
      <c r="H166" s="9">
        <v>5.0</v>
      </c>
      <c r="I166" s="9" t="s">
        <v>944</v>
      </c>
      <c r="J166" s="9" t="s">
        <v>72</v>
      </c>
      <c r="K166" s="11" t="s">
        <v>1165</v>
      </c>
      <c r="L166" s="13" t="s">
        <v>1166</v>
      </c>
      <c r="M166" s="13" t="s">
        <v>1167</v>
      </c>
      <c r="N166" s="13" t="s">
        <v>1168</v>
      </c>
      <c r="O166" s="13" t="s">
        <v>1169</v>
      </c>
      <c r="P166" s="13" t="s">
        <v>1170</v>
      </c>
      <c r="Q166" s="13" t="s">
        <v>1171</v>
      </c>
      <c r="R166" s="13" t="s">
        <v>1172</v>
      </c>
      <c r="S166" s="13" t="s">
        <v>1173</v>
      </c>
      <c r="T166" s="13" t="s">
        <v>1174</v>
      </c>
      <c r="U166" s="13" t="s">
        <v>1175</v>
      </c>
    </row>
    <row r="167" hidden="1">
      <c r="A167" s="7" t="s">
        <v>1176</v>
      </c>
      <c r="B167" s="7" t="s">
        <v>22</v>
      </c>
      <c r="C167" s="80" t="s">
        <v>1051</v>
      </c>
      <c r="D167" s="9">
        <v>2.0</v>
      </c>
      <c r="E167" s="9" t="s">
        <v>39</v>
      </c>
      <c r="F167" s="81" t="s">
        <v>1177</v>
      </c>
      <c r="G167" s="10" t="s">
        <v>660</v>
      </c>
      <c r="H167" s="9">
        <v>3.0</v>
      </c>
      <c r="I167" s="9" t="s">
        <v>1078</v>
      </c>
      <c r="J167" s="9" t="s">
        <v>34</v>
      </c>
    </row>
    <row r="168">
      <c r="A168" s="7" t="s">
        <v>1178</v>
      </c>
      <c r="B168" s="7" t="s">
        <v>22</v>
      </c>
      <c r="C168" s="7" t="s">
        <v>918</v>
      </c>
      <c r="D168" s="9">
        <v>1.0</v>
      </c>
      <c r="E168" s="9" t="s">
        <v>329</v>
      </c>
      <c r="F168" s="7" t="s">
        <v>1179</v>
      </c>
      <c r="G168" s="10" t="s">
        <v>1180</v>
      </c>
      <c r="H168" s="9">
        <v>6.0</v>
      </c>
      <c r="I168" s="9" t="s">
        <v>1181</v>
      </c>
      <c r="J168" s="9" t="s">
        <v>34</v>
      </c>
      <c r="K168" s="11" t="s">
        <v>1182</v>
      </c>
      <c r="L168" s="13" t="s">
        <v>1183</v>
      </c>
      <c r="M168" s="13" t="s">
        <v>1184</v>
      </c>
      <c r="N168" s="13" t="s">
        <v>1185</v>
      </c>
      <c r="O168" s="13" t="s">
        <v>1186</v>
      </c>
      <c r="P168" s="13" t="s">
        <v>1187</v>
      </c>
      <c r="Q168" s="13" t="s">
        <v>1188</v>
      </c>
      <c r="R168" s="13" t="s">
        <v>1189</v>
      </c>
      <c r="S168" s="13" t="s">
        <v>1190</v>
      </c>
      <c r="T168" s="13" t="s">
        <v>1191</v>
      </c>
      <c r="U168" s="13" t="s">
        <v>1192</v>
      </c>
    </row>
    <row r="169">
      <c r="A169" s="16" t="s">
        <v>1193</v>
      </c>
      <c r="B169" s="7" t="s">
        <v>22</v>
      </c>
      <c r="C169" s="7" t="s">
        <v>918</v>
      </c>
      <c r="D169" s="9">
        <v>1.0</v>
      </c>
      <c r="E169" s="9" t="s">
        <v>1194</v>
      </c>
      <c r="F169" s="7"/>
      <c r="G169" s="10" t="s">
        <v>1195</v>
      </c>
      <c r="H169" s="9">
        <v>2.0</v>
      </c>
      <c r="I169" s="9" t="s">
        <v>1196</v>
      </c>
      <c r="J169" s="9" t="s">
        <v>28</v>
      </c>
      <c r="K169" s="11" t="s">
        <v>1197</v>
      </c>
      <c r="L169" s="13" t="s">
        <v>1198</v>
      </c>
      <c r="M169" s="13" t="s">
        <v>1199</v>
      </c>
      <c r="N169" s="13" t="s">
        <v>1200</v>
      </c>
      <c r="O169" s="13" t="s">
        <v>1201</v>
      </c>
      <c r="P169" s="13" t="s">
        <v>1202</v>
      </c>
      <c r="Q169" s="13" t="s">
        <v>1203</v>
      </c>
      <c r="R169" s="13" t="s">
        <v>1204</v>
      </c>
      <c r="S169" s="13" t="s">
        <v>1205</v>
      </c>
    </row>
    <row r="170" hidden="1">
      <c r="A170" s="22" t="s">
        <v>1206</v>
      </c>
      <c r="B170" s="7" t="s">
        <v>22</v>
      </c>
      <c r="C170" s="80" t="s">
        <v>1051</v>
      </c>
      <c r="D170" s="9">
        <v>2.0</v>
      </c>
      <c r="E170" s="9" t="s">
        <v>324</v>
      </c>
      <c r="F170" s="7" t="s">
        <v>1207</v>
      </c>
      <c r="G170" s="10" t="s">
        <v>1208</v>
      </c>
      <c r="H170" s="9">
        <v>3.0</v>
      </c>
      <c r="I170" s="9" t="s">
        <v>1054</v>
      </c>
      <c r="J170" s="9" t="s">
        <v>72</v>
      </c>
    </row>
    <row r="171" hidden="1">
      <c r="A171" s="22" t="s">
        <v>1209</v>
      </c>
      <c r="B171" s="7" t="s">
        <v>22</v>
      </c>
      <c r="C171" s="80" t="s">
        <v>1051</v>
      </c>
      <c r="D171" s="9">
        <v>2.0</v>
      </c>
      <c r="E171" s="9" t="s">
        <v>448</v>
      </c>
      <c r="F171" s="7" t="s">
        <v>1210</v>
      </c>
      <c r="G171" s="10" t="s">
        <v>1211</v>
      </c>
      <c r="H171" s="9">
        <v>2.0</v>
      </c>
      <c r="I171" s="9" t="s">
        <v>1212</v>
      </c>
      <c r="J171" s="9" t="s">
        <v>28</v>
      </c>
    </row>
    <row r="172" hidden="1">
      <c r="A172" s="16" t="s">
        <v>1213</v>
      </c>
      <c r="B172" s="7" t="s">
        <v>22</v>
      </c>
      <c r="C172" s="78" t="s">
        <v>1051</v>
      </c>
      <c r="D172" s="15">
        <v>2.0</v>
      </c>
      <c r="E172" s="15" t="s">
        <v>151</v>
      </c>
      <c r="F172" s="16" t="s">
        <v>1214</v>
      </c>
      <c r="G172" s="17" t="s">
        <v>664</v>
      </c>
      <c r="H172" s="15">
        <v>4.0</v>
      </c>
      <c r="I172" s="15" t="s">
        <v>1215</v>
      </c>
      <c r="J172" s="15" t="s">
        <v>72</v>
      </c>
    </row>
    <row r="173" hidden="1">
      <c r="A173" s="22" t="s">
        <v>1216</v>
      </c>
      <c r="B173" s="7" t="s">
        <v>22</v>
      </c>
      <c r="C173" s="80" t="s">
        <v>1051</v>
      </c>
      <c r="D173" s="9">
        <v>2.0</v>
      </c>
      <c r="E173" s="9" t="s">
        <v>324</v>
      </c>
      <c r="F173" s="7" t="s">
        <v>1217</v>
      </c>
      <c r="G173" s="10" t="s">
        <v>1218</v>
      </c>
      <c r="H173" s="9">
        <v>4.0</v>
      </c>
      <c r="I173" s="9" t="s">
        <v>1215</v>
      </c>
      <c r="J173" s="15" t="s">
        <v>72</v>
      </c>
    </row>
    <row r="174" hidden="1">
      <c r="A174" s="16" t="s">
        <v>1219</v>
      </c>
      <c r="B174" s="7" t="s">
        <v>22</v>
      </c>
      <c r="C174" s="78" t="s">
        <v>1051</v>
      </c>
      <c r="D174" s="15">
        <v>2.0</v>
      </c>
      <c r="E174" s="15" t="s">
        <v>39</v>
      </c>
      <c r="F174" s="16" t="s">
        <v>1220</v>
      </c>
      <c r="G174" s="17" t="s">
        <v>1221</v>
      </c>
      <c r="H174" s="15">
        <v>1.0</v>
      </c>
      <c r="I174" s="15" t="s">
        <v>1212</v>
      </c>
      <c r="J174" s="15" t="s">
        <v>28</v>
      </c>
    </row>
    <row r="175">
      <c r="A175" s="7" t="s">
        <v>1222</v>
      </c>
      <c r="B175" s="7" t="s">
        <v>22</v>
      </c>
      <c r="C175" s="7" t="s">
        <v>965</v>
      </c>
      <c r="D175" s="15">
        <v>1.0</v>
      </c>
      <c r="E175" s="9" t="s">
        <v>1223</v>
      </c>
      <c r="F175" s="7" t="s">
        <v>1224</v>
      </c>
      <c r="G175" s="10" t="s">
        <v>1225</v>
      </c>
      <c r="H175" s="9">
        <v>5.0</v>
      </c>
      <c r="I175" s="9" t="s">
        <v>972</v>
      </c>
      <c r="J175" s="9" t="s">
        <v>72</v>
      </c>
      <c r="K175" s="11" t="s">
        <v>1226</v>
      </c>
      <c r="L175" s="13" t="s">
        <v>1227</v>
      </c>
      <c r="M175" s="13" t="s">
        <v>1228</v>
      </c>
      <c r="N175" s="13" t="s">
        <v>1229</v>
      </c>
      <c r="O175" s="13" t="s">
        <v>1230</v>
      </c>
      <c r="P175" s="13" t="s">
        <v>1231</v>
      </c>
      <c r="Q175" s="13" t="s">
        <v>1232</v>
      </c>
    </row>
    <row r="176" hidden="1">
      <c r="A176" s="16" t="s">
        <v>1233</v>
      </c>
      <c r="B176" s="7" t="s">
        <v>22</v>
      </c>
      <c r="C176" s="78" t="s">
        <v>1051</v>
      </c>
      <c r="D176" s="15">
        <v>2.0</v>
      </c>
      <c r="E176" s="15" t="s">
        <v>151</v>
      </c>
      <c r="F176" s="16" t="s">
        <v>1234</v>
      </c>
      <c r="G176" s="17" t="s">
        <v>1235</v>
      </c>
      <c r="H176" s="15">
        <v>3.0</v>
      </c>
      <c r="I176" s="15" t="s">
        <v>1215</v>
      </c>
      <c r="J176" s="15" t="s">
        <v>28</v>
      </c>
    </row>
    <row r="177">
      <c r="A177" s="7" t="s">
        <v>1236</v>
      </c>
      <c r="B177" s="7" t="s">
        <v>22</v>
      </c>
      <c r="C177" s="7" t="s">
        <v>965</v>
      </c>
      <c r="D177" s="9">
        <v>1.0</v>
      </c>
      <c r="E177" s="9" t="s">
        <v>814</v>
      </c>
      <c r="F177" s="7" t="s">
        <v>1237</v>
      </c>
      <c r="G177" s="10" t="s">
        <v>1238</v>
      </c>
      <c r="H177" s="9">
        <v>5.0</v>
      </c>
      <c r="I177" s="9" t="s">
        <v>1239</v>
      </c>
      <c r="J177" s="9" t="s">
        <v>34</v>
      </c>
      <c r="K177" s="11" t="s">
        <v>1240</v>
      </c>
      <c r="L177" s="13" t="s">
        <v>1241</v>
      </c>
      <c r="M177" s="13" t="s">
        <v>1242</v>
      </c>
      <c r="N177" s="13" t="s">
        <v>1243</v>
      </c>
    </row>
    <row r="178" hidden="1">
      <c r="A178" s="51" t="s">
        <v>1244</v>
      </c>
      <c r="B178" s="7" t="s">
        <v>22</v>
      </c>
      <c r="C178" s="80" t="s">
        <v>1051</v>
      </c>
      <c r="D178" s="9">
        <v>2.0</v>
      </c>
      <c r="E178" s="9" t="s">
        <v>337</v>
      </c>
      <c r="F178" s="7" t="s">
        <v>1245</v>
      </c>
      <c r="G178" s="10" t="s">
        <v>1246</v>
      </c>
      <c r="H178" s="9">
        <v>3.0</v>
      </c>
      <c r="I178" s="9" t="s">
        <v>1143</v>
      </c>
      <c r="J178" s="9" t="s">
        <v>72</v>
      </c>
    </row>
    <row r="179">
      <c r="A179" s="7" t="s">
        <v>1247</v>
      </c>
      <c r="B179" s="7" t="s">
        <v>22</v>
      </c>
      <c r="C179" s="7" t="s">
        <v>965</v>
      </c>
      <c r="D179" s="9">
        <v>1.0</v>
      </c>
      <c r="E179" s="9" t="s">
        <v>1248</v>
      </c>
      <c r="F179" s="7"/>
      <c r="G179" s="10" t="s">
        <v>1249</v>
      </c>
      <c r="H179" s="9">
        <v>2.0</v>
      </c>
      <c r="I179" s="9" t="s">
        <v>967</v>
      </c>
      <c r="J179" s="9" t="s">
        <v>28</v>
      </c>
      <c r="K179" s="11" t="s">
        <v>1250</v>
      </c>
      <c r="L179" s="13" t="s">
        <v>1251</v>
      </c>
      <c r="M179" s="13" t="s">
        <v>1252</v>
      </c>
      <c r="N179" s="13" t="s">
        <v>1253</v>
      </c>
      <c r="O179" s="13" t="s">
        <v>1254</v>
      </c>
      <c r="P179" s="13" t="s">
        <v>1255</v>
      </c>
      <c r="Q179" s="13" t="s">
        <v>1256</v>
      </c>
      <c r="R179" s="13" t="s">
        <v>1257</v>
      </c>
      <c r="S179" s="13" t="s">
        <v>1258</v>
      </c>
      <c r="T179" s="13" t="s">
        <v>1259</v>
      </c>
      <c r="U179" s="13" t="s">
        <v>1260</v>
      </c>
    </row>
    <row r="180">
      <c r="A180" s="7" t="s">
        <v>1261</v>
      </c>
      <c r="B180" s="7" t="s">
        <v>22</v>
      </c>
      <c r="C180" s="7" t="s">
        <v>1051</v>
      </c>
      <c r="D180" s="9">
        <v>1.0</v>
      </c>
      <c r="E180" s="15" t="s">
        <v>655</v>
      </c>
      <c r="F180" s="16" t="s">
        <v>1262</v>
      </c>
      <c r="G180" s="38" t="s">
        <v>1263</v>
      </c>
      <c r="H180" s="15">
        <v>3.0</v>
      </c>
      <c r="I180" s="15" t="s">
        <v>1054</v>
      </c>
      <c r="J180" s="9" t="s">
        <v>28</v>
      </c>
      <c r="K180" s="11" t="s">
        <v>1264</v>
      </c>
      <c r="L180" s="13" t="s">
        <v>1265</v>
      </c>
      <c r="M180" s="13" t="s">
        <v>1266</v>
      </c>
      <c r="N180" s="13" t="s">
        <v>1267</v>
      </c>
      <c r="O180" s="13" t="s">
        <v>1268</v>
      </c>
      <c r="P180" s="13" t="s">
        <v>1269</v>
      </c>
      <c r="Q180" s="13" t="s">
        <v>1266</v>
      </c>
      <c r="R180" s="13" t="s">
        <v>1270</v>
      </c>
    </row>
    <row r="181" hidden="1">
      <c r="A181" s="22" t="s">
        <v>1271</v>
      </c>
      <c r="B181" s="7" t="s">
        <v>22</v>
      </c>
      <c r="C181" s="80" t="s">
        <v>1051</v>
      </c>
      <c r="D181" s="15">
        <v>2.0</v>
      </c>
      <c r="E181" s="9" t="s">
        <v>82</v>
      </c>
      <c r="F181" s="7" t="s">
        <v>1272</v>
      </c>
      <c r="G181" s="10" t="s">
        <v>1273</v>
      </c>
      <c r="H181" s="9">
        <v>3.0</v>
      </c>
      <c r="I181" s="9" t="s">
        <v>1143</v>
      </c>
      <c r="J181" s="9" t="s">
        <v>72</v>
      </c>
    </row>
    <row r="182" ht="14.25" customHeight="1">
      <c r="A182" s="7" t="s">
        <v>1274</v>
      </c>
      <c r="B182" s="7" t="s">
        <v>22</v>
      </c>
      <c r="C182" s="7" t="s">
        <v>1051</v>
      </c>
      <c r="D182" s="9">
        <v>1.0</v>
      </c>
      <c r="E182" s="9" t="s">
        <v>662</v>
      </c>
      <c r="F182" s="7" t="s">
        <v>1275</v>
      </c>
      <c r="G182" s="10" t="s">
        <v>1276</v>
      </c>
      <c r="H182" s="9">
        <v>1.0</v>
      </c>
      <c r="I182" s="9" t="s">
        <v>1078</v>
      </c>
      <c r="J182" s="9" t="s">
        <v>28</v>
      </c>
      <c r="K182" s="11" t="s">
        <v>1277</v>
      </c>
      <c r="L182" s="13" t="s">
        <v>1278</v>
      </c>
      <c r="M182" s="13" t="s">
        <v>1279</v>
      </c>
      <c r="N182" s="13" t="s">
        <v>1280</v>
      </c>
      <c r="O182" s="13" t="s">
        <v>1281</v>
      </c>
      <c r="P182" s="13" t="s">
        <v>1282</v>
      </c>
      <c r="Q182" s="13" t="s">
        <v>1283</v>
      </c>
      <c r="R182" s="13" t="s">
        <v>1284</v>
      </c>
    </row>
    <row r="183" hidden="1">
      <c r="A183" s="7" t="s">
        <v>1285</v>
      </c>
      <c r="B183" s="7" t="s">
        <v>22</v>
      </c>
      <c r="C183" s="80" t="s">
        <v>1051</v>
      </c>
      <c r="D183" s="15">
        <v>2.0</v>
      </c>
      <c r="E183" s="9" t="s">
        <v>39</v>
      </c>
      <c r="F183" s="82" t="s">
        <v>1286</v>
      </c>
      <c r="G183" s="10" t="s">
        <v>1287</v>
      </c>
      <c r="H183" s="9">
        <v>3.0</v>
      </c>
      <c r="I183" s="9" t="s">
        <v>1143</v>
      </c>
      <c r="J183" s="9" t="s">
        <v>72</v>
      </c>
    </row>
    <row r="184" ht="16.5" hidden="1" customHeight="1">
      <c r="A184" s="22" t="s">
        <v>1288</v>
      </c>
      <c r="B184" s="7" t="s">
        <v>22</v>
      </c>
      <c r="C184" s="80" t="s">
        <v>1051</v>
      </c>
      <c r="D184" s="9">
        <v>0.0</v>
      </c>
      <c r="E184" s="9" t="s">
        <v>240</v>
      </c>
      <c r="F184" s="7" t="s">
        <v>1289</v>
      </c>
      <c r="G184" s="10" t="s">
        <v>1290</v>
      </c>
      <c r="H184" s="9">
        <v>4.0</v>
      </c>
      <c r="I184" s="9" t="s">
        <v>1215</v>
      </c>
      <c r="J184" s="15" t="s">
        <v>72</v>
      </c>
    </row>
    <row r="185" hidden="1">
      <c r="A185" s="16" t="s">
        <v>1291</v>
      </c>
      <c r="B185" s="7" t="s">
        <v>22</v>
      </c>
      <c r="C185" s="80" t="s">
        <v>1051</v>
      </c>
      <c r="D185" s="9">
        <v>2.0</v>
      </c>
      <c r="E185" s="9" t="s">
        <v>1010</v>
      </c>
      <c r="F185" s="7" t="s">
        <v>1292</v>
      </c>
      <c r="G185" s="10" t="s">
        <v>660</v>
      </c>
      <c r="H185" s="9">
        <v>2.0</v>
      </c>
      <c r="I185" s="9" t="s">
        <v>1293</v>
      </c>
      <c r="J185" s="9" t="s">
        <v>72</v>
      </c>
    </row>
    <row r="186">
      <c r="A186" s="16" t="s">
        <v>1294</v>
      </c>
      <c r="B186" s="7" t="s">
        <v>22</v>
      </c>
      <c r="C186" s="7" t="s">
        <v>1051</v>
      </c>
      <c r="D186" s="9">
        <v>1.0</v>
      </c>
      <c r="E186" s="9" t="s">
        <v>39</v>
      </c>
      <c r="F186" s="7" t="s">
        <v>62</v>
      </c>
      <c r="G186" s="10" t="s">
        <v>1295</v>
      </c>
      <c r="H186" s="9">
        <v>1.0</v>
      </c>
      <c r="I186" s="9" t="s">
        <v>1212</v>
      </c>
      <c r="J186" s="9" t="s">
        <v>28</v>
      </c>
      <c r="K186" s="11" t="s">
        <v>1296</v>
      </c>
      <c r="L186" s="13" t="s">
        <v>1297</v>
      </c>
      <c r="M186" s="13" t="s">
        <v>1298</v>
      </c>
      <c r="N186" s="13" t="s">
        <v>1299</v>
      </c>
      <c r="O186" s="13" t="s">
        <v>1300</v>
      </c>
      <c r="P186" s="13" t="s">
        <v>1301</v>
      </c>
      <c r="Q186" s="13" t="s">
        <v>1302</v>
      </c>
      <c r="R186" s="13" t="s">
        <v>1303</v>
      </c>
      <c r="S186" s="13" t="s">
        <v>1304</v>
      </c>
      <c r="T186" s="13" t="s">
        <v>1305</v>
      </c>
    </row>
    <row r="187" hidden="1">
      <c r="A187" s="16" t="s">
        <v>1306</v>
      </c>
      <c r="B187" s="7" t="s">
        <v>22</v>
      </c>
      <c r="C187" s="78" t="s">
        <v>1051</v>
      </c>
      <c r="D187" s="15">
        <v>2.0</v>
      </c>
      <c r="E187" s="15" t="s">
        <v>113</v>
      </c>
      <c r="F187" s="16" t="s">
        <v>1307</v>
      </c>
      <c r="G187" s="17" t="s">
        <v>1308</v>
      </c>
      <c r="H187" s="15">
        <v>1.0</v>
      </c>
      <c r="I187" s="15" t="s">
        <v>1212</v>
      </c>
      <c r="J187" s="15" t="s">
        <v>28</v>
      </c>
    </row>
    <row r="188">
      <c r="A188" s="22" t="s">
        <v>1309</v>
      </c>
      <c r="B188" s="7" t="s">
        <v>22</v>
      </c>
      <c r="C188" s="7" t="s">
        <v>1051</v>
      </c>
      <c r="D188" s="9">
        <v>1.0</v>
      </c>
      <c r="E188" s="9" t="s">
        <v>135</v>
      </c>
      <c r="F188" s="7" t="s">
        <v>1310</v>
      </c>
      <c r="G188" s="10" t="s">
        <v>1311</v>
      </c>
      <c r="H188" s="9">
        <v>3.0</v>
      </c>
      <c r="I188" s="9" t="s">
        <v>1312</v>
      </c>
      <c r="J188" s="9" t="s">
        <v>28</v>
      </c>
      <c r="K188" s="11" t="s">
        <v>1313</v>
      </c>
      <c r="L188" s="13" t="s">
        <v>1314</v>
      </c>
      <c r="M188" s="13" t="s">
        <v>1315</v>
      </c>
      <c r="N188" s="13" t="s">
        <v>1316</v>
      </c>
      <c r="O188" s="13" t="s">
        <v>1317</v>
      </c>
      <c r="P188" s="13" t="s">
        <v>1318</v>
      </c>
    </row>
    <row r="189">
      <c r="A189" s="22" t="s">
        <v>1319</v>
      </c>
      <c r="B189" s="7" t="s">
        <v>22</v>
      </c>
      <c r="C189" s="7" t="s">
        <v>1051</v>
      </c>
      <c r="D189" s="9">
        <v>1.0</v>
      </c>
      <c r="E189" s="9" t="s">
        <v>435</v>
      </c>
      <c r="F189" s="7" t="s">
        <v>1320</v>
      </c>
      <c r="G189" s="10" t="s">
        <v>1321</v>
      </c>
      <c r="H189" s="9">
        <v>2.0</v>
      </c>
      <c r="I189" s="9" t="s">
        <v>1143</v>
      </c>
      <c r="J189" s="9" t="s">
        <v>28</v>
      </c>
      <c r="K189" s="11" t="s">
        <v>1322</v>
      </c>
      <c r="L189" s="13" t="s">
        <v>1323</v>
      </c>
      <c r="M189" s="13" t="s">
        <v>1324</v>
      </c>
      <c r="N189" s="13" t="s">
        <v>1325</v>
      </c>
      <c r="O189" s="13" t="s">
        <v>1326</v>
      </c>
      <c r="P189" s="13" t="s">
        <v>1327</v>
      </c>
      <c r="Q189" s="13" t="s">
        <v>1328</v>
      </c>
      <c r="R189" s="13" t="s">
        <v>1329</v>
      </c>
    </row>
    <row r="190">
      <c r="A190" s="22" t="s">
        <v>1330</v>
      </c>
      <c r="B190" s="7" t="s">
        <v>22</v>
      </c>
      <c r="C190" s="7" t="s">
        <v>1051</v>
      </c>
      <c r="D190" s="9">
        <v>1.0</v>
      </c>
      <c r="E190" s="9" t="s">
        <v>82</v>
      </c>
      <c r="F190" s="7" t="s">
        <v>1331</v>
      </c>
      <c r="G190" s="10" t="s">
        <v>1332</v>
      </c>
      <c r="H190" s="9">
        <v>4.0</v>
      </c>
      <c r="I190" s="9" t="s">
        <v>1333</v>
      </c>
      <c r="J190" s="9" t="s">
        <v>28</v>
      </c>
      <c r="K190" s="11" t="s">
        <v>1334</v>
      </c>
      <c r="L190" s="13" t="s">
        <v>1335</v>
      </c>
      <c r="M190" s="13" t="s">
        <v>1336</v>
      </c>
      <c r="N190" s="13" t="s">
        <v>1337</v>
      </c>
      <c r="O190" s="13" t="s">
        <v>1338</v>
      </c>
      <c r="P190" s="13" t="s">
        <v>1339</v>
      </c>
    </row>
    <row r="191">
      <c r="A191" s="7" t="s">
        <v>1340</v>
      </c>
      <c r="B191" s="7" t="s">
        <v>22</v>
      </c>
      <c r="C191" s="7" t="s">
        <v>1051</v>
      </c>
      <c r="D191" s="9">
        <v>1.0</v>
      </c>
      <c r="E191" s="9" t="s">
        <v>1010</v>
      </c>
      <c r="F191" s="73" t="s">
        <v>1341</v>
      </c>
      <c r="G191" s="17" t="s">
        <v>1342</v>
      </c>
      <c r="H191" s="9">
        <v>6.0</v>
      </c>
      <c r="I191" s="9" t="s">
        <v>1343</v>
      </c>
      <c r="J191" s="9" t="s">
        <v>28</v>
      </c>
      <c r="K191" s="11" t="s">
        <v>1344</v>
      </c>
      <c r="L191" s="13" t="s">
        <v>1345</v>
      </c>
      <c r="M191" s="13" t="s">
        <v>1346</v>
      </c>
      <c r="N191" s="13" t="s">
        <v>1347</v>
      </c>
      <c r="O191" s="13" t="s">
        <v>1348</v>
      </c>
      <c r="P191" s="13" t="s">
        <v>1349</v>
      </c>
      <c r="Q191" s="13" t="s">
        <v>1350</v>
      </c>
    </row>
    <row r="192" hidden="1">
      <c r="A192" s="22" t="s">
        <v>1351</v>
      </c>
      <c r="B192" s="7" t="s">
        <v>22</v>
      </c>
      <c r="C192" s="80" t="s">
        <v>1051</v>
      </c>
      <c r="D192" s="9">
        <v>2.0</v>
      </c>
      <c r="E192" s="9" t="s">
        <v>113</v>
      </c>
      <c r="F192" s="7" t="s">
        <v>1352</v>
      </c>
      <c r="G192" s="10" t="s">
        <v>1353</v>
      </c>
      <c r="H192" s="9">
        <v>1.0</v>
      </c>
      <c r="I192" s="9" t="s">
        <v>1078</v>
      </c>
      <c r="J192" s="9" t="s">
        <v>28</v>
      </c>
    </row>
    <row r="193" hidden="1">
      <c r="A193" s="7" t="s">
        <v>1354</v>
      </c>
      <c r="B193" s="7" t="s">
        <v>22</v>
      </c>
      <c r="C193" s="80" t="s">
        <v>1051</v>
      </c>
      <c r="D193" s="15">
        <v>2.0</v>
      </c>
      <c r="E193" s="9" t="s">
        <v>252</v>
      </c>
      <c r="F193" s="7" t="s">
        <v>1355</v>
      </c>
      <c r="G193" s="10" t="s">
        <v>26</v>
      </c>
      <c r="H193" s="9">
        <v>6.0</v>
      </c>
      <c r="I193" s="9" t="s">
        <v>1312</v>
      </c>
      <c r="J193" s="9" t="s">
        <v>34</v>
      </c>
    </row>
    <row r="194">
      <c r="A194" s="24" t="s">
        <v>1356</v>
      </c>
      <c r="B194" s="7" t="s">
        <v>22</v>
      </c>
      <c r="C194" s="7" t="s">
        <v>1051</v>
      </c>
      <c r="D194" s="9">
        <v>1.0</v>
      </c>
      <c r="E194" s="21" t="s">
        <v>113</v>
      </c>
      <c r="F194" s="73" t="s">
        <v>1357</v>
      </c>
      <c r="G194" s="63" t="s">
        <v>1358</v>
      </c>
      <c r="H194" s="9">
        <v>2.0</v>
      </c>
      <c r="I194" s="9" t="s">
        <v>1359</v>
      </c>
      <c r="J194" s="15" t="s">
        <v>28</v>
      </c>
      <c r="K194" s="11" t="s">
        <v>1360</v>
      </c>
      <c r="L194" s="13" t="s">
        <v>1361</v>
      </c>
      <c r="M194" s="13" t="s">
        <v>1362</v>
      </c>
      <c r="N194" s="13" t="s">
        <v>1363</v>
      </c>
      <c r="O194" s="13" t="s">
        <v>1364</v>
      </c>
      <c r="P194" s="13" t="s">
        <v>1365</v>
      </c>
    </row>
    <row r="195" hidden="1">
      <c r="A195" s="16" t="s">
        <v>1366</v>
      </c>
      <c r="B195" s="7" t="s">
        <v>22</v>
      </c>
      <c r="C195" s="78" t="s">
        <v>1051</v>
      </c>
      <c r="D195" s="15">
        <v>2.0</v>
      </c>
      <c r="E195" s="15" t="s">
        <v>1010</v>
      </c>
      <c r="F195" s="16" t="s">
        <v>1367</v>
      </c>
      <c r="G195" s="17" t="s">
        <v>26</v>
      </c>
      <c r="H195" s="15">
        <v>1.0</v>
      </c>
      <c r="I195" s="15" t="s">
        <v>1212</v>
      </c>
      <c r="J195" s="15" t="s">
        <v>28</v>
      </c>
    </row>
    <row r="196">
      <c r="A196" s="16" t="s">
        <v>1368</v>
      </c>
      <c r="B196" s="7" t="s">
        <v>22</v>
      </c>
      <c r="C196" s="7" t="s">
        <v>1051</v>
      </c>
      <c r="D196" s="9">
        <v>1.0</v>
      </c>
      <c r="E196" s="9" t="s">
        <v>448</v>
      </c>
      <c r="F196" s="7" t="s">
        <v>1369</v>
      </c>
      <c r="G196" s="10" t="s">
        <v>1370</v>
      </c>
      <c r="H196" s="9">
        <v>1.0</v>
      </c>
      <c r="I196" s="9" t="s">
        <v>1078</v>
      </c>
      <c r="J196" s="21" t="s">
        <v>28</v>
      </c>
      <c r="K196" s="11" t="s">
        <v>1371</v>
      </c>
      <c r="L196" s="13" t="s">
        <v>1372</v>
      </c>
      <c r="M196" s="13" t="s">
        <v>1373</v>
      </c>
      <c r="N196" s="13" t="s">
        <v>1374</v>
      </c>
      <c r="O196" s="13" t="s">
        <v>1375</v>
      </c>
      <c r="P196" s="13" t="s">
        <v>1376</v>
      </c>
      <c r="Q196" s="13" t="s">
        <v>1377</v>
      </c>
      <c r="R196" s="13" t="s">
        <v>1378</v>
      </c>
    </row>
    <row r="197">
      <c r="A197" s="7" t="s">
        <v>1379</v>
      </c>
      <c r="B197" s="7" t="s">
        <v>22</v>
      </c>
      <c r="C197" s="7" t="s">
        <v>1051</v>
      </c>
      <c r="D197" s="9">
        <v>1.0</v>
      </c>
      <c r="E197" s="9" t="s">
        <v>1010</v>
      </c>
      <c r="F197" s="7" t="s">
        <v>1380</v>
      </c>
      <c r="G197" s="10" t="s">
        <v>1381</v>
      </c>
      <c r="H197" s="9">
        <v>0.0</v>
      </c>
      <c r="I197" s="9" t="s">
        <v>1333</v>
      </c>
      <c r="J197" s="9" t="s">
        <v>28</v>
      </c>
      <c r="K197" s="11" t="s">
        <v>1382</v>
      </c>
      <c r="L197" s="13" t="s">
        <v>1383</v>
      </c>
      <c r="M197" s="13" t="s">
        <v>1384</v>
      </c>
      <c r="N197" s="13" t="s">
        <v>1385</v>
      </c>
      <c r="O197" s="13" t="s">
        <v>1386</v>
      </c>
      <c r="P197" s="13" t="s">
        <v>1387</v>
      </c>
    </row>
    <row r="198">
      <c r="A198" s="7" t="s">
        <v>1388</v>
      </c>
      <c r="B198" s="7" t="s">
        <v>22</v>
      </c>
      <c r="C198" s="7" t="s">
        <v>1051</v>
      </c>
      <c r="D198" s="9">
        <v>1.0</v>
      </c>
      <c r="E198" s="9" t="s">
        <v>113</v>
      </c>
      <c r="F198" s="73" t="s">
        <v>1389</v>
      </c>
      <c r="G198" s="83" t="s">
        <v>1390</v>
      </c>
      <c r="H198" s="9">
        <v>2.0</v>
      </c>
      <c r="I198" s="9" t="s">
        <v>1054</v>
      </c>
      <c r="J198" s="9" t="s">
        <v>28</v>
      </c>
      <c r="K198" s="11" t="s">
        <v>1391</v>
      </c>
      <c r="L198" s="13" t="s">
        <v>1392</v>
      </c>
      <c r="M198" s="13" t="s">
        <v>1393</v>
      </c>
    </row>
    <row r="199">
      <c r="A199" s="16" t="s">
        <v>1394</v>
      </c>
      <c r="B199" s="7" t="s">
        <v>22</v>
      </c>
      <c r="C199" s="7" t="s">
        <v>1051</v>
      </c>
      <c r="D199" s="9">
        <v>1.0</v>
      </c>
      <c r="E199" s="9" t="s">
        <v>151</v>
      </c>
      <c r="F199" s="32" t="s">
        <v>1395</v>
      </c>
      <c r="G199" s="10" t="s">
        <v>1396</v>
      </c>
      <c r="H199" s="9">
        <v>4.0</v>
      </c>
      <c r="I199" s="9" t="s">
        <v>1143</v>
      </c>
      <c r="J199" s="9" t="s">
        <v>72</v>
      </c>
      <c r="K199" s="11" t="s">
        <v>1397</v>
      </c>
      <c r="L199" s="13" t="s">
        <v>1398</v>
      </c>
      <c r="M199" s="13" t="s">
        <v>1399</v>
      </c>
      <c r="N199" s="13" t="s">
        <v>1400</v>
      </c>
      <c r="O199" s="13" t="s">
        <v>1401</v>
      </c>
      <c r="P199" s="13" t="s">
        <v>1402</v>
      </c>
      <c r="Q199" s="13" t="s">
        <v>1403</v>
      </c>
      <c r="R199" s="13" t="s">
        <v>1404</v>
      </c>
    </row>
    <row r="200">
      <c r="A200" s="7" t="s">
        <v>1405</v>
      </c>
      <c r="B200" s="7" t="s">
        <v>22</v>
      </c>
      <c r="C200" s="7" t="s">
        <v>1051</v>
      </c>
      <c r="D200" s="9">
        <v>1.0</v>
      </c>
      <c r="E200" s="9" t="s">
        <v>39</v>
      </c>
      <c r="F200" s="7" t="s">
        <v>1406</v>
      </c>
      <c r="G200" s="10" t="s">
        <v>1407</v>
      </c>
      <c r="H200" s="9">
        <v>1.0</v>
      </c>
      <c r="I200" s="9" t="s">
        <v>1078</v>
      </c>
      <c r="J200" s="9" t="s">
        <v>72</v>
      </c>
      <c r="K200" s="11" t="s">
        <v>1408</v>
      </c>
      <c r="L200" s="13" t="s">
        <v>1409</v>
      </c>
      <c r="M200" s="13" t="s">
        <v>1410</v>
      </c>
      <c r="N200" s="13" t="s">
        <v>1411</v>
      </c>
    </row>
    <row r="201" hidden="1">
      <c r="A201" s="16" t="s">
        <v>1412</v>
      </c>
      <c r="B201" s="7" t="s">
        <v>22</v>
      </c>
      <c r="C201" s="16" t="s">
        <v>1051</v>
      </c>
      <c r="D201" s="15">
        <v>2.0</v>
      </c>
      <c r="E201" s="15" t="s">
        <v>1413</v>
      </c>
      <c r="F201" s="16" t="s">
        <v>1414</v>
      </c>
      <c r="G201" s="17" t="s">
        <v>1415</v>
      </c>
      <c r="H201" s="15">
        <v>5.0</v>
      </c>
      <c r="I201" s="15" t="s">
        <v>1112</v>
      </c>
      <c r="J201" s="15" t="s">
        <v>28</v>
      </c>
    </row>
    <row r="202" hidden="1">
      <c r="A202" s="51" t="s">
        <v>1416</v>
      </c>
      <c r="B202" s="7" t="s">
        <v>22</v>
      </c>
      <c r="C202" s="54" t="s">
        <v>1417</v>
      </c>
      <c r="D202" s="53">
        <v>2.0</v>
      </c>
      <c r="E202" s="53" t="s">
        <v>1418</v>
      </c>
      <c r="F202" s="54" t="s">
        <v>1419</v>
      </c>
      <c r="G202" s="55" t="s">
        <v>26</v>
      </c>
      <c r="H202" s="56">
        <v>7.0</v>
      </c>
      <c r="I202" s="53" t="s">
        <v>1420</v>
      </c>
      <c r="J202" s="56" t="s">
        <v>72</v>
      </c>
    </row>
    <row r="203">
      <c r="A203" s="22" t="s">
        <v>1421</v>
      </c>
      <c r="B203" s="7" t="s">
        <v>22</v>
      </c>
      <c r="C203" s="7" t="s">
        <v>1051</v>
      </c>
      <c r="D203" s="9">
        <v>1.0</v>
      </c>
      <c r="E203" s="9" t="s">
        <v>252</v>
      </c>
      <c r="F203" s="7" t="s">
        <v>1422</v>
      </c>
      <c r="G203" s="10" t="s">
        <v>1423</v>
      </c>
      <c r="H203" s="9">
        <v>2.0</v>
      </c>
      <c r="I203" s="9" t="s">
        <v>1054</v>
      </c>
      <c r="J203" s="9" t="s">
        <v>72</v>
      </c>
      <c r="K203" s="11" t="s">
        <v>1424</v>
      </c>
      <c r="L203" s="13" t="s">
        <v>1425</v>
      </c>
      <c r="M203" s="13" t="s">
        <v>1426</v>
      </c>
      <c r="N203" s="13" t="s">
        <v>1427</v>
      </c>
    </row>
    <row r="204" hidden="1">
      <c r="A204" s="7" t="s">
        <v>1428</v>
      </c>
      <c r="B204" s="7" t="s">
        <v>22</v>
      </c>
      <c r="C204" s="7" t="s">
        <v>1417</v>
      </c>
      <c r="D204" s="9">
        <v>2.0</v>
      </c>
      <c r="E204" s="9" t="s">
        <v>410</v>
      </c>
      <c r="F204" s="16" t="s">
        <v>1429</v>
      </c>
      <c r="G204" s="17" t="s">
        <v>1430</v>
      </c>
      <c r="H204" s="9">
        <v>3.0</v>
      </c>
      <c r="I204" s="9" t="s">
        <v>1431</v>
      </c>
      <c r="J204" s="9" t="s">
        <v>72</v>
      </c>
    </row>
    <row r="205">
      <c r="A205" s="7" t="s">
        <v>1432</v>
      </c>
      <c r="B205" s="7" t="s">
        <v>22</v>
      </c>
      <c r="C205" s="7" t="s">
        <v>1051</v>
      </c>
      <c r="D205" s="9">
        <v>1.0</v>
      </c>
      <c r="E205" s="9" t="s">
        <v>82</v>
      </c>
      <c r="F205" s="7" t="s">
        <v>1433</v>
      </c>
      <c r="G205" s="10" t="s">
        <v>1434</v>
      </c>
      <c r="H205" s="9">
        <v>2.0</v>
      </c>
      <c r="I205" s="9" t="s">
        <v>1143</v>
      </c>
      <c r="J205" s="9" t="s">
        <v>72</v>
      </c>
      <c r="K205" s="11" t="s">
        <v>1435</v>
      </c>
      <c r="L205" s="13" t="s">
        <v>1436</v>
      </c>
      <c r="M205" s="13" t="s">
        <v>1437</v>
      </c>
      <c r="N205" s="13" t="s">
        <v>1438</v>
      </c>
      <c r="O205" s="13" t="s">
        <v>1439</v>
      </c>
      <c r="P205" s="13" t="s">
        <v>1440</v>
      </c>
    </row>
    <row r="206" hidden="1">
      <c r="A206" s="16" t="s">
        <v>1441</v>
      </c>
      <c r="B206" s="7" t="s">
        <v>22</v>
      </c>
      <c r="C206" s="16" t="s">
        <v>1417</v>
      </c>
      <c r="D206" s="15">
        <v>2.0</v>
      </c>
      <c r="E206" s="15" t="s">
        <v>240</v>
      </c>
      <c r="F206" s="16" t="s">
        <v>1442</v>
      </c>
      <c r="G206" s="17" t="s">
        <v>169</v>
      </c>
      <c r="H206" s="15">
        <v>2.0</v>
      </c>
      <c r="I206" s="15" t="s">
        <v>1443</v>
      </c>
      <c r="J206" s="15" t="s">
        <v>72</v>
      </c>
    </row>
    <row r="207" hidden="1">
      <c r="A207" s="16" t="s">
        <v>1444</v>
      </c>
      <c r="B207" s="7" t="s">
        <v>22</v>
      </c>
      <c r="C207" s="16" t="s">
        <v>1417</v>
      </c>
      <c r="D207" s="15">
        <v>2.0</v>
      </c>
      <c r="E207" s="15" t="s">
        <v>1445</v>
      </c>
      <c r="F207" s="16" t="s">
        <v>1446</v>
      </c>
      <c r="G207" s="34"/>
      <c r="H207" s="15">
        <v>3.0</v>
      </c>
      <c r="I207" s="15" t="s">
        <v>1431</v>
      </c>
      <c r="J207" s="15" t="s">
        <v>72</v>
      </c>
    </row>
    <row r="208">
      <c r="A208" s="84" t="s">
        <v>1447</v>
      </c>
      <c r="B208" s="7" t="s">
        <v>22</v>
      </c>
      <c r="C208" s="7" t="s">
        <v>1051</v>
      </c>
      <c r="D208" s="9">
        <v>1.0</v>
      </c>
      <c r="E208" s="9" t="s">
        <v>938</v>
      </c>
      <c r="F208" s="73" t="s">
        <v>1448</v>
      </c>
      <c r="G208" s="85" t="s">
        <v>1449</v>
      </c>
      <c r="H208" s="9">
        <v>3.0</v>
      </c>
      <c r="I208" s="9" t="s">
        <v>1143</v>
      </c>
      <c r="J208" s="21" t="s">
        <v>72</v>
      </c>
      <c r="K208" s="11" t="s">
        <v>1450</v>
      </c>
      <c r="L208" s="13" t="s">
        <v>1451</v>
      </c>
      <c r="M208" s="13" t="s">
        <v>1452</v>
      </c>
      <c r="N208" s="13" t="s">
        <v>1453</v>
      </c>
      <c r="O208" s="13" t="s">
        <v>1454</v>
      </c>
      <c r="P208" s="13" t="s">
        <v>1455</v>
      </c>
      <c r="Q208" s="13" t="s">
        <v>1456</v>
      </c>
      <c r="R208" s="13" t="s">
        <v>1457</v>
      </c>
      <c r="S208" s="13" t="s">
        <v>1458</v>
      </c>
    </row>
    <row r="209" hidden="1">
      <c r="A209" s="7" t="s">
        <v>1459</v>
      </c>
      <c r="B209" s="7" t="s">
        <v>22</v>
      </c>
      <c r="C209" s="7" t="s">
        <v>1417</v>
      </c>
      <c r="D209" s="9">
        <v>2.0</v>
      </c>
      <c r="E209" s="9" t="s">
        <v>448</v>
      </c>
      <c r="F209" s="7" t="s">
        <v>1460</v>
      </c>
      <c r="G209" s="10" t="s">
        <v>1461</v>
      </c>
      <c r="H209" s="9">
        <v>3.0</v>
      </c>
      <c r="I209" s="9" t="s">
        <v>1431</v>
      </c>
      <c r="J209" s="9" t="s">
        <v>72</v>
      </c>
    </row>
    <row r="210">
      <c r="A210" s="24" t="s">
        <v>1462</v>
      </c>
      <c r="B210" s="7" t="s">
        <v>22</v>
      </c>
      <c r="C210" s="7" t="s">
        <v>1051</v>
      </c>
      <c r="D210" s="9">
        <v>1.0</v>
      </c>
      <c r="E210" s="9" t="s">
        <v>151</v>
      </c>
      <c r="F210" s="7" t="s">
        <v>1463</v>
      </c>
      <c r="G210" s="10" t="s">
        <v>1464</v>
      </c>
      <c r="H210" s="21">
        <v>3.0</v>
      </c>
      <c r="I210" s="9" t="s">
        <v>1333</v>
      </c>
      <c r="J210" s="21" t="s">
        <v>72</v>
      </c>
      <c r="K210" s="11" t="s">
        <v>1465</v>
      </c>
      <c r="L210" s="13" t="s">
        <v>1466</v>
      </c>
      <c r="M210" s="13" t="s">
        <v>1467</v>
      </c>
      <c r="N210" s="13" t="s">
        <v>1468</v>
      </c>
      <c r="O210" s="13" t="s">
        <v>1469</v>
      </c>
      <c r="P210" s="13" t="s">
        <v>1470</v>
      </c>
      <c r="Q210" s="13" t="s">
        <v>1471</v>
      </c>
      <c r="R210" s="13" t="s">
        <v>1472</v>
      </c>
      <c r="S210" s="13" t="s">
        <v>1473</v>
      </c>
      <c r="T210" s="13" t="s">
        <v>1474</v>
      </c>
      <c r="U210" s="13" t="s">
        <v>1475</v>
      </c>
    </row>
    <row r="211" hidden="1">
      <c r="A211" s="7" t="s">
        <v>1476</v>
      </c>
      <c r="B211" s="7" t="s">
        <v>22</v>
      </c>
      <c r="C211" s="7" t="s">
        <v>1477</v>
      </c>
      <c r="D211" s="9">
        <v>2.0</v>
      </c>
      <c r="E211" s="9" t="s">
        <v>39</v>
      </c>
      <c r="F211" s="86" t="s">
        <v>1478</v>
      </c>
      <c r="G211" s="10" t="s">
        <v>838</v>
      </c>
      <c r="H211" s="9">
        <v>3.0</v>
      </c>
      <c r="I211" s="9" t="s">
        <v>1479</v>
      </c>
      <c r="J211" s="9" t="s">
        <v>72</v>
      </c>
    </row>
    <row r="212">
      <c r="A212" s="16" t="s">
        <v>1480</v>
      </c>
      <c r="B212" s="7" t="s">
        <v>22</v>
      </c>
      <c r="C212" s="16" t="s">
        <v>1051</v>
      </c>
      <c r="D212" s="15">
        <v>1.0</v>
      </c>
      <c r="E212" s="15" t="s">
        <v>151</v>
      </c>
      <c r="F212" s="16" t="s">
        <v>1481</v>
      </c>
      <c r="G212" s="17" t="s">
        <v>1482</v>
      </c>
      <c r="H212" s="15">
        <v>2.0</v>
      </c>
      <c r="I212" s="15" t="s">
        <v>1293</v>
      </c>
      <c r="J212" s="15" t="s">
        <v>72</v>
      </c>
      <c r="K212" s="11" t="s">
        <v>1483</v>
      </c>
      <c r="L212" s="13" t="s">
        <v>1484</v>
      </c>
      <c r="M212" s="13" t="s">
        <v>1485</v>
      </c>
      <c r="N212" s="13" t="s">
        <v>1486</v>
      </c>
      <c r="O212" s="13" t="s">
        <v>1487</v>
      </c>
      <c r="P212" s="13" t="s">
        <v>1488</v>
      </c>
      <c r="Q212" s="13" t="s">
        <v>1489</v>
      </c>
      <c r="R212" s="13" t="s">
        <v>1490</v>
      </c>
      <c r="S212" s="13" t="s">
        <v>1491</v>
      </c>
      <c r="T212" s="13" t="s">
        <v>1492</v>
      </c>
    </row>
    <row r="213" hidden="1">
      <c r="A213" s="16" t="s">
        <v>1493</v>
      </c>
      <c r="B213" s="7" t="s">
        <v>22</v>
      </c>
      <c r="C213" s="16" t="s">
        <v>1477</v>
      </c>
      <c r="D213" s="15">
        <v>2.0</v>
      </c>
      <c r="E213" s="15" t="s">
        <v>1494</v>
      </c>
      <c r="F213" s="16" t="s">
        <v>1495</v>
      </c>
      <c r="G213" s="17" t="s">
        <v>838</v>
      </c>
      <c r="H213" s="15">
        <v>3.0</v>
      </c>
      <c r="I213" s="15" t="s">
        <v>1496</v>
      </c>
      <c r="J213" s="9" t="s">
        <v>72</v>
      </c>
    </row>
    <row r="214">
      <c r="A214" s="69" t="s">
        <v>1497</v>
      </c>
      <c r="B214" s="7" t="s">
        <v>22</v>
      </c>
      <c r="C214" s="87" t="s">
        <v>1051</v>
      </c>
      <c r="D214" s="71">
        <v>1.0</v>
      </c>
      <c r="E214" s="71" t="s">
        <v>324</v>
      </c>
      <c r="F214" s="69" t="s">
        <v>1498</v>
      </c>
      <c r="G214" s="69"/>
      <c r="H214" s="71">
        <v>4.0</v>
      </c>
      <c r="I214" s="71" t="s">
        <v>1112</v>
      </c>
      <c r="J214" s="71" t="s">
        <v>72</v>
      </c>
      <c r="K214" s="11" t="s">
        <v>1499</v>
      </c>
      <c r="L214" s="72" t="s">
        <v>1500</v>
      </c>
      <c r="M214" s="72" t="s">
        <v>1501</v>
      </c>
      <c r="N214" s="72" t="s">
        <v>1502</v>
      </c>
      <c r="O214" s="72" t="s">
        <v>1503</v>
      </c>
      <c r="P214" s="72" t="s">
        <v>1504</v>
      </c>
      <c r="Q214" s="72" t="s">
        <v>1505</v>
      </c>
      <c r="R214" s="72" t="s">
        <v>1506</v>
      </c>
      <c r="S214" s="72" t="s">
        <v>1507</v>
      </c>
      <c r="T214" s="28"/>
      <c r="U214" s="28"/>
    </row>
    <row r="215" hidden="1">
      <c r="A215" s="22" t="s">
        <v>1508</v>
      </c>
      <c r="B215" s="7" t="s">
        <v>22</v>
      </c>
      <c r="C215" s="7" t="s">
        <v>1477</v>
      </c>
      <c r="D215" s="9">
        <v>2.0</v>
      </c>
      <c r="E215" s="9" t="s">
        <v>344</v>
      </c>
      <c r="F215" s="86" t="s">
        <v>1509</v>
      </c>
      <c r="G215" s="10" t="s">
        <v>1510</v>
      </c>
      <c r="H215" s="9">
        <v>2.0</v>
      </c>
      <c r="I215" s="74" t="s">
        <v>1479</v>
      </c>
      <c r="J215" s="9" t="s">
        <v>72</v>
      </c>
    </row>
    <row r="216" hidden="1">
      <c r="A216" s="16" t="s">
        <v>1511</v>
      </c>
      <c r="B216" s="7" t="s">
        <v>22</v>
      </c>
      <c r="C216" s="16" t="s">
        <v>1477</v>
      </c>
      <c r="D216" s="15">
        <v>2.0</v>
      </c>
      <c r="E216" s="15" t="s">
        <v>1512</v>
      </c>
      <c r="F216" s="16" t="s">
        <v>1513</v>
      </c>
      <c r="G216" s="34"/>
      <c r="H216" s="15">
        <v>3.0</v>
      </c>
      <c r="I216" s="15" t="s">
        <v>1514</v>
      </c>
      <c r="J216" s="9" t="s">
        <v>72</v>
      </c>
    </row>
    <row r="217" hidden="1">
      <c r="A217" s="16" t="s">
        <v>1515</v>
      </c>
      <c r="B217" s="7" t="s">
        <v>22</v>
      </c>
      <c r="C217" s="16" t="s">
        <v>1477</v>
      </c>
      <c r="D217" s="15">
        <v>2.0</v>
      </c>
      <c r="E217" s="15" t="s">
        <v>1223</v>
      </c>
      <c r="F217" s="16" t="s">
        <v>1516</v>
      </c>
      <c r="G217" s="34"/>
      <c r="H217" s="15">
        <v>7.0</v>
      </c>
      <c r="I217" s="15" t="s">
        <v>1517</v>
      </c>
      <c r="J217" s="15" t="s">
        <v>72</v>
      </c>
    </row>
    <row r="218" hidden="1">
      <c r="A218" s="16" t="s">
        <v>1518</v>
      </c>
      <c r="B218" s="7" t="s">
        <v>22</v>
      </c>
      <c r="C218" s="16" t="s">
        <v>1477</v>
      </c>
      <c r="D218" s="15">
        <v>2.0</v>
      </c>
      <c r="E218" s="15" t="s">
        <v>39</v>
      </c>
      <c r="F218" s="16" t="s">
        <v>1519</v>
      </c>
      <c r="G218" s="34"/>
      <c r="H218" s="15">
        <v>1.0</v>
      </c>
      <c r="I218" s="15" t="s">
        <v>1520</v>
      </c>
      <c r="J218" s="15" t="s">
        <v>28</v>
      </c>
    </row>
    <row r="219">
      <c r="A219" s="16" t="s">
        <v>1521</v>
      </c>
      <c r="B219" s="7" t="s">
        <v>22</v>
      </c>
      <c r="C219" s="7" t="s">
        <v>1051</v>
      </c>
      <c r="D219" s="9">
        <v>1.0</v>
      </c>
      <c r="E219" s="9" t="s">
        <v>151</v>
      </c>
      <c r="F219" s="16" t="s">
        <v>1522</v>
      </c>
      <c r="G219" s="17" t="s">
        <v>1523</v>
      </c>
      <c r="H219" s="9">
        <v>2.0</v>
      </c>
      <c r="I219" s="9" t="s">
        <v>1112</v>
      </c>
      <c r="J219" s="9" t="s">
        <v>34</v>
      </c>
      <c r="K219" s="57" t="s">
        <v>1524</v>
      </c>
      <c r="L219" s="13" t="s">
        <v>1525</v>
      </c>
      <c r="M219" s="13" t="s">
        <v>1526</v>
      </c>
      <c r="N219" s="13" t="s">
        <v>1527</v>
      </c>
      <c r="O219" s="13" t="s">
        <v>1528</v>
      </c>
      <c r="P219" s="13" t="s">
        <v>1529</v>
      </c>
    </row>
    <row r="220">
      <c r="A220" s="16" t="s">
        <v>1530</v>
      </c>
      <c r="B220" s="7" t="s">
        <v>22</v>
      </c>
      <c r="C220" s="16" t="s">
        <v>1051</v>
      </c>
      <c r="D220" s="15">
        <v>1.0</v>
      </c>
      <c r="E220" s="15" t="s">
        <v>135</v>
      </c>
      <c r="F220" s="16" t="s">
        <v>1531</v>
      </c>
      <c r="G220" s="17" t="s">
        <v>1532</v>
      </c>
      <c r="H220" s="15">
        <v>3.0</v>
      </c>
      <c r="I220" s="15" t="s">
        <v>1054</v>
      </c>
      <c r="J220" s="9" t="s">
        <v>34</v>
      </c>
      <c r="K220" s="57" t="s">
        <v>1533</v>
      </c>
      <c r="L220" s="13" t="s">
        <v>1534</v>
      </c>
      <c r="M220" s="13" t="s">
        <v>1535</v>
      </c>
      <c r="N220" s="13" t="s">
        <v>1536</v>
      </c>
      <c r="O220" s="13" t="s">
        <v>1537</v>
      </c>
    </row>
    <row r="221">
      <c r="A221" s="24" t="s">
        <v>1538</v>
      </c>
      <c r="B221" s="7" t="s">
        <v>22</v>
      </c>
      <c r="C221" s="7" t="s">
        <v>1051</v>
      </c>
      <c r="D221" s="9">
        <v>1.0</v>
      </c>
      <c r="E221" s="9" t="s">
        <v>1512</v>
      </c>
      <c r="F221" s="7" t="s">
        <v>1539</v>
      </c>
      <c r="G221" s="10" t="s">
        <v>1540</v>
      </c>
      <c r="H221" s="9">
        <v>4.0</v>
      </c>
      <c r="I221" s="9" t="s">
        <v>1143</v>
      </c>
      <c r="J221" s="21" t="s">
        <v>34</v>
      </c>
      <c r="K221" s="16" t="s">
        <v>1541</v>
      </c>
      <c r="L221" s="13" t="s">
        <v>1542</v>
      </c>
      <c r="M221" s="13" t="s">
        <v>1543</v>
      </c>
      <c r="N221" s="13" t="s">
        <v>1544</v>
      </c>
      <c r="O221" s="13" t="s">
        <v>1545</v>
      </c>
      <c r="P221" s="13" t="s">
        <v>1546</v>
      </c>
      <c r="Q221" s="13" t="s">
        <v>1547</v>
      </c>
    </row>
    <row r="222" hidden="1">
      <c r="A222" s="7" t="s">
        <v>1548</v>
      </c>
      <c r="B222" s="7" t="s">
        <v>22</v>
      </c>
      <c r="C222" s="88" t="s">
        <v>1549</v>
      </c>
      <c r="D222" s="9">
        <v>2.0</v>
      </c>
      <c r="E222" s="9" t="s">
        <v>113</v>
      </c>
      <c r="F222" s="16" t="s">
        <v>1550</v>
      </c>
      <c r="G222" s="17" t="s">
        <v>26</v>
      </c>
      <c r="H222" s="9">
        <v>0.0</v>
      </c>
      <c r="I222" s="9" t="s">
        <v>1551</v>
      </c>
      <c r="J222" s="9" t="s">
        <v>34</v>
      </c>
    </row>
    <row r="223">
      <c r="A223" s="28" t="s">
        <v>1552</v>
      </c>
      <c r="B223" s="7" t="s">
        <v>22</v>
      </c>
      <c r="C223" s="29" t="s">
        <v>1051</v>
      </c>
      <c r="D223" s="65">
        <v>1.0</v>
      </c>
      <c r="E223" s="65" t="s">
        <v>448</v>
      </c>
      <c r="F223" s="89" t="s">
        <v>1553</v>
      </c>
      <c r="G223" s="66" t="s">
        <v>660</v>
      </c>
      <c r="H223" s="67">
        <v>7.0</v>
      </c>
      <c r="I223" s="65" t="s">
        <v>1554</v>
      </c>
      <c r="J223" s="67" t="s">
        <v>34</v>
      </c>
      <c r="K223" s="16" t="s">
        <v>1555</v>
      </c>
      <c r="L223" s="13" t="s">
        <v>1556</v>
      </c>
      <c r="M223" s="13" t="s">
        <v>1557</v>
      </c>
      <c r="N223" s="13" t="s">
        <v>1558</v>
      </c>
      <c r="O223" s="13" t="s">
        <v>1559</v>
      </c>
      <c r="P223" s="13" t="s">
        <v>1560</v>
      </c>
      <c r="Q223" s="13" t="s">
        <v>1561</v>
      </c>
      <c r="R223" s="13" t="s">
        <v>1562</v>
      </c>
    </row>
    <row r="224">
      <c r="A224" s="31" t="s">
        <v>1563</v>
      </c>
      <c r="B224" s="7" t="s">
        <v>22</v>
      </c>
      <c r="C224" s="16" t="s">
        <v>1051</v>
      </c>
      <c r="D224" s="15">
        <v>1.0</v>
      </c>
      <c r="E224" s="15" t="s">
        <v>389</v>
      </c>
      <c r="F224" s="16" t="s">
        <v>1564</v>
      </c>
      <c r="G224" s="17" t="s">
        <v>1565</v>
      </c>
      <c r="H224" s="15">
        <v>4.0</v>
      </c>
      <c r="I224" s="15" t="s">
        <v>1312</v>
      </c>
      <c r="J224" s="15" t="s">
        <v>34</v>
      </c>
      <c r="K224" s="16" t="s">
        <v>1566</v>
      </c>
      <c r="L224" s="13" t="s">
        <v>1567</v>
      </c>
      <c r="M224" s="13" t="s">
        <v>1568</v>
      </c>
      <c r="N224" s="13" t="s">
        <v>1569</v>
      </c>
      <c r="O224" s="13" t="s">
        <v>1570</v>
      </c>
    </row>
    <row r="225" hidden="1">
      <c r="A225" s="16" t="s">
        <v>1571</v>
      </c>
      <c r="B225" s="7" t="s">
        <v>22</v>
      </c>
      <c r="C225" s="90" t="s">
        <v>1549</v>
      </c>
      <c r="D225" s="15">
        <v>2.0</v>
      </c>
      <c r="E225" s="15" t="s">
        <v>1572</v>
      </c>
      <c r="F225" s="16" t="s">
        <v>1573</v>
      </c>
      <c r="G225" s="17" t="s">
        <v>242</v>
      </c>
      <c r="H225" s="15">
        <v>3.0</v>
      </c>
      <c r="I225" s="15" t="s">
        <v>1574</v>
      </c>
      <c r="J225" s="15" t="s">
        <v>34</v>
      </c>
    </row>
    <row r="226" hidden="1">
      <c r="A226" s="22" t="s">
        <v>1575</v>
      </c>
      <c r="B226" s="7" t="s">
        <v>22</v>
      </c>
      <c r="C226" s="88" t="s">
        <v>1549</v>
      </c>
      <c r="D226" s="9">
        <v>2.0</v>
      </c>
      <c r="E226" s="9" t="s">
        <v>39</v>
      </c>
      <c r="F226" s="7" t="s">
        <v>1576</v>
      </c>
      <c r="G226" s="10" t="s">
        <v>1577</v>
      </c>
      <c r="H226" s="9">
        <v>2.0</v>
      </c>
      <c r="I226" s="9" t="s">
        <v>1578</v>
      </c>
      <c r="J226" s="9" t="s">
        <v>72</v>
      </c>
    </row>
    <row r="227" hidden="1">
      <c r="A227" s="16" t="s">
        <v>1579</v>
      </c>
      <c r="B227" s="7" t="s">
        <v>22</v>
      </c>
      <c r="C227" s="90" t="s">
        <v>1549</v>
      </c>
      <c r="D227" s="15">
        <v>2.0</v>
      </c>
      <c r="E227" s="15" t="s">
        <v>1580</v>
      </c>
      <c r="F227" s="16" t="s">
        <v>1581</v>
      </c>
      <c r="G227" s="17" t="s">
        <v>1582</v>
      </c>
      <c r="H227" s="15">
        <v>5.0</v>
      </c>
      <c r="I227" s="15" t="s">
        <v>1583</v>
      </c>
      <c r="J227" s="15" t="s">
        <v>72</v>
      </c>
    </row>
    <row r="228" hidden="1">
      <c r="A228" s="16" t="s">
        <v>1584</v>
      </c>
      <c r="B228" s="7" t="s">
        <v>22</v>
      </c>
      <c r="C228" s="30" t="s">
        <v>1549</v>
      </c>
      <c r="D228" s="15">
        <v>2.0</v>
      </c>
      <c r="E228" s="15" t="s">
        <v>1585</v>
      </c>
      <c r="F228" s="16" t="s">
        <v>1586</v>
      </c>
      <c r="G228" s="17" t="s">
        <v>215</v>
      </c>
      <c r="H228" s="15">
        <v>4.0</v>
      </c>
      <c r="I228" s="15" t="s">
        <v>1574</v>
      </c>
      <c r="J228" s="15" t="s">
        <v>28</v>
      </c>
    </row>
    <row r="229">
      <c r="A229" s="69" t="s">
        <v>1587</v>
      </c>
      <c r="B229" s="7" t="s">
        <v>22</v>
      </c>
      <c r="C229" s="87" t="s">
        <v>1051</v>
      </c>
      <c r="D229" s="71">
        <v>1.0</v>
      </c>
      <c r="E229" s="71" t="s">
        <v>448</v>
      </c>
      <c r="F229" s="69" t="s">
        <v>1588</v>
      </c>
      <c r="G229" s="69"/>
      <c r="H229" s="71">
        <v>7.0</v>
      </c>
      <c r="I229" s="71" t="s">
        <v>1554</v>
      </c>
      <c r="J229" s="71" t="s">
        <v>34</v>
      </c>
      <c r="K229" s="16" t="s">
        <v>1589</v>
      </c>
      <c r="L229" s="72" t="s">
        <v>1590</v>
      </c>
      <c r="M229" s="72" t="s">
        <v>1591</v>
      </c>
      <c r="N229" s="72" t="s">
        <v>1592</v>
      </c>
      <c r="O229" s="72" t="s">
        <v>1593</v>
      </c>
      <c r="P229" s="72" t="s">
        <v>1594</v>
      </c>
      <c r="Q229" s="72" t="s">
        <v>1595</v>
      </c>
      <c r="R229" s="28"/>
      <c r="S229" s="28"/>
      <c r="T229" s="28"/>
      <c r="U229" s="28"/>
    </row>
    <row r="230">
      <c r="A230" s="31" t="s">
        <v>1596</v>
      </c>
      <c r="B230" s="7" t="s">
        <v>22</v>
      </c>
      <c r="C230" s="16" t="s">
        <v>1051</v>
      </c>
      <c r="D230" s="15">
        <v>1.0</v>
      </c>
      <c r="E230" s="15" t="s">
        <v>252</v>
      </c>
      <c r="F230" s="16" t="s">
        <v>1597</v>
      </c>
      <c r="G230" s="34"/>
      <c r="H230" s="15">
        <v>3.0</v>
      </c>
      <c r="I230" s="15" t="s">
        <v>1078</v>
      </c>
      <c r="J230" s="15" t="s">
        <v>34</v>
      </c>
      <c r="K230" s="16" t="s">
        <v>1598</v>
      </c>
      <c r="L230" s="13" t="s">
        <v>1599</v>
      </c>
      <c r="M230" s="13" t="s">
        <v>1600</v>
      </c>
      <c r="N230" s="13" t="s">
        <v>1601</v>
      </c>
      <c r="O230" s="13" t="s">
        <v>1602</v>
      </c>
      <c r="P230" s="13" t="s">
        <v>1603</v>
      </c>
      <c r="Q230" s="13" t="s">
        <v>1604</v>
      </c>
    </row>
    <row r="231">
      <c r="A231" s="16" t="s">
        <v>1605</v>
      </c>
      <c r="B231" s="7" t="s">
        <v>22</v>
      </c>
      <c r="C231" s="91" t="s">
        <v>1051</v>
      </c>
      <c r="D231" s="15">
        <v>1.0</v>
      </c>
      <c r="E231" s="15" t="s">
        <v>337</v>
      </c>
      <c r="F231" s="16" t="s">
        <v>1606</v>
      </c>
      <c r="G231" s="34"/>
      <c r="H231" s="15">
        <v>2.0</v>
      </c>
      <c r="I231" s="15" t="s">
        <v>1212</v>
      </c>
      <c r="J231" s="15" t="s">
        <v>34</v>
      </c>
      <c r="K231" s="16" t="s">
        <v>1607</v>
      </c>
      <c r="L231" s="92" t="s">
        <v>1608</v>
      </c>
      <c r="M231" s="13" t="s">
        <v>1609</v>
      </c>
      <c r="N231" s="13" t="s">
        <v>1610</v>
      </c>
      <c r="O231" s="13" t="s">
        <v>1611</v>
      </c>
    </row>
    <row r="232">
      <c r="A232" s="16" t="s">
        <v>1612</v>
      </c>
      <c r="B232" s="7" t="s">
        <v>22</v>
      </c>
      <c r="C232" s="7" t="s">
        <v>1051</v>
      </c>
      <c r="D232" s="9">
        <v>1.0</v>
      </c>
      <c r="E232" s="9" t="s">
        <v>448</v>
      </c>
      <c r="F232" s="93"/>
      <c r="G232" s="94" t="s">
        <v>1613</v>
      </c>
      <c r="H232" s="9">
        <v>5.0</v>
      </c>
      <c r="I232" s="15" t="s">
        <v>1215</v>
      </c>
      <c r="J232" s="9" t="s">
        <v>28</v>
      </c>
      <c r="K232" s="11" t="s">
        <v>1614</v>
      </c>
      <c r="L232" s="13" t="s">
        <v>1615</v>
      </c>
      <c r="M232" s="13" t="s">
        <v>1616</v>
      </c>
      <c r="N232" s="13" t="s">
        <v>1617</v>
      </c>
      <c r="O232" s="13" t="s">
        <v>1618</v>
      </c>
      <c r="P232" s="13" t="s">
        <v>1619</v>
      </c>
      <c r="Q232" s="13" t="s">
        <v>1620</v>
      </c>
      <c r="R232" s="13" t="s">
        <v>1621</v>
      </c>
    </row>
    <row r="233">
      <c r="A233" s="7" t="s">
        <v>1622</v>
      </c>
      <c r="B233" s="7" t="s">
        <v>22</v>
      </c>
      <c r="C233" s="7" t="s">
        <v>1051</v>
      </c>
      <c r="D233" s="9">
        <v>1.0</v>
      </c>
      <c r="E233" s="9" t="s">
        <v>151</v>
      </c>
      <c r="F233" s="95"/>
      <c r="G233" s="10" t="s">
        <v>1623</v>
      </c>
      <c r="H233" s="9">
        <v>4.0</v>
      </c>
      <c r="I233" s="9" t="s">
        <v>1333</v>
      </c>
      <c r="J233" s="9" t="s">
        <v>28</v>
      </c>
      <c r="K233" s="11" t="s">
        <v>1624</v>
      </c>
      <c r="L233" s="13" t="s">
        <v>1625</v>
      </c>
      <c r="M233" s="13" t="s">
        <v>1626</v>
      </c>
      <c r="N233" s="13" t="s">
        <v>1627</v>
      </c>
      <c r="O233" s="13" t="s">
        <v>1628</v>
      </c>
      <c r="P233" s="13" t="s">
        <v>1629</v>
      </c>
      <c r="Q233" s="13" t="s">
        <v>1630</v>
      </c>
      <c r="R233" s="13" t="s">
        <v>1631</v>
      </c>
      <c r="S233" s="13" t="s">
        <v>1632</v>
      </c>
      <c r="T233" s="13" t="s">
        <v>1633</v>
      </c>
    </row>
    <row r="234">
      <c r="A234" s="16" t="s">
        <v>1634</v>
      </c>
      <c r="B234" s="7" t="s">
        <v>22</v>
      </c>
      <c r="C234" s="16" t="s">
        <v>1051</v>
      </c>
      <c r="D234" s="15">
        <v>1.0</v>
      </c>
      <c r="E234" s="15" t="s">
        <v>1635</v>
      </c>
      <c r="G234" s="34"/>
      <c r="H234" s="15">
        <v>3.0</v>
      </c>
      <c r="I234" s="15" t="s">
        <v>1054</v>
      </c>
      <c r="J234" s="15" t="s">
        <v>28</v>
      </c>
      <c r="K234" s="16" t="s">
        <v>1636</v>
      </c>
      <c r="L234" s="13" t="s">
        <v>1637</v>
      </c>
      <c r="M234" s="13" t="s">
        <v>1638</v>
      </c>
      <c r="N234" s="13" t="s">
        <v>1639</v>
      </c>
    </row>
    <row r="235" hidden="1">
      <c r="A235" s="24" t="s">
        <v>1640</v>
      </c>
      <c r="B235" s="7" t="s">
        <v>22</v>
      </c>
      <c r="C235" s="88" t="s">
        <v>1549</v>
      </c>
      <c r="D235" s="9">
        <v>2.0</v>
      </c>
      <c r="E235" s="9" t="s">
        <v>919</v>
      </c>
      <c r="F235" s="86" t="s">
        <v>1641</v>
      </c>
      <c r="G235" s="10" t="s">
        <v>26</v>
      </c>
      <c r="H235" s="9">
        <v>2.0</v>
      </c>
      <c r="I235" s="9" t="s">
        <v>1551</v>
      </c>
      <c r="J235" s="21" t="s">
        <v>28</v>
      </c>
    </row>
    <row r="236" hidden="1">
      <c r="A236" s="22" t="s">
        <v>1642</v>
      </c>
      <c r="B236" s="7" t="s">
        <v>22</v>
      </c>
      <c r="C236" s="88" t="s">
        <v>1549</v>
      </c>
      <c r="D236" s="9">
        <v>0.0</v>
      </c>
      <c r="E236" s="9" t="s">
        <v>1643</v>
      </c>
      <c r="F236" s="18" t="s">
        <v>1644</v>
      </c>
      <c r="G236" s="10" t="s">
        <v>1645</v>
      </c>
      <c r="H236" s="9">
        <v>4.0</v>
      </c>
      <c r="I236" s="9" t="s">
        <v>1574</v>
      </c>
      <c r="J236" s="9" t="s">
        <v>72</v>
      </c>
    </row>
    <row r="237">
      <c r="A237" s="16" t="s">
        <v>1646</v>
      </c>
      <c r="B237" s="7" t="s">
        <v>22</v>
      </c>
      <c r="C237" s="16" t="s">
        <v>1051</v>
      </c>
      <c r="D237" s="15">
        <v>1.0</v>
      </c>
      <c r="E237" s="15" t="s">
        <v>197</v>
      </c>
      <c r="G237" s="17" t="s">
        <v>1647</v>
      </c>
      <c r="H237" s="15">
        <v>2.0</v>
      </c>
      <c r="I237" s="15" t="s">
        <v>1078</v>
      </c>
      <c r="J237" s="15" t="s">
        <v>28</v>
      </c>
      <c r="K237" s="16" t="s">
        <v>1648</v>
      </c>
      <c r="L237" s="13" t="s">
        <v>1649</v>
      </c>
      <c r="M237" s="13" t="s">
        <v>1650</v>
      </c>
      <c r="N237" s="13" t="s">
        <v>1651</v>
      </c>
      <c r="O237" s="13" t="s">
        <v>1652</v>
      </c>
      <c r="P237" s="13" t="s">
        <v>1653</v>
      </c>
    </row>
    <row r="238" hidden="1">
      <c r="A238" s="16" t="s">
        <v>1654</v>
      </c>
      <c r="B238" s="7" t="s">
        <v>22</v>
      </c>
      <c r="C238" s="88" t="s">
        <v>1549</v>
      </c>
      <c r="D238" s="9">
        <v>2.0</v>
      </c>
      <c r="E238" s="9" t="s">
        <v>662</v>
      </c>
      <c r="F238" s="24"/>
      <c r="G238" s="10" t="s">
        <v>1655</v>
      </c>
      <c r="H238" s="9">
        <v>7.0</v>
      </c>
      <c r="I238" s="9" t="s">
        <v>1656</v>
      </c>
      <c r="J238" s="9" t="s">
        <v>28</v>
      </c>
    </row>
    <row r="239" hidden="1">
      <c r="A239" s="31" t="s">
        <v>1657</v>
      </c>
      <c r="B239" s="7" t="s">
        <v>22</v>
      </c>
      <c r="C239" s="90" t="s">
        <v>1549</v>
      </c>
      <c r="D239" s="15">
        <v>2.0</v>
      </c>
      <c r="E239" s="15" t="s">
        <v>1658</v>
      </c>
      <c r="F239" s="16" t="s">
        <v>277</v>
      </c>
      <c r="G239" s="17" t="s">
        <v>698</v>
      </c>
      <c r="H239" s="15">
        <v>2.0</v>
      </c>
      <c r="I239" s="15" t="s">
        <v>1551</v>
      </c>
      <c r="J239" s="15" t="s">
        <v>28</v>
      </c>
    </row>
    <row r="240" hidden="1">
      <c r="A240" s="16" t="s">
        <v>1659</v>
      </c>
      <c r="B240" s="7" t="s">
        <v>22</v>
      </c>
      <c r="C240" s="90" t="s">
        <v>1549</v>
      </c>
      <c r="D240" s="15">
        <v>2.0</v>
      </c>
      <c r="E240" s="15" t="s">
        <v>135</v>
      </c>
      <c r="F240" s="16" t="s">
        <v>1660</v>
      </c>
      <c r="G240" s="17" t="s">
        <v>1661</v>
      </c>
      <c r="H240" s="15">
        <v>2.0</v>
      </c>
      <c r="I240" s="9" t="s">
        <v>1656</v>
      </c>
      <c r="J240" s="9" t="s">
        <v>72</v>
      </c>
    </row>
    <row r="241">
      <c r="A241" s="16" t="s">
        <v>1662</v>
      </c>
      <c r="B241" s="7" t="s">
        <v>22</v>
      </c>
      <c r="C241" s="16" t="s">
        <v>1051</v>
      </c>
      <c r="D241" s="15">
        <v>1.0</v>
      </c>
      <c r="E241" s="15" t="s">
        <v>1663</v>
      </c>
      <c r="F241" s="96" t="s">
        <v>1664</v>
      </c>
      <c r="G241" s="34"/>
      <c r="H241" s="15">
        <v>2.0</v>
      </c>
      <c r="I241" s="15" t="s">
        <v>1078</v>
      </c>
      <c r="J241" s="9" t="s">
        <v>72</v>
      </c>
      <c r="K241" s="16" t="s">
        <v>1665</v>
      </c>
      <c r="L241" s="13" t="s">
        <v>1666</v>
      </c>
      <c r="M241" s="13" t="s">
        <v>1667</v>
      </c>
      <c r="N241" s="13" t="s">
        <v>1668</v>
      </c>
      <c r="O241" s="13" t="s">
        <v>1669</v>
      </c>
      <c r="P241" s="13" t="s">
        <v>1670</v>
      </c>
      <c r="Q241" s="13" t="s">
        <v>1671</v>
      </c>
      <c r="R241" s="13" t="s">
        <v>1672</v>
      </c>
    </row>
    <row r="242">
      <c r="A242" s="16" t="s">
        <v>1673</v>
      </c>
      <c r="B242" s="7" t="s">
        <v>22</v>
      </c>
      <c r="C242" s="16" t="s">
        <v>1051</v>
      </c>
      <c r="D242" s="15">
        <v>1.0</v>
      </c>
      <c r="E242" s="15" t="s">
        <v>374</v>
      </c>
      <c r="F242" s="16" t="s">
        <v>1674</v>
      </c>
      <c r="G242" s="34"/>
      <c r="H242" s="15">
        <v>1.0</v>
      </c>
      <c r="I242" s="15" t="s">
        <v>1212</v>
      </c>
      <c r="J242" s="9" t="s">
        <v>72</v>
      </c>
      <c r="K242" s="16" t="s">
        <v>1675</v>
      </c>
      <c r="L242" s="13" t="s">
        <v>1676</v>
      </c>
      <c r="M242" s="13" t="s">
        <v>1677</v>
      </c>
      <c r="N242" s="13" t="s">
        <v>1678</v>
      </c>
      <c r="O242" s="13" t="s">
        <v>1679</v>
      </c>
      <c r="P242" s="13" t="s">
        <v>1680</v>
      </c>
      <c r="Q242" s="13" t="s">
        <v>1681</v>
      </c>
      <c r="R242" s="13" t="s">
        <v>1682</v>
      </c>
      <c r="S242" s="13" t="s">
        <v>1683</v>
      </c>
    </row>
    <row r="243">
      <c r="A243" s="16" t="s">
        <v>1684</v>
      </c>
      <c r="B243" s="7" t="s">
        <v>22</v>
      </c>
      <c r="C243" s="16" t="s">
        <v>1051</v>
      </c>
      <c r="D243" s="15">
        <v>1.0</v>
      </c>
      <c r="E243" s="15" t="s">
        <v>98</v>
      </c>
      <c r="F243" s="16" t="s">
        <v>1685</v>
      </c>
      <c r="G243" s="34"/>
      <c r="H243" s="15">
        <v>3.0</v>
      </c>
      <c r="I243" s="16" t="s">
        <v>1359</v>
      </c>
      <c r="J243" s="9" t="s">
        <v>28</v>
      </c>
      <c r="K243" s="16" t="s">
        <v>1686</v>
      </c>
      <c r="L243" s="13" t="s">
        <v>1687</v>
      </c>
      <c r="M243" s="13" t="s">
        <v>1688</v>
      </c>
    </row>
    <row r="244" hidden="1">
      <c r="A244" s="16" t="s">
        <v>1689</v>
      </c>
      <c r="B244" s="7" t="s">
        <v>22</v>
      </c>
      <c r="C244" s="90" t="s">
        <v>1549</v>
      </c>
      <c r="D244" s="15">
        <v>2.0</v>
      </c>
      <c r="E244" s="15" t="s">
        <v>113</v>
      </c>
      <c r="F244" s="16" t="s">
        <v>1690</v>
      </c>
      <c r="G244" s="17" t="s">
        <v>26</v>
      </c>
      <c r="H244" s="15">
        <v>1.0</v>
      </c>
      <c r="I244" s="15" t="s">
        <v>1551</v>
      </c>
      <c r="J244" s="15" t="s">
        <v>28</v>
      </c>
    </row>
    <row r="245">
      <c r="A245" s="16" t="s">
        <v>1691</v>
      </c>
      <c r="B245" s="7" t="s">
        <v>22</v>
      </c>
      <c r="C245" s="16" t="s">
        <v>1051</v>
      </c>
      <c r="D245" s="15">
        <v>1.0</v>
      </c>
      <c r="E245" s="15" t="s">
        <v>1418</v>
      </c>
      <c r="F245" s="16" t="s">
        <v>1692</v>
      </c>
      <c r="G245" s="17" t="s">
        <v>1693</v>
      </c>
      <c r="H245" s="15">
        <v>5.0</v>
      </c>
      <c r="I245" s="16" t="s">
        <v>1694</v>
      </c>
      <c r="J245" s="9" t="s">
        <v>28</v>
      </c>
      <c r="K245" s="16" t="s">
        <v>1695</v>
      </c>
      <c r="L245" s="13" t="s">
        <v>1696</v>
      </c>
      <c r="M245" s="13" t="s">
        <v>1697</v>
      </c>
      <c r="N245" s="13" t="s">
        <v>1698</v>
      </c>
      <c r="O245" s="13" t="s">
        <v>1699</v>
      </c>
      <c r="P245" s="13" t="s">
        <v>1700</v>
      </c>
      <c r="Q245" s="13" t="s">
        <v>1701</v>
      </c>
    </row>
    <row r="246">
      <c r="A246" s="16" t="s">
        <v>1702</v>
      </c>
      <c r="B246" s="7" t="s">
        <v>22</v>
      </c>
      <c r="C246" s="16" t="s">
        <v>1051</v>
      </c>
      <c r="D246" s="15">
        <v>1.0</v>
      </c>
      <c r="E246" s="15" t="s">
        <v>337</v>
      </c>
      <c r="F246" s="16" t="s">
        <v>1703</v>
      </c>
      <c r="G246" s="17"/>
      <c r="H246" s="15">
        <v>3.0</v>
      </c>
      <c r="I246" s="16" t="s">
        <v>1112</v>
      </c>
      <c r="J246" s="9" t="s">
        <v>28</v>
      </c>
      <c r="K246" s="16" t="s">
        <v>1704</v>
      </c>
      <c r="L246" s="13" t="s">
        <v>1705</v>
      </c>
      <c r="M246" s="13" t="s">
        <v>1706</v>
      </c>
      <c r="N246" s="13" t="s">
        <v>1707</v>
      </c>
    </row>
    <row r="247">
      <c r="A247" s="7" t="s">
        <v>1708</v>
      </c>
      <c r="B247" s="7" t="s">
        <v>22</v>
      </c>
      <c r="C247" s="7" t="s">
        <v>1417</v>
      </c>
      <c r="D247" s="9">
        <v>1.0</v>
      </c>
      <c r="E247" s="9" t="s">
        <v>1010</v>
      </c>
      <c r="F247" s="7" t="s">
        <v>1709</v>
      </c>
      <c r="G247" s="10" t="s">
        <v>1710</v>
      </c>
      <c r="H247" s="9">
        <v>3.0</v>
      </c>
      <c r="I247" s="9" t="s">
        <v>1711</v>
      </c>
      <c r="J247" s="9" t="s">
        <v>72</v>
      </c>
      <c r="K247" s="16" t="s">
        <v>1712</v>
      </c>
      <c r="L247" s="13" t="s">
        <v>1713</v>
      </c>
      <c r="M247" s="13" t="s">
        <v>1714</v>
      </c>
      <c r="N247" s="13" t="s">
        <v>1715</v>
      </c>
      <c r="O247" s="13" t="s">
        <v>1716</v>
      </c>
    </row>
    <row r="248">
      <c r="A248" s="22" t="s">
        <v>1717</v>
      </c>
      <c r="B248" s="7" t="s">
        <v>22</v>
      </c>
      <c r="C248" s="7" t="s">
        <v>1417</v>
      </c>
      <c r="D248" s="9">
        <v>1.0</v>
      </c>
      <c r="E248" s="9" t="s">
        <v>1718</v>
      </c>
      <c r="F248" s="7" t="s">
        <v>1719</v>
      </c>
      <c r="G248" s="10" t="s">
        <v>1720</v>
      </c>
      <c r="H248" s="9">
        <v>3.0</v>
      </c>
      <c r="I248" s="9" t="s">
        <v>1721</v>
      </c>
      <c r="J248" s="9" t="s">
        <v>34</v>
      </c>
      <c r="K248" s="16" t="s">
        <v>1722</v>
      </c>
      <c r="L248" s="13" t="s">
        <v>1723</v>
      </c>
      <c r="M248" s="13" t="s">
        <v>1724</v>
      </c>
      <c r="N248" s="13" t="s">
        <v>1725</v>
      </c>
      <c r="O248" s="13" t="s">
        <v>1726</v>
      </c>
      <c r="P248" s="13" t="s">
        <v>1727</v>
      </c>
    </row>
    <row r="249">
      <c r="A249" s="7" t="s">
        <v>1728</v>
      </c>
      <c r="B249" s="7" t="s">
        <v>22</v>
      </c>
      <c r="C249" s="7" t="s">
        <v>1417</v>
      </c>
      <c r="D249" s="9">
        <v>1.0</v>
      </c>
      <c r="E249" s="9" t="s">
        <v>1729</v>
      </c>
      <c r="F249" s="7"/>
      <c r="G249" s="10" t="s">
        <v>1730</v>
      </c>
      <c r="H249" s="9">
        <v>2.0</v>
      </c>
      <c r="I249" s="9" t="s">
        <v>1731</v>
      </c>
      <c r="J249" s="9" t="s">
        <v>28</v>
      </c>
      <c r="K249" s="16" t="s">
        <v>1732</v>
      </c>
      <c r="L249" s="13" t="s">
        <v>1733</v>
      </c>
      <c r="M249" s="13" t="s">
        <v>1734</v>
      </c>
      <c r="N249" s="13" t="s">
        <v>1735</v>
      </c>
      <c r="O249" s="13" t="s">
        <v>1736</v>
      </c>
      <c r="P249" s="13" t="s">
        <v>1737</v>
      </c>
    </row>
    <row r="250">
      <c r="A250" s="7" t="s">
        <v>1738</v>
      </c>
      <c r="B250" s="7" t="s">
        <v>22</v>
      </c>
      <c r="C250" s="7" t="s">
        <v>1477</v>
      </c>
      <c r="D250" s="9">
        <v>1.0</v>
      </c>
      <c r="E250" s="9" t="s">
        <v>1739</v>
      </c>
      <c r="F250" s="7" t="s">
        <v>1740</v>
      </c>
      <c r="G250" s="10" t="s">
        <v>1741</v>
      </c>
      <c r="H250" s="9">
        <v>1.0</v>
      </c>
      <c r="I250" s="9" t="s">
        <v>1742</v>
      </c>
      <c r="J250" s="9" t="s">
        <v>72</v>
      </c>
      <c r="K250" s="16" t="s">
        <v>1743</v>
      </c>
      <c r="L250" s="13" t="s">
        <v>1744</v>
      </c>
      <c r="M250" s="13" t="s">
        <v>1745</v>
      </c>
      <c r="N250" s="13" t="s">
        <v>1746</v>
      </c>
      <c r="O250" s="13" t="s">
        <v>1747</v>
      </c>
      <c r="P250" s="13" t="s">
        <v>1748</v>
      </c>
    </row>
    <row r="251" hidden="1">
      <c r="A251" s="31" t="s">
        <v>1749</v>
      </c>
      <c r="B251" s="7" t="s">
        <v>22</v>
      </c>
      <c r="C251" s="90" t="s">
        <v>1549</v>
      </c>
      <c r="D251" s="15">
        <v>2.0</v>
      </c>
      <c r="E251" s="15" t="s">
        <v>1750</v>
      </c>
      <c r="F251" s="16" t="s">
        <v>1751</v>
      </c>
      <c r="G251" s="17" t="s">
        <v>943</v>
      </c>
      <c r="H251" s="15">
        <v>4.0</v>
      </c>
      <c r="I251" s="15" t="s">
        <v>1752</v>
      </c>
      <c r="J251" s="15" t="s">
        <v>28</v>
      </c>
    </row>
    <row r="252" hidden="1">
      <c r="A252" s="22" t="s">
        <v>1753</v>
      </c>
      <c r="B252" s="7" t="s">
        <v>22</v>
      </c>
      <c r="C252" s="88" t="s">
        <v>1549</v>
      </c>
      <c r="D252" s="9">
        <v>0.0</v>
      </c>
      <c r="E252" s="9" t="s">
        <v>1572</v>
      </c>
      <c r="F252" s="7" t="s">
        <v>1754</v>
      </c>
      <c r="G252" s="10" t="s">
        <v>1755</v>
      </c>
      <c r="H252" s="9">
        <v>5.0</v>
      </c>
      <c r="I252" s="9" t="s">
        <v>1752</v>
      </c>
      <c r="J252" s="9" t="s">
        <v>28</v>
      </c>
    </row>
    <row r="253" ht="14.25" hidden="1" customHeight="1">
      <c r="A253" s="7" t="s">
        <v>1756</v>
      </c>
      <c r="B253" s="7" t="s">
        <v>22</v>
      </c>
      <c r="C253" s="86" t="s">
        <v>1549</v>
      </c>
      <c r="D253" s="9">
        <v>2.0</v>
      </c>
      <c r="E253" s="9" t="s">
        <v>662</v>
      </c>
      <c r="F253" s="7" t="s">
        <v>1757</v>
      </c>
      <c r="G253" s="10" t="s">
        <v>1758</v>
      </c>
      <c r="H253" s="9">
        <v>1.0</v>
      </c>
      <c r="I253" s="9" t="s">
        <v>1578</v>
      </c>
      <c r="J253" s="9" t="s">
        <v>72</v>
      </c>
    </row>
    <row r="254">
      <c r="A254" s="7" t="s">
        <v>1759</v>
      </c>
      <c r="B254" s="7" t="s">
        <v>22</v>
      </c>
      <c r="C254" s="7" t="s">
        <v>1477</v>
      </c>
      <c r="D254" s="9">
        <v>1.0</v>
      </c>
      <c r="E254" s="9" t="s">
        <v>1494</v>
      </c>
      <c r="F254" s="7" t="s">
        <v>1760</v>
      </c>
      <c r="G254" s="10" t="s">
        <v>1761</v>
      </c>
      <c r="H254" s="9">
        <v>2.0</v>
      </c>
      <c r="I254" s="9" t="s">
        <v>1762</v>
      </c>
      <c r="J254" s="9" t="s">
        <v>34</v>
      </c>
      <c r="K254" s="16" t="s">
        <v>1763</v>
      </c>
      <c r="L254" s="13" t="s">
        <v>1764</v>
      </c>
      <c r="M254" s="13" t="s">
        <v>1765</v>
      </c>
      <c r="N254" s="13" t="s">
        <v>1766</v>
      </c>
      <c r="O254" s="13" t="s">
        <v>1767</v>
      </c>
      <c r="P254" s="13" t="s">
        <v>1768</v>
      </c>
    </row>
    <row r="255" hidden="1">
      <c r="A255" s="31" t="s">
        <v>1769</v>
      </c>
      <c r="B255" s="7" t="s">
        <v>22</v>
      </c>
      <c r="C255" s="16" t="s">
        <v>1549</v>
      </c>
      <c r="D255" s="15">
        <v>2.0</v>
      </c>
      <c r="E255" s="15" t="s">
        <v>1770</v>
      </c>
      <c r="F255" s="16" t="s">
        <v>1771</v>
      </c>
      <c r="G255" s="17" t="s">
        <v>1772</v>
      </c>
      <c r="H255" s="15">
        <v>4.0</v>
      </c>
      <c r="I255" s="15" t="s">
        <v>1583</v>
      </c>
      <c r="J255" s="15" t="s">
        <v>72</v>
      </c>
    </row>
    <row r="256" hidden="1">
      <c r="A256" s="16" t="s">
        <v>1773</v>
      </c>
      <c r="B256" s="7" t="s">
        <v>22</v>
      </c>
      <c r="C256" s="16" t="s">
        <v>1549</v>
      </c>
      <c r="D256" s="15">
        <v>2.0</v>
      </c>
      <c r="E256" s="15" t="s">
        <v>113</v>
      </c>
      <c r="F256" s="16" t="s">
        <v>1774</v>
      </c>
      <c r="G256" s="17" t="s">
        <v>1775</v>
      </c>
      <c r="H256" s="15">
        <v>6.0</v>
      </c>
      <c r="I256" s="15" t="s">
        <v>1776</v>
      </c>
      <c r="J256" s="15" t="s">
        <v>34</v>
      </c>
    </row>
    <row r="257" hidden="1">
      <c r="A257" s="16" t="s">
        <v>1777</v>
      </c>
      <c r="B257" s="7" t="s">
        <v>22</v>
      </c>
      <c r="C257" s="90" t="s">
        <v>1549</v>
      </c>
      <c r="D257" s="15">
        <v>2.0</v>
      </c>
      <c r="E257" s="15" t="s">
        <v>299</v>
      </c>
      <c r="F257" s="16" t="s">
        <v>1778</v>
      </c>
      <c r="G257" s="17" t="s">
        <v>1221</v>
      </c>
      <c r="H257" s="15">
        <v>3.0</v>
      </c>
      <c r="I257" s="15" t="s">
        <v>1752</v>
      </c>
      <c r="J257" s="15" t="s">
        <v>72</v>
      </c>
    </row>
    <row r="258" hidden="1">
      <c r="A258" s="16" t="s">
        <v>1779</v>
      </c>
      <c r="B258" s="7" t="s">
        <v>22</v>
      </c>
      <c r="C258" s="90" t="s">
        <v>1549</v>
      </c>
      <c r="D258" s="15">
        <v>0.0</v>
      </c>
      <c r="E258" s="15" t="s">
        <v>151</v>
      </c>
      <c r="F258" s="16" t="s">
        <v>1780</v>
      </c>
      <c r="G258" s="17" t="s">
        <v>1781</v>
      </c>
      <c r="H258" s="9">
        <v>3.0</v>
      </c>
      <c r="I258" s="9" t="s">
        <v>1782</v>
      </c>
      <c r="J258" s="9" t="s">
        <v>34</v>
      </c>
    </row>
    <row r="259">
      <c r="A259" s="7" t="s">
        <v>1783</v>
      </c>
      <c r="B259" s="7" t="s">
        <v>22</v>
      </c>
      <c r="C259" s="7" t="s">
        <v>1477</v>
      </c>
      <c r="D259" s="9">
        <v>1.0</v>
      </c>
      <c r="E259" s="9" t="s">
        <v>1248</v>
      </c>
      <c r="F259" s="7"/>
      <c r="G259" s="10" t="s">
        <v>1784</v>
      </c>
      <c r="H259" s="9">
        <v>2.0</v>
      </c>
      <c r="I259" s="9" t="s">
        <v>1520</v>
      </c>
      <c r="J259" s="9" t="s">
        <v>28</v>
      </c>
      <c r="K259" s="16" t="s">
        <v>1785</v>
      </c>
      <c r="L259" s="13" t="s">
        <v>1786</v>
      </c>
      <c r="M259" s="13" t="s">
        <v>1787</v>
      </c>
      <c r="N259" s="13" t="s">
        <v>1788</v>
      </c>
      <c r="O259" s="13" t="s">
        <v>1789</v>
      </c>
      <c r="P259" s="13" t="s">
        <v>1790</v>
      </c>
    </row>
    <row r="260" hidden="1">
      <c r="A260" s="16" t="s">
        <v>1791</v>
      </c>
      <c r="B260" s="7" t="s">
        <v>22</v>
      </c>
      <c r="C260" s="16" t="s">
        <v>1549</v>
      </c>
      <c r="D260" s="15">
        <v>2.0</v>
      </c>
      <c r="E260" s="15" t="s">
        <v>1792</v>
      </c>
      <c r="F260" s="16" t="s">
        <v>1793</v>
      </c>
      <c r="G260" s="17" t="s">
        <v>1794</v>
      </c>
      <c r="H260" s="15">
        <v>6.0</v>
      </c>
      <c r="I260" s="15" t="s">
        <v>1776</v>
      </c>
      <c r="J260" s="15" t="s">
        <v>34</v>
      </c>
    </row>
    <row r="261" hidden="1">
      <c r="A261" s="16" t="s">
        <v>1795</v>
      </c>
      <c r="B261" s="7" t="s">
        <v>22</v>
      </c>
      <c r="C261" s="90" t="s">
        <v>1549</v>
      </c>
      <c r="D261" s="15">
        <v>2.0</v>
      </c>
      <c r="E261" s="15" t="s">
        <v>329</v>
      </c>
      <c r="F261" s="16" t="s">
        <v>1796</v>
      </c>
      <c r="G261" s="17" t="s">
        <v>1797</v>
      </c>
      <c r="H261" s="15">
        <v>3.0</v>
      </c>
      <c r="I261" s="15" t="s">
        <v>1798</v>
      </c>
      <c r="J261" s="15" t="s">
        <v>28</v>
      </c>
    </row>
    <row r="262">
      <c r="A262" s="16" t="s">
        <v>1799</v>
      </c>
      <c r="B262" s="7" t="s">
        <v>22</v>
      </c>
      <c r="C262" s="16" t="s">
        <v>1549</v>
      </c>
      <c r="D262" s="15">
        <v>1.0</v>
      </c>
      <c r="E262" s="15" t="s">
        <v>389</v>
      </c>
      <c r="F262" s="16" t="s">
        <v>1800</v>
      </c>
      <c r="G262" s="17" t="s">
        <v>943</v>
      </c>
      <c r="H262" s="15">
        <v>3.0</v>
      </c>
      <c r="I262" s="15" t="s">
        <v>1578</v>
      </c>
      <c r="J262" s="9" t="s">
        <v>28</v>
      </c>
      <c r="K262" s="16" t="s">
        <v>1801</v>
      </c>
      <c r="L262" s="13" t="s">
        <v>1802</v>
      </c>
      <c r="M262" s="13" t="s">
        <v>1803</v>
      </c>
      <c r="N262" s="13" t="s">
        <v>1804</v>
      </c>
      <c r="O262" s="13" t="s">
        <v>1805</v>
      </c>
      <c r="P262" s="13" t="s">
        <v>1806</v>
      </c>
    </row>
    <row r="263">
      <c r="A263" s="7" t="s">
        <v>1807</v>
      </c>
      <c r="B263" s="7" t="s">
        <v>22</v>
      </c>
      <c r="C263" s="7" t="s">
        <v>1549</v>
      </c>
      <c r="D263" s="9">
        <v>1.0</v>
      </c>
      <c r="E263" s="9" t="s">
        <v>385</v>
      </c>
      <c r="F263" s="16" t="s">
        <v>1808</v>
      </c>
      <c r="G263" s="17" t="s">
        <v>1809</v>
      </c>
      <c r="H263" s="9">
        <v>6.0</v>
      </c>
      <c r="I263" s="9" t="s">
        <v>1752</v>
      </c>
      <c r="J263" s="15" t="s">
        <v>72</v>
      </c>
      <c r="K263" s="16" t="s">
        <v>1810</v>
      </c>
      <c r="L263" s="13" t="s">
        <v>1811</v>
      </c>
      <c r="M263" s="13" t="s">
        <v>1812</v>
      </c>
      <c r="N263" s="13" t="s">
        <v>1813</v>
      </c>
      <c r="O263" s="13" t="s">
        <v>1814</v>
      </c>
      <c r="P263" s="13" t="s">
        <v>1815</v>
      </c>
    </row>
    <row r="264">
      <c r="A264" s="22" t="s">
        <v>1816</v>
      </c>
      <c r="B264" s="7" t="s">
        <v>22</v>
      </c>
      <c r="C264" s="7" t="s">
        <v>1549</v>
      </c>
      <c r="D264" s="9">
        <v>1.0</v>
      </c>
      <c r="E264" s="9" t="s">
        <v>113</v>
      </c>
      <c r="F264" s="7" t="s">
        <v>1817</v>
      </c>
      <c r="G264" s="10" t="s">
        <v>1818</v>
      </c>
      <c r="H264" s="9">
        <v>4.0</v>
      </c>
      <c r="I264" s="9" t="s">
        <v>1752</v>
      </c>
      <c r="J264" s="9" t="s">
        <v>72</v>
      </c>
      <c r="K264" s="16" t="s">
        <v>1819</v>
      </c>
      <c r="L264" s="13" t="s">
        <v>1820</v>
      </c>
      <c r="M264" s="13" t="s">
        <v>1821</v>
      </c>
      <c r="N264" s="13" t="s">
        <v>1822</v>
      </c>
      <c r="O264" s="13" t="s">
        <v>1823</v>
      </c>
      <c r="P264" s="13" t="s">
        <v>1824</v>
      </c>
      <c r="Q264" s="13" t="s">
        <v>1825</v>
      </c>
      <c r="R264" s="13" t="s">
        <v>1826</v>
      </c>
    </row>
    <row r="265" hidden="1">
      <c r="A265" s="22" t="s">
        <v>1827</v>
      </c>
      <c r="B265" s="7" t="s">
        <v>22</v>
      </c>
      <c r="C265" s="88" t="s">
        <v>1549</v>
      </c>
      <c r="D265" s="9">
        <v>2.0</v>
      </c>
      <c r="E265" s="9" t="s">
        <v>1770</v>
      </c>
      <c r="F265" s="16" t="s">
        <v>1828</v>
      </c>
      <c r="G265" s="10" t="s">
        <v>1829</v>
      </c>
      <c r="H265" s="9">
        <v>3.0</v>
      </c>
      <c r="I265" s="9" t="s">
        <v>1798</v>
      </c>
      <c r="J265" s="9" t="s">
        <v>28</v>
      </c>
    </row>
    <row r="266">
      <c r="A266" s="7" t="s">
        <v>1830</v>
      </c>
      <c r="B266" s="7" t="s">
        <v>22</v>
      </c>
      <c r="C266" s="7" t="s">
        <v>1549</v>
      </c>
      <c r="D266" s="9">
        <v>1.0</v>
      </c>
      <c r="E266" s="9" t="s">
        <v>240</v>
      </c>
      <c r="F266" s="7" t="s">
        <v>83</v>
      </c>
      <c r="G266" s="10" t="s">
        <v>1831</v>
      </c>
      <c r="H266" s="9">
        <v>1.0</v>
      </c>
      <c r="I266" s="9" t="s">
        <v>1832</v>
      </c>
      <c r="J266" s="9" t="s">
        <v>28</v>
      </c>
      <c r="K266" s="16" t="s">
        <v>1833</v>
      </c>
      <c r="L266" s="13" t="s">
        <v>1834</v>
      </c>
      <c r="M266" s="13" t="s">
        <v>1835</v>
      </c>
      <c r="N266" s="13" t="s">
        <v>1836</v>
      </c>
      <c r="O266" s="13" t="s">
        <v>1837</v>
      </c>
      <c r="P266" s="13" t="s">
        <v>1838</v>
      </c>
      <c r="Q266" s="13" t="s">
        <v>1839</v>
      </c>
      <c r="R266" s="13" t="s">
        <v>1840</v>
      </c>
    </row>
    <row r="267" hidden="1">
      <c r="A267" s="16" t="s">
        <v>1841</v>
      </c>
      <c r="B267" s="7" t="s">
        <v>22</v>
      </c>
      <c r="C267" s="90" t="s">
        <v>1549</v>
      </c>
      <c r="D267" s="15">
        <v>2.0</v>
      </c>
      <c r="E267" s="15" t="s">
        <v>1842</v>
      </c>
      <c r="F267" s="16" t="s">
        <v>1843</v>
      </c>
      <c r="G267" s="17" t="s">
        <v>1308</v>
      </c>
      <c r="H267" s="15">
        <v>4.0</v>
      </c>
      <c r="I267" s="15" t="s">
        <v>1798</v>
      </c>
      <c r="J267" s="15" t="s">
        <v>28</v>
      </c>
    </row>
    <row r="268" hidden="1">
      <c r="A268" s="22" t="s">
        <v>1844</v>
      </c>
      <c r="B268" s="7" t="s">
        <v>22</v>
      </c>
      <c r="C268" s="7" t="s">
        <v>1549</v>
      </c>
      <c r="D268" s="9">
        <v>2.0</v>
      </c>
      <c r="E268" s="9" t="s">
        <v>1845</v>
      </c>
      <c r="F268" s="86" t="s">
        <v>1846</v>
      </c>
      <c r="G268" s="10" t="s">
        <v>1847</v>
      </c>
      <c r="H268" s="9">
        <v>6.0</v>
      </c>
      <c r="I268" s="9" t="s">
        <v>1848</v>
      </c>
      <c r="J268" s="9" t="s">
        <v>34</v>
      </c>
    </row>
    <row r="269" hidden="1">
      <c r="A269" s="16" t="s">
        <v>1849</v>
      </c>
      <c r="B269" s="7" t="s">
        <v>22</v>
      </c>
      <c r="C269" s="86" t="s">
        <v>1549</v>
      </c>
      <c r="D269" s="9">
        <v>2.0</v>
      </c>
      <c r="E269" s="15" t="s">
        <v>919</v>
      </c>
      <c r="F269" s="16" t="s">
        <v>1850</v>
      </c>
      <c r="G269" s="17" t="s">
        <v>1851</v>
      </c>
      <c r="H269" s="15">
        <v>3.0</v>
      </c>
      <c r="I269" s="15" t="s">
        <v>1574</v>
      </c>
      <c r="J269" s="15" t="s">
        <v>72</v>
      </c>
    </row>
    <row r="270" ht="15.75" customHeight="1">
      <c r="A270" s="7" t="s">
        <v>1852</v>
      </c>
      <c r="B270" s="7" t="s">
        <v>22</v>
      </c>
      <c r="C270" s="7" t="s">
        <v>1549</v>
      </c>
      <c r="D270" s="9">
        <v>1.0</v>
      </c>
      <c r="E270" s="9" t="s">
        <v>389</v>
      </c>
      <c r="F270" s="7" t="s">
        <v>1853</v>
      </c>
      <c r="G270" s="10" t="s">
        <v>1854</v>
      </c>
      <c r="H270" s="9">
        <v>2.0</v>
      </c>
      <c r="I270" s="9" t="s">
        <v>1578</v>
      </c>
      <c r="J270" s="9" t="s">
        <v>72</v>
      </c>
      <c r="K270" s="16" t="s">
        <v>1855</v>
      </c>
      <c r="L270" s="13" t="s">
        <v>1856</v>
      </c>
      <c r="M270" s="13" t="s">
        <v>1857</v>
      </c>
      <c r="N270" s="13" t="s">
        <v>1858</v>
      </c>
      <c r="O270" s="13" t="s">
        <v>1859</v>
      </c>
      <c r="P270" s="13" t="s">
        <v>1860</v>
      </c>
      <c r="Q270" s="13" t="s">
        <v>1861</v>
      </c>
      <c r="R270" s="13" t="s">
        <v>1862</v>
      </c>
      <c r="S270" s="13" t="s">
        <v>1863</v>
      </c>
      <c r="T270" s="13" t="s">
        <v>1864</v>
      </c>
    </row>
    <row r="271" hidden="1">
      <c r="A271" s="16" t="s">
        <v>1865</v>
      </c>
      <c r="B271" s="7" t="s">
        <v>22</v>
      </c>
      <c r="C271" s="90" t="s">
        <v>1549</v>
      </c>
      <c r="D271" s="15">
        <v>2.0</v>
      </c>
      <c r="E271" s="15" t="s">
        <v>540</v>
      </c>
      <c r="F271" s="16" t="s">
        <v>1866</v>
      </c>
      <c r="G271" s="17" t="s">
        <v>121</v>
      </c>
      <c r="H271" s="15">
        <v>2.0</v>
      </c>
      <c r="I271" s="15" t="s">
        <v>1578</v>
      </c>
      <c r="J271" s="15" t="s">
        <v>28</v>
      </c>
    </row>
    <row r="272" hidden="1">
      <c r="A272" s="7" t="s">
        <v>1867</v>
      </c>
      <c r="B272" s="7" t="s">
        <v>22</v>
      </c>
      <c r="C272" s="86" t="s">
        <v>1549</v>
      </c>
      <c r="D272" s="9">
        <v>2.0</v>
      </c>
      <c r="E272" s="9" t="s">
        <v>1572</v>
      </c>
      <c r="F272" s="7" t="s">
        <v>1868</v>
      </c>
      <c r="G272" s="10" t="s">
        <v>1869</v>
      </c>
      <c r="H272" s="9">
        <v>5.0</v>
      </c>
      <c r="I272" s="9" t="s">
        <v>1583</v>
      </c>
      <c r="J272" s="9" t="s">
        <v>28</v>
      </c>
    </row>
    <row r="273">
      <c r="A273" s="16" t="s">
        <v>1870</v>
      </c>
      <c r="B273" s="7" t="s">
        <v>22</v>
      </c>
      <c r="C273" s="16" t="s">
        <v>1549</v>
      </c>
      <c r="D273" s="15">
        <v>1.0</v>
      </c>
      <c r="E273" s="15" t="s">
        <v>1842</v>
      </c>
      <c r="F273" s="16" t="s">
        <v>1871</v>
      </c>
      <c r="G273" s="17" t="s">
        <v>1872</v>
      </c>
      <c r="H273" s="15">
        <v>3.0</v>
      </c>
      <c r="I273" s="15" t="s">
        <v>1578</v>
      </c>
      <c r="J273" s="15" t="s">
        <v>28</v>
      </c>
      <c r="K273" s="16" t="s">
        <v>1873</v>
      </c>
      <c r="L273" s="13" t="s">
        <v>1874</v>
      </c>
      <c r="M273" s="13" t="s">
        <v>1875</v>
      </c>
      <c r="N273" s="13" t="s">
        <v>1876</v>
      </c>
      <c r="O273" s="13" t="s">
        <v>1877</v>
      </c>
      <c r="P273" s="13" t="s">
        <v>1878</v>
      </c>
      <c r="Q273" s="13" t="s">
        <v>1879</v>
      </c>
    </row>
    <row r="274" hidden="1">
      <c r="A274" s="22" t="s">
        <v>1880</v>
      </c>
      <c r="B274" s="7" t="s">
        <v>22</v>
      </c>
      <c r="C274" s="88" t="s">
        <v>1549</v>
      </c>
      <c r="D274" s="9">
        <v>2.0</v>
      </c>
      <c r="E274" s="9" t="s">
        <v>1445</v>
      </c>
      <c r="F274" s="7" t="s">
        <v>1881</v>
      </c>
      <c r="G274" s="10" t="s">
        <v>1882</v>
      </c>
      <c r="H274" s="9">
        <v>1.0</v>
      </c>
      <c r="I274" s="9" t="s">
        <v>1551</v>
      </c>
      <c r="J274" s="15" t="s">
        <v>28</v>
      </c>
    </row>
    <row r="275" hidden="1">
      <c r="A275" s="16" t="s">
        <v>1883</v>
      </c>
      <c r="B275" s="7" t="s">
        <v>22</v>
      </c>
      <c r="C275" s="16" t="s">
        <v>1884</v>
      </c>
      <c r="D275" s="15">
        <v>0.0</v>
      </c>
      <c r="E275" s="15" t="s">
        <v>1885</v>
      </c>
      <c r="F275" s="16" t="s">
        <v>1886</v>
      </c>
      <c r="G275" s="38" t="s">
        <v>1887</v>
      </c>
      <c r="H275" s="15">
        <v>7.0</v>
      </c>
      <c r="I275" s="15" t="s">
        <v>1888</v>
      </c>
      <c r="J275" s="9" t="s">
        <v>34</v>
      </c>
    </row>
    <row r="276" hidden="1">
      <c r="A276" s="7" t="s">
        <v>1889</v>
      </c>
      <c r="B276" s="7" t="s">
        <v>22</v>
      </c>
      <c r="C276" s="7" t="s">
        <v>1884</v>
      </c>
      <c r="D276" s="9">
        <v>2.0</v>
      </c>
      <c r="E276" s="9" t="s">
        <v>1890</v>
      </c>
      <c r="F276" s="7" t="s">
        <v>1891</v>
      </c>
      <c r="G276" s="10" t="s">
        <v>1892</v>
      </c>
      <c r="H276" s="9">
        <v>3.0</v>
      </c>
      <c r="I276" s="9" t="s">
        <v>1893</v>
      </c>
      <c r="J276" s="9" t="s">
        <v>72</v>
      </c>
    </row>
    <row r="277">
      <c r="A277" s="16" t="s">
        <v>1894</v>
      </c>
      <c r="B277" s="7" t="s">
        <v>22</v>
      </c>
      <c r="C277" s="16" t="s">
        <v>1549</v>
      </c>
      <c r="D277" s="15">
        <v>1.0</v>
      </c>
      <c r="E277" s="15" t="s">
        <v>299</v>
      </c>
      <c r="F277" s="7" t="s">
        <v>1895</v>
      </c>
      <c r="G277" s="10" t="s">
        <v>1896</v>
      </c>
      <c r="H277" s="15">
        <v>3.0</v>
      </c>
      <c r="I277" s="15" t="s">
        <v>1578</v>
      </c>
      <c r="J277" s="15" t="s">
        <v>28</v>
      </c>
      <c r="K277" s="16" t="s">
        <v>1897</v>
      </c>
      <c r="L277" s="13" t="s">
        <v>1898</v>
      </c>
      <c r="M277" s="13" t="s">
        <v>1899</v>
      </c>
      <c r="N277" s="13" t="s">
        <v>1900</v>
      </c>
      <c r="O277" s="13" t="s">
        <v>1901</v>
      </c>
    </row>
    <row r="278">
      <c r="A278" s="16" t="s">
        <v>1902</v>
      </c>
      <c r="B278" s="7" t="s">
        <v>22</v>
      </c>
      <c r="C278" s="90" t="s">
        <v>1549</v>
      </c>
      <c r="D278" s="15">
        <v>1.0</v>
      </c>
      <c r="E278" s="15" t="s">
        <v>1770</v>
      </c>
      <c r="F278" s="16" t="s">
        <v>1903</v>
      </c>
      <c r="G278" s="34"/>
      <c r="H278" s="15">
        <v>4.0</v>
      </c>
      <c r="I278" s="15" t="s">
        <v>1798</v>
      </c>
      <c r="J278" s="15" t="s">
        <v>72</v>
      </c>
      <c r="K278" s="16" t="s">
        <v>1904</v>
      </c>
      <c r="L278" s="13" t="s">
        <v>1905</v>
      </c>
      <c r="M278" s="13" t="s">
        <v>1906</v>
      </c>
      <c r="N278" s="13" t="s">
        <v>1907</v>
      </c>
    </row>
    <row r="279">
      <c r="A279" s="7" t="s">
        <v>1908</v>
      </c>
      <c r="B279" s="7" t="s">
        <v>22</v>
      </c>
      <c r="C279" s="7" t="s">
        <v>1549</v>
      </c>
      <c r="D279" s="9">
        <v>1.0</v>
      </c>
      <c r="E279" s="9" t="s">
        <v>385</v>
      </c>
      <c r="F279" s="7" t="s">
        <v>1909</v>
      </c>
      <c r="G279" s="10" t="s">
        <v>1910</v>
      </c>
      <c r="H279" s="9">
        <v>5.0</v>
      </c>
      <c r="I279" s="9" t="s">
        <v>1752</v>
      </c>
      <c r="J279" s="9" t="s">
        <v>28</v>
      </c>
      <c r="K279" s="16" t="s">
        <v>1911</v>
      </c>
      <c r="L279" s="13" t="s">
        <v>1912</v>
      </c>
      <c r="M279" s="13" t="s">
        <v>1913</v>
      </c>
    </row>
    <row r="280" hidden="1">
      <c r="A280" s="16" t="s">
        <v>1914</v>
      </c>
      <c r="B280" s="7" t="s">
        <v>22</v>
      </c>
      <c r="C280" s="16" t="s">
        <v>1549</v>
      </c>
      <c r="D280" s="15">
        <v>0.0</v>
      </c>
      <c r="E280" s="15" t="s">
        <v>113</v>
      </c>
      <c r="F280" s="7" t="s">
        <v>1915</v>
      </c>
      <c r="G280" s="10" t="s">
        <v>1916</v>
      </c>
      <c r="H280" s="15">
        <v>2.0</v>
      </c>
      <c r="I280" s="15" t="s">
        <v>1551</v>
      </c>
      <c r="J280" s="15" t="s">
        <v>28</v>
      </c>
    </row>
    <row r="281">
      <c r="A281" s="7" t="s">
        <v>1917</v>
      </c>
      <c r="B281" s="7" t="s">
        <v>22</v>
      </c>
      <c r="C281" s="7" t="s">
        <v>1549</v>
      </c>
      <c r="D281" s="9">
        <v>1.0</v>
      </c>
      <c r="E281" s="9" t="s">
        <v>662</v>
      </c>
      <c r="F281" s="7" t="s">
        <v>1918</v>
      </c>
      <c r="G281" s="10" t="s">
        <v>1919</v>
      </c>
      <c r="H281" s="9">
        <v>3.0</v>
      </c>
      <c r="I281" s="9" t="s">
        <v>1574</v>
      </c>
      <c r="J281" s="9" t="s">
        <v>72</v>
      </c>
      <c r="K281" s="16" t="s">
        <v>1920</v>
      </c>
      <c r="L281" s="13" t="s">
        <v>1921</v>
      </c>
      <c r="M281" s="13" t="s">
        <v>1922</v>
      </c>
      <c r="N281" s="13" t="s">
        <v>1923</v>
      </c>
    </row>
    <row r="282">
      <c r="A282" s="7" t="s">
        <v>1924</v>
      </c>
      <c r="B282" s="7" t="s">
        <v>22</v>
      </c>
      <c r="C282" s="7" t="s">
        <v>1549</v>
      </c>
      <c r="D282" s="9">
        <v>1.0</v>
      </c>
      <c r="E282" s="9" t="s">
        <v>1445</v>
      </c>
      <c r="F282" s="16" t="s">
        <v>1925</v>
      </c>
      <c r="G282" s="10" t="s">
        <v>1926</v>
      </c>
      <c r="H282" s="9">
        <v>3.0</v>
      </c>
      <c r="I282" s="9" t="s">
        <v>1782</v>
      </c>
      <c r="J282" s="9" t="s">
        <v>28</v>
      </c>
      <c r="K282" s="16" t="s">
        <v>1927</v>
      </c>
      <c r="L282" s="13" t="s">
        <v>1928</v>
      </c>
      <c r="M282" s="13" t="s">
        <v>1929</v>
      </c>
      <c r="N282" s="13" t="s">
        <v>1930</v>
      </c>
      <c r="O282" s="13" t="s">
        <v>1931</v>
      </c>
      <c r="P282" s="13" t="s">
        <v>1932</v>
      </c>
      <c r="Q282" s="13" t="s">
        <v>1933</v>
      </c>
    </row>
    <row r="283" hidden="1">
      <c r="A283" s="7" t="s">
        <v>1934</v>
      </c>
      <c r="B283" s="7" t="s">
        <v>22</v>
      </c>
      <c r="C283" s="97" t="s">
        <v>1935</v>
      </c>
      <c r="D283" s="9">
        <v>2.0</v>
      </c>
      <c r="E283" s="9" t="s">
        <v>126</v>
      </c>
      <c r="F283" s="7" t="s">
        <v>1936</v>
      </c>
      <c r="G283" s="17" t="s">
        <v>1937</v>
      </c>
      <c r="H283" s="9">
        <v>1.0</v>
      </c>
      <c r="I283" s="9" t="s">
        <v>1938</v>
      </c>
      <c r="J283" s="15" t="s">
        <v>72</v>
      </c>
    </row>
    <row r="284">
      <c r="A284" s="20" t="s">
        <v>1939</v>
      </c>
      <c r="B284" s="7" t="s">
        <v>22</v>
      </c>
      <c r="C284" s="7" t="s">
        <v>1549</v>
      </c>
      <c r="D284" s="9">
        <v>1.0</v>
      </c>
      <c r="E284" s="9" t="s">
        <v>1845</v>
      </c>
      <c r="F284" s="7" t="s">
        <v>1940</v>
      </c>
      <c r="G284" s="10" t="s">
        <v>1941</v>
      </c>
      <c r="H284" s="9">
        <v>2.0</v>
      </c>
      <c r="I284" s="9" t="s">
        <v>1551</v>
      </c>
      <c r="J284" s="21" t="s">
        <v>28</v>
      </c>
      <c r="K284" s="16" t="s">
        <v>1942</v>
      </c>
      <c r="L284" s="13" t="s">
        <v>1943</v>
      </c>
      <c r="M284" s="13" t="s">
        <v>1944</v>
      </c>
      <c r="N284" s="13" t="s">
        <v>1945</v>
      </c>
      <c r="O284" s="13" t="s">
        <v>1946</v>
      </c>
      <c r="P284" s="13" t="s">
        <v>1947</v>
      </c>
    </row>
    <row r="285" hidden="1">
      <c r="A285" s="22" t="s">
        <v>1948</v>
      </c>
      <c r="B285" s="7" t="s">
        <v>22</v>
      </c>
      <c r="C285" s="97" t="s">
        <v>1935</v>
      </c>
      <c r="D285" s="9">
        <v>2.0</v>
      </c>
      <c r="E285" s="9" t="s">
        <v>1949</v>
      </c>
      <c r="F285" s="7" t="s">
        <v>1950</v>
      </c>
      <c r="G285" s="10" t="s">
        <v>1951</v>
      </c>
      <c r="H285" s="9">
        <v>4.0</v>
      </c>
      <c r="I285" s="9" t="s">
        <v>1952</v>
      </c>
      <c r="J285" s="9" t="s">
        <v>34</v>
      </c>
    </row>
    <row r="286" hidden="1">
      <c r="A286" s="16" t="s">
        <v>1953</v>
      </c>
      <c r="B286" s="7" t="s">
        <v>22</v>
      </c>
      <c r="C286" s="98" t="s">
        <v>1935</v>
      </c>
      <c r="D286" s="15">
        <v>2.0</v>
      </c>
      <c r="E286" s="15" t="s">
        <v>1954</v>
      </c>
      <c r="F286" s="30" t="s">
        <v>1955</v>
      </c>
      <c r="G286" s="17" t="s">
        <v>1956</v>
      </c>
      <c r="H286" s="15">
        <v>4.0</v>
      </c>
      <c r="I286" s="15" t="s">
        <v>1957</v>
      </c>
      <c r="J286" s="9" t="s">
        <v>34</v>
      </c>
    </row>
    <row r="287" hidden="1">
      <c r="A287" s="7" t="s">
        <v>1958</v>
      </c>
      <c r="B287" s="7" t="s">
        <v>22</v>
      </c>
      <c r="C287" s="97" t="s">
        <v>1935</v>
      </c>
      <c r="D287" s="9">
        <v>2.0</v>
      </c>
      <c r="E287" s="9" t="s">
        <v>1959</v>
      </c>
      <c r="F287" s="16" t="s">
        <v>1960</v>
      </c>
      <c r="G287" s="10" t="s">
        <v>1961</v>
      </c>
      <c r="H287" s="9">
        <v>3.0</v>
      </c>
      <c r="I287" s="9" t="s">
        <v>1962</v>
      </c>
      <c r="J287" s="15" t="s">
        <v>72</v>
      </c>
    </row>
    <row r="288" hidden="1">
      <c r="A288" s="7" t="s">
        <v>1963</v>
      </c>
      <c r="B288" s="7" t="s">
        <v>22</v>
      </c>
      <c r="C288" s="97" t="s">
        <v>1935</v>
      </c>
      <c r="D288" s="9">
        <v>2.0</v>
      </c>
      <c r="E288" s="9" t="s">
        <v>183</v>
      </c>
      <c r="F288" s="99" t="s">
        <v>1964</v>
      </c>
      <c r="G288" s="10" t="s">
        <v>1965</v>
      </c>
      <c r="H288" s="9">
        <v>0.0</v>
      </c>
      <c r="I288" s="9" t="s">
        <v>1966</v>
      </c>
      <c r="J288" s="15" t="s">
        <v>72</v>
      </c>
    </row>
    <row r="289" hidden="1">
      <c r="A289" s="16" t="s">
        <v>1967</v>
      </c>
      <c r="B289" s="7" t="s">
        <v>22</v>
      </c>
      <c r="C289" s="97" t="s">
        <v>1935</v>
      </c>
      <c r="D289" s="9">
        <v>2.0</v>
      </c>
      <c r="E289" s="9" t="s">
        <v>126</v>
      </c>
      <c r="F289" s="7" t="s">
        <v>1968</v>
      </c>
      <c r="G289" s="10" t="s">
        <v>1969</v>
      </c>
      <c r="H289" s="9">
        <v>3.0</v>
      </c>
      <c r="I289" s="9" t="s">
        <v>1962</v>
      </c>
      <c r="J289" s="9" t="s">
        <v>28</v>
      </c>
    </row>
    <row r="290" hidden="1">
      <c r="A290" s="16" t="s">
        <v>1970</v>
      </c>
      <c r="B290" s="7" t="s">
        <v>22</v>
      </c>
      <c r="C290" s="98" t="s">
        <v>1935</v>
      </c>
      <c r="D290" s="15">
        <v>2.0</v>
      </c>
      <c r="E290" s="15" t="s">
        <v>991</v>
      </c>
      <c r="F290" s="16" t="s">
        <v>1971</v>
      </c>
      <c r="G290" s="17" t="s">
        <v>1972</v>
      </c>
      <c r="H290" s="15">
        <v>0.0</v>
      </c>
      <c r="I290" s="15" t="s">
        <v>1966</v>
      </c>
      <c r="J290" s="15" t="s">
        <v>72</v>
      </c>
    </row>
    <row r="291" hidden="1">
      <c r="A291" s="16" t="s">
        <v>1973</v>
      </c>
      <c r="B291" s="7" t="s">
        <v>22</v>
      </c>
      <c r="C291" s="98" t="s">
        <v>1935</v>
      </c>
      <c r="D291" s="15">
        <v>2.0</v>
      </c>
      <c r="E291" s="15" t="s">
        <v>126</v>
      </c>
      <c r="F291" s="16" t="s">
        <v>1974</v>
      </c>
      <c r="G291" s="17" t="s">
        <v>664</v>
      </c>
      <c r="H291" s="15">
        <v>4.0</v>
      </c>
      <c r="I291" s="15" t="s">
        <v>1975</v>
      </c>
      <c r="J291" s="9" t="s">
        <v>28</v>
      </c>
    </row>
    <row r="292" hidden="1">
      <c r="A292" s="7" t="s">
        <v>1976</v>
      </c>
      <c r="B292" s="7" t="s">
        <v>22</v>
      </c>
      <c r="C292" s="97" t="s">
        <v>1935</v>
      </c>
      <c r="D292" s="9">
        <v>2.0</v>
      </c>
      <c r="E292" s="9" t="s">
        <v>1959</v>
      </c>
      <c r="F292" s="7" t="s">
        <v>1977</v>
      </c>
      <c r="G292" s="10" t="s">
        <v>664</v>
      </c>
      <c r="H292" s="9">
        <v>1.0</v>
      </c>
      <c r="I292" s="9" t="s">
        <v>1978</v>
      </c>
      <c r="J292" s="9" t="s">
        <v>34</v>
      </c>
    </row>
    <row r="293" hidden="1">
      <c r="A293" s="7" t="s">
        <v>1979</v>
      </c>
      <c r="B293" s="7" t="s">
        <v>22</v>
      </c>
      <c r="C293" s="97" t="s">
        <v>1935</v>
      </c>
      <c r="D293" s="9">
        <v>2.0</v>
      </c>
      <c r="E293" s="9" t="s">
        <v>203</v>
      </c>
      <c r="F293" s="7" t="s">
        <v>1980</v>
      </c>
      <c r="G293" s="10" t="s">
        <v>1969</v>
      </c>
      <c r="H293" s="9">
        <v>5.0</v>
      </c>
      <c r="I293" s="9" t="s">
        <v>1952</v>
      </c>
      <c r="J293" s="9" t="s">
        <v>72</v>
      </c>
    </row>
    <row r="294">
      <c r="A294" s="7" t="s">
        <v>1981</v>
      </c>
      <c r="B294" s="7" t="s">
        <v>22</v>
      </c>
      <c r="C294" s="7" t="s">
        <v>1549</v>
      </c>
      <c r="D294" s="9">
        <v>1.0</v>
      </c>
      <c r="E294" s="9" t="s">
        <v>1445</v>
      </c>
      <c r="F294" s="16" t="s">
        <v>1982</v>
      </c>
      <c r="G294" s="17" t="s">
        <v>1983</v>
      </c>
      <c r="H294" s="9">
        <v>2.0</v>
      </c>
      <c r="I294" s="9" t="s">
        <v>1551</v>
      </c>
      <c r="J294" s="9" t="s">
        <v>28</v>
      </c>
      <c r="K294" s="16" t="s">
        <v>1984</v>
      </c>
      <c r="L294" s="13" t="s">
        <v>1985</v>
      </c>
      <c r="M294" s="13" t="s">
        <v>1986</v>
      </c>
      <c r="N294" s="13" t="s">
        <v>1987</v>
      </c>
      <c r="O294" s="13" t="s">
        <v>1988</v>
      </c>
    </row>
    <row r="295" hidden="1">
      <c r="A295" s="7" t="s">
        <v>1989</v>
      </c>
      <c r="B295" s="7" t="s">
        <v>22</v>
      </c>
      <c r="C295" s="97" t="s">
        <v>1935</v>
      </c>
      <c r="D295" s="9">
        <v>2.0</v>
      </c>
      <c r="E295" s="9" t="s">
        <v>1959</v>
      </c>
      <c r="F295" s="7" t="s">
        <v>1990</v>
      </c>
      <c r="G295" s="10" t="s">
        <v>664</v>
      </c>
      <c r="H295" s="9">
        <v>1.0</v>
      </c>
      <c r="I295" s="9" t="s">
        <v>1938</v>
      </c>
      <c r="J295" s="9" t="s">
        <v>28</v>
      </c>
    </row>
    <row r="296">
      <c r="A296" s="79" t="s">
        <v>1991</v>
      </c>
      <c r="B296" s="7" t="s">
        <v>22</v>
      </c>
      <c r="C296" s="7" t="s">
        <v>1549</v>
      </c>
      <c r="D296" s="9">
        <v>1.0</v>
      </c>
      <c r="E296" s="9" t="s">
        <v>1992</v>
      </c>
      <c r="F296" s="7" t="s">
        <v>1993</v>
      </c>
      <c r="G296" s="17" t="s">
        <v>1994</v>
      </c>
      <c r="H296" s="9">
        <v>5.0</v>
      </c>
      <c r="I296" s="9" t="s">
        <v>1995</v>
      </c>
      <c r="J296" s="9" t="s">
        <v>72</v>
      </c>
      <c r="K296" s="16" t="s">
        <v>1996</v>
      </c>
      <c r="L296" s="13" t="s">
        <v>1997</v>
      </c>
      <c r="M296" s="13" t="s">
        <v>1998</v>
      </c>
      <c r="N296" s="13" t="s">
        <v>1999</v>
      </c>
      <c r="O296" s="13" t="s">
        <v>2000</v>
      </c>
    </row>
    <row r="297" hidden="1">
      <c r="A297" s="7" t="s">
        <v>2001</v>
      </c>
      <c r="B297" s="7" t="s">
        <v>22</v>
      </c>
      <c r="C297" s="7" t="s">
        <v>1549</v>
      </c>
      <c r="D297" s="9">
        <v>0.0</v>
      </c>
      <c r="E297" s="9" t="s">
        <v>662</v>
      </c>
      <c r="F297" s="16" t="s">
        <v>2002</v>
      </c>
      <c r="G297" s="17" t="s">
        <v>2003</v>
      </c>
      <c r="H297" s="9">
        <v>2.0</v>
      </c>
      <c r="I297" s="9" t="s">
        <v>1551</v>
      </c>
      <c r="J297" s="9" t="s">
        <v>28</v>
      </c>
    </row>
    <row r="298">
      <c r="A298" s="24" t="s">
        <v>2004</v>
      </c>
      <c r="B298" s="7" t="s">
        <v>22</v>
      </c>
      <c r="C298" s="7" t="s">
        <v>1549</v>
      </c>
      <c r="D298" s="15">
        <v>1.0</v>
      </c>
      <c r="E298" s="9" t="s">
        <v>1750</v>
      </c>
      <c r="F298" s="7" t="s">
        <v>2005</v>
      </c>
      <c r="G298" s="10" t="s">
        <v>2006</v>
      </c>
      <c r="H298" s="9">
        <v>7.0</v>
      </c>
      <c r="I298" s="9" t="s">
        <v>1776</v>
      </c>
      <c r="J298" s="9" t="s">
        <v>72</v>
      </c>
      <c r="K298" s="16" t="s">
        <v>2007</v>
      </c>
      <c r="L298" s="13" t="s">
        <v>2008</v>
      </c>
      <c r="M298" s="13" t="s">
        <v>2009</v>
      </c>
      <c r="N298" s="13" t="s">
        <v>2010</v>
      </c>
      <c r="O298" s="13" t="s">
        <v>2011</v>
      </c>
      <c r="P298" s="13" t="s">
        <v>2012</v>
      </c>
    </row>
    <row r="299">
      <c r="A299" s="24" t="s">
        <v>2013</v>
      </c>
      <c r="B299" s="7" t="s">
        <v>22</v>
      </c>
      <c r="C299" s="7" t="s">
        <v>1549</v>
      </c>
      <c r="D299" s="9">
        <v>1.0</v>
      </c>
      <c r="E299" s="9" t="s">
        <v>1792</v>
      </c>
      <c r="F299" s="7" t="s">
        <v>2014</v>
      </c>
      <c r="G299" s="10" t="s">
        <v>2015</v>
      </c>
      <c r="H299" s="9">
        <v>4.0</v>
      </c>
      <c r="I299" s="9" t="s">
        <v>1752</v>
      </c>
      <c r="J299" s="9" t="s">
        <v>28</v>
      </c>
      <c r="K299" s="16" t="s">
        <v>2016</v>
      </c>
      <c r="L299" s="13" t="s">
        <v>2017</v>
      </c>
      <c r="M299" s="13" t="s">
        <v>2018</v>
      </c>
      <c r="N299" s="13" t="s">
        <v>2019</v>
      </c>
      <c r="O299" s="13" t="s">
        <v>2020</v>
      </c>
      <c r="P299" s="13" t="s">
        <v>2021</v>
      </c>
      <c r="Q299" s="13" t="s">
        <v>2022</v>
      </c>
      <c r="R299" s="13" t="s">
        <v>2023</v>
      </c>
    </row>
    <row r="300" hidden="1">
      <c r="A300" s="22" t="s">
        <v>2024</v>
      </c>
      <c r="B300" s="7" t="s">
        <v>22</v>
      </c>
      <c r="C300" s="97" t="s">
        <v>1935</v>
      </c>
      <c r="D300" s="9">
        <v>2.0</v>
      </c>
      <c r="E300" s="9" t="s">
        <v>1223</v>
      </c>
      <c r="F300" s="7" t="s">
        <v>2025</v>
      </c>
      <c r="G300" s="10" t="s">
        <v>2026</v>
      </c>
      <c r="H300" s="9">
        <v>3.0</v>
      </c>
      <c r="I300" s="9" t="s">
        <v>1962</v>
      </c>
      <c r="J300" s="9" t="s">
        <v>28</v>
      </c>
    </row>
    <row r="301" hidden="1">
      <c r="A301" s="22" t="s">
        <v>2027</v>
      </c>
      <c r="B301" s="7" t="s">
        <v>22</v>
      </c>
      <c r="C301" s="97" t="s">
        <v>1935</v>
      </c>
      <c r="D301" s="9">
        <v>2.0</v>
      </c>
      <c r="E301" s="9" t="s">
        <v>39</v>
      </c>
      <c r="F301" s="7" t="s">
        <v>2028</v>
      </c>
      <c r="G301" s="10" t="s">
        <v>2029</v>
      </c>
      <c r="H301" s="9">
        <v>6.0</v>
      </c>
      <c r="I301" s="9" t="s">
        <v>2030</v>
      </c>
      <c r="J301" s="9" t="s">
        <v>72</v>
      </c>
    </row>
    <row r="302" hidden="1">
      <c r="A302" s="7" t="s">
        <v>2031</v>
      </c>
      <c r="B302" s="7" t="s">
        <v>22</v>
      </c>
      <c r="C302" s="97" t="s">
        <v>1935</v>
      </c>
      <c r="D302" s="9">
        <v>2.0</v>
      </c>
      <c r="E302" s="9" t="s">
        <v>1959</v>
      </c>
      <c r="F302" s="16" t="s">
        <v>2032</v>
      </c>
      <c r="G302" s="10" t="s">
        <v>2033</v>
      </c>
      <c r="H302" s="9">
        <v>2.0</v>
      </c>
      <c r="I302" s="9" t="s">
        <v>1966</v>
      </c>
      <c r="J302" s="9" t="s">
        <v>72</v>
      </c>
    </row>
    <row r="303" hidden="1">
      <c r="A303" s="16" t="s">
        <v>2034</v>
      </c>
      <c r="B303" s="7" t="s">
        <v>22</v>
      </c>
      <c r="C303" s="97" t="s">
        <v>1935</v>
      </c>
      <c r="D303" s="9">
        <v>2.0</v>
      </c>
      <c r="E303" s="15" t="s">
        <v>1041</v>
      </c>
      <c r="F303" s="16" t="s">
        <v>2035</v>
      </c>
      <c r="G303" s="55" t="s">
        <v>838</v>
      </c>
      <c r="H303" s="15">
        <v>5.0</v>
      </c>
      <c r="I303" s="15" t="s">
        <v>2036</v>
      </c>
      <c r="J303" s="15" t="s">
        <v>28</v>
      </c>
    </row>
    <row r="304">
      <c r="A304" s="7" t="s">
        <v>2037</v>
      </c>
      <c r="B304" s="7" t="s">
        <v>22</v>
      </c>
      <c r="C304" s="7" t="s">
        <v>1549</v>
      </c>
      <c r="D304" s="9">
        <v>1.0</v>
      </c>
      <c r="E304" s="9" t="s">
        <v>299</v>
      </c>
      <c r="F304" s="7" t="s">
        <v>2038</v>
      </c>
      <c r="G304" s="10" t="s">
        <v>2039</v>
      </c>
      <c r="H304" s="9">
        <v>5.0</v>
      </c>
      <c r="I304" s="9" t="s">
        <v>1752</v>
      </c>
      <c r="J304" s="9" t="s">
        <v>28</v>
      </c>
      <c r="K304" s="16" t="s">
        <v>2040</v>
      </c>
      <c r="L304" s="13" t="s">
        <v>2041</v>
      </c>
      <c r="M304" s="13" t="s">
        <v>2042</v>
      </c>
      <c r="N304" s="13" t="s">
        <v>2043</v>
      </c>
    </row>
    <row r="305">
      <c r="A305" s="16" t="s">
        <v>2044</v>
      </c>
      <c r="B305" s="7" t="s">
        <v>22</v>
      </c>
      <c r="C305" s="16" t="s">
        <v>1549</v>
      </c>
      <c r="D305" s="15">
        <v>1.0</v>
      </c>
      <c r="E305" s="15" t="s">
        <v>389</v>
      </c>
      <c r="F305" s="16" t="s">
        <v>2045</v>
      </c>
      <c r="G305" s="34"/>
      <c r="H305" s="15">
        <v>4.0</v>
      </c>
      <c r="I305" s="15" t="s">
        <v>1752</v>
      </c>
      <c r="J305" s="15" t="s">
        <v>72</v>
      </c>
      <c r="K305" s="16" t="s">
        <v>2046</v>
      </c>
      <c r="L305" s="100" t="s">
        <v>2047</v>
      </c>
      <c r="M305" s="13" t="s">
        <v>2048</v>
      </c>
      <c r="N305" s="13" t="s">
        <v>2049</v>
      </c>
    </row>
    <row r="306" hidden="1">
      <c r="A306" s="7" t="s">
        <v>2050</v>
      </c>
      <c r="B306" s="7" t="s">
        <v>22</v>
      </c>
      <c r="C306" s="97" t="s">
        <v>1935</v>
      </c>
      <c r="D306" s="9">
        <v>2.0</v>
      </c>
      <c r="E306" s="9" t="s">
        <v>2051</v>
      </c>
      <c r="F306" s="18" t="s">
        <v>2052</v>
      </c>
      <c r="G306" s="17" t="s">
        <v>2053</v>
      </c>
      <c r="H306" s="9">
        <v>3.0</v>
      </c>
      <c r="I306" s="9" t="s">
        <v>1966</v>
      </c>
      <c r="J306" s="9" t="s">
        <v>72</v>
      </c>
    </row>
    <row r="307">
      <c r="A307" s="7" t="s">
        <v>2054</v>
      </c>
      <c r="B307" s="7" t="s">
        <v>22</v>
      </c>
      <c r="C307" s="7" t="s">
        <v>1549</v>
      </c>
      <c r="D307" s="9">
        <v>1.0</v>
      </c>
      <c r="E307" s="9" t="s">
        <v>2055</v>
      </c>
      <c r="F307" s="7" t="s">
        <v>2056</v>
      </c>
      <c r="G307" s="10" t="s">
        <v>2057</v>
      </c>
      <c r="H307" s="9">
        <v>1.0</v>
      </c>
      <c r="I307" s="9" t="s">
        <v>1551</v>
      </c>
      <c r="J307" s="9" t="s">
        <v>28</v>
      </c>
      <c r="K307" s="16" t="s">
        <v>2058</v>
      </c>
      <c r="L307" s="13" t="s">
        <v>2059</v>
      </c>
      <c r="M307" s="13" t="s">
        <v>2060</v>
      </c>
      <c r="N307" s="13" t="s">
        <v>2061</v>
      </c>
      <c r="O307" s="13" t="s">
        <v>2062</v>
      </c>
      <c r="P307" s="13" t="s">
        <v>2063</v>
      </c>
      <c r="Q307" s="13" t="s">
        <v>2064</v>
      </c>
      <c r="R307" s="13" t="s">
        <v>2065</v>
      </c>
      <c r="S307" s="13" t="s">
        <v>2066</v>
      </c>
      <c r="T307" s="13" t="s">
        <v>2067</v>
      </c>
      <c r="U307" s="13" t="s">
        <v>2068</v>
      </c>
    </row>
    <row r="308">
      <c r="A308" s="22" t="s">
        <v>2069</v>
      </c>
      <c r="B308" s="7" t="s">
        <v>22</v>
      </c>
      <c r="C308" s="7" t="s">
        <v>1549</v>
      </c>
      <c r="D308" s="9">
        <v>1.0</v>
      </c>
      <c r="E308" s="9" t="s">
        <v>299</v>
      </c>
      <c r="F308" s="7" t="s">
        <v>2070</v>
      </c>
      <c r="G308" s="10" t="s">
        <v>2071</v>
      </c>
      <c r="H308" s="9">
        <v>1.0</v>
      </c>
      <c r="I308" s="9" t="s">
        <v>1578</v>
      </c>
      <c r="J308" s="9" t="s">
        <v>28</v>
      </c>
      <c r="K308" s="16" t="s">
        <v>2072</v>
      </c>
      <c r="L308" s="13" t="s">
        <v>2073</v>
      </c>
      <c r="M308" s="13" t="s">
        <v>2074</v>
      </c>
      <c r="N308" s="13" t="s">
        <v>2075</v>
      </c>
    </row>
    <row r="309" hidden="1">
      <c r="A309" s="7" t="s">
        <v>2076</v>
      </c>
      <c r="B309" s="7" t="s">
        <v>22</v>
      </c>
      <c r="C309" s="97" t="s">
        <v>1935</v>
      </c>
      <c r="D309" s="9">
        <v>2.0</v>
      </c>
      <c r="E309" s="9" t="s">
        <v>203</v>
      </c>
      <c r="F309" s="7" t="s">
        <v>2077</v>
      </c>
      <c r="G309" s="10" t="s">
        <v>1969</v>
      </c>
      <c r="H309" s="9">
        <v>2.0</v>
      </c>
      <c r="I309" s="9" t="s">
        <v>1962</v>
      </c>
      <c r="J309" s="9" t="s">
        <v>28</v>
      </c>
    </row>
    <row r="310" hidden="1">
      <c r="A310" s="7" t="s">
        <v>2078</v>
      </c>
      <c r="B310" s="7" t="s">
        <v>22</v>
      </c>
      <c r="C310" s="97" t="s">
        <v>1935</v>
      </c>
      <c r="D310" s="9">
        <v>2.0</v>
      </c>
      <c r="E310" s="9" t="s">
        <v>1890</v>
      </c>
      <c r="F310" s="7" t="s">
        <v>2079</v>
      </c>
      <c r="G310" s="10" t="s">
        <v>2080</v>
      </c>
      <c r="H310" s="9">
        <v>1.0</v>
      </c>
      <c r="I310" s="50" t="s">
        <v>2036</v>
      </c>
      <c r="J310" s="9" t="s">
        <v>72</v>
      </c>
    </row>
    <row r="311">
      <c r="A311" s="79" t="s">
        <v>2081</v>
      </c>
      <c r="B311" s="7" t="s">
        <v>22</v>
      </c>
      <c r="C311" s="7" t="s">
        <v>1549</v>
      </c>
      <c r="D311" s="9">
        <v>1.0</v>
      </c>
      <c r="E311" s="9" t="s">
        <v>1842</v>
      </c>
      <c r="F311" s="7" t="s">
        <v>2082</v>
      </c>
      <c r="G311" s="10" t="s">
        <v>2083</v>
      </c>
      <c r="H311" s="9">
        <v>2.0</v>
      </c>
      <c r="I311" s="9" t="s">
        <v>1574</v>
      </c>
      <c r="J311" s="21" t="s">
        <v>72</v>
      </c>
      <c r="K311" s="16" t="s">
        <v>2084</v>
      </c>
      <c r="L311" s="13" t="s">
        <v>2085</v>
      </c>
      <c r="M311" s="13" t="s">
        <v>2086</v>
      </c>
      <c r="N311" s="13" t="s">
        <v>2087</v>
      </c>
      <c r="O311" s="13" t="s">
        <v>2088</v>
      </c>
    </row>
    <row r="312">
      <c r="A312" s="7" t="s">
        <v>2089</v>
      </c>
      <c r="B312" s="7" t="s">
        <v>22</v>
      </c>
      <c r="C312" s="7" t="s">
        <v>1549</v>
      </c>
      <c r="D312" s="9">
        <v>1.0</v>
      </c>
      <c r="E312" s="9" t="s">
        <v>2090</v>
      </c>
      <c r="F312" s="7" t="s">
        <v>2091</v>
      </c>
      <c r="G312" s="10" t="s">
        <v>2092</v>
      </c>
      <c r="H312" s="9">
        <v>4.0</v>
      </c>
      <c r="I312" s="9" t="s">
        <v>2093</v>
      </c>
      <c r="J312" s="9" t="s">
        <v>34</v>
      </c>
      <c r="K312" s="16" t="s">
        <v>2094</v>
      </c>
      <c r="L312" s="13" t="s">
        <v>2095</v>
      </c>
      <c r="M312" s="13" t="s">
        <v>2096</v>
      </c>
      <c r="N312" s="13" t="s">
        <v>2097</v>
      </c>
      <c r="O312" s="13" t="s">
        <v>2098</v>
      </c>
      <c r="P312" s="13" t="s">
        <v>2099</v>
      </c>
    </row>
    <row r="313">
      <c r="A313" s="20" t="s">
        <v>2100</v>
      </c>
      <c r="B313" s="7" t="s">
        <v>22</v>
      </c>
      <c r="C313" s="86" t="s">
        <v>1549</v>
      </c>
      <c r="D313" s="9">
        <v>1.0</v>
      </c>
      <c r="E313" s="9" t="s">
        <v>1041</v>
      </c>
      <c r="F313" s="7" t="s">
        <v>2101</v>
      </c>
      <c r="G313" s="10" t="s">
        <v>2102</v>
      </c>
      <c r="H313" s="9">
        <v>6.0</v>
      </c>
      <c r="I313" s="9" t="s">
        <v>1574</v>
      </c>
      <c r="J313" s="9" t="s">
        <v>34</v>
      </c>
      <c r="K313" s="16" t="s">
        <v>2103</v>
      </c>
      <c r="L313" s="13" t="s">
        <v>2104</v>
      </c>
      <c r="M313" s="13" t="s">
        <v>2105</v>
      </c>
      <c r="N313" s="13" t="s">
        <v>2106</v>
      </c>
    </row>
    <row r="314">
      <c r="A314" s="7" t="s">
        <v>2107</v>
      </c>
      <c r="B314" s="7" t="s">
        <v>22</v>
      </c>
      <c r="C314" s="7" t="s">
        <v>1549</v>
      </c>
      <c r="D314" s="9">
        <v>1.0</v>
      </c>
      <c r="E314" s="9" t="s">
        <v>197</v>
      </c>
      <c r="F314" s="7" t="s">
        <v>2108</v>
      </c>
      <c r="G314" s="10" t="s">
        <v>2109</v>
      </c>
      <c r="H314" s="9">
        <v>4.0</v>
      </c>
      <c r="I314" s="9" t="s">
        <v>1995</v>
      </c>
      <c r="J314" s="9" t="s">
        <v>34</v>
      </c>
      <c r="K314" s="16" t="s">
        <v>2110</v>
      </c>
      <c r="L314" s="13" t="s">
        <v>2111</v>
      </c>
      <c r="M314" s="13" t="s">
        <v>2112</v>
      </c>
      <c r="N314" s="13" t="s">
        <v>2113</v>
      </c>
      <c r="O314" s="13" t="s">
        <v>2114</v>
      </c>
      <c r="P314" s="13" t="s">
        <v>2115</v>
      </c>
      <c r="Q314" s="13" t="s">
        <v>2116</v>
      </c>
      <c r="R314" s="13" t="s">
        <v>2117</v>
      </c>
      <c r="S314" s="13" t="s">
        <v>2118</v>
      </c>
      <c r="T314" s="13" t="s">
        <v>2119</v>
      </c>
      <c r="U314" s="13" t="s">
        <v>2120</v>
      </c>
    </row>
    <row r="315" hidden="1">
      <c r="A315" s="7" t="s">
        <v>2121</v>
      </c>
      <c r="B315" s="7" t="s">
        <v>22</v>
      </c>
      <c r="C315" s="97" t="s">
        <v>1935</v>
      </c>
      <c r="D315" s="9">
        <v>2.0</v>
      </c>
      <c r="E315" s="9" t="s">
        <v>1959</v>
      </c>
      <c r="F315" s="7" t="s">
        <v>2122</v>
      </c>
      <c r="G315" s="10" t="s">
        <v>2123</v>
      </c>
      <c r="H315" s="9">
        <v>3.0</v>
      </c>
      <c r="I315" s="9" t="s">
        <v>1962</v>
      </c>
      <c r="J315" s="9" t="s">
        <v>72</v>
      </c>
    </row>
    <row r="316">
      <c r="A316" s="16" t="s">
        <v>2124</v>
      </c>
      <c r="B316" s="7" t="s">
        <v>22</v>
      </c>
      <c r="C316" s="16" t="s">
        <v>1549</v>
      </c>
      <c r="D316" s="15">
        <v>1.0</v>
      </c>
      <c r="E316" s="15" t="s">
        <v>1949</v>
      </c>
      <c r="F316" s="16" t="s">
        <v>2125</v>
      </c>
      <c r="G316" s="17" t="s">
        <v>2126</v>
      </c>
      <c r="H316" s="15">
        <v>5.0</v>
      </c>
      <c r="I316" s="15" t="s">
        <v>1752</v>
      </c>
      <c r="J316" s="15" t="s">
        <v>34</v>
      </c>
      <c r="K316" s="16" t="s">
        <v>2127</v>
      </c>
      <c r="L316" s="13" t="s">
        <v>2128</v>
      </c>
      <c r="M316" s="13" t="s">
        <v>2129</v>
      </c>
      <c r="N316" s="13" t="s">
        <v>2130</v>
      </c>
      <c r="O316" s="13" t="s">
        <v>2131</v>
      </c>
      <c r="P316" s="13" t="s">
        <v>2132</v>
      </c>
      <c r="Q316" s="13" t="s">
        <v>2133</v>
      </c>
    </row>
    <row r="317" hidden="1">
      <c r="A317" s="31" t="s">
        <v>2134</v>
      </c>
      <c r="B317" s="7" t="s">
        <v>22</v>
      </c>
      <c r="C317" s="98" t="s">
        <v>1935</v>
      </c>
      <c r="D317" s="15">
        <v>2.0</v>
      </c>
      <c r="E317" s="15" t="s">
        <v>1658</v>
      </c>
      <c r="F317" s="16" t="s">
        <v>277</v>
      </c>
      <c r="G317" s="17" t="s">
        <v>2135</v>
      </c>
      <c r="H317" s="15">
        <v>2.0</v>
      </c>
      <c r="I317" s="15" t="s">
        <v>1966</v>
      </c>
      <c r="J317" s="15" t="s">
        <v>28</v>
      </c>
    </row>
    <row r="318" hidden="1">
      <c r="A318" s="22" t="s">
        <v>2136</v>
      </c>
      <c r="B318" s="7" t="s">
        <v>22</v>
      </c>
      <c r="C318" s="97" t="s">
        <v>1935</v>
      </c>
      <c r="D318" s="15">
        <v>2.0</v>
      </c>
      <c r="E318" s="9" t="s">
        <v>126</v>
      </c>
      <c r="F318" s="86" t="s">
        <v>2137</v>
      </c>
      <c r="G318" s="10" t="s">
        <v>2138</v>
      </c>
      <c r="H318" s="9">
        <v>2.0</v>
      </c>
      <c r="I318" s="9" t="s">
        <v>1966</v>
      </c>
      <c r="J318" s="9" t="s">
        <v>28</v>
      </c>
    </row>
    <row r="319" hidden="1">
      <c r="A319" s="16" t="s">
        <v>2139</v>
      </c>
      <c r="B319" s="7" t="s">
        <v>22</v>
      </c>
      <c r="C319" s="98" t="s">
        <v>1935</v>
      </c>
      <c r="D319" s="15">
        <v>2.0</v>
      </c>
      <c r="E319" s="15" t="s">
        <v>2140</v>
      </c>
      <c r="F319" s="16" t="s">
        <v>2141</v>
      </c>
      <c r="G319" s="17" t="s">
        <v>2142</v>
      </c>
      <c r="H319" s="15">
        <v>3.0</v>
      </c>
      <c r="I319" s="15" t="s">
        <v>2143</v>
      </c>
      <c r="J319" s="15" t="s">
        <v>28</v>
      </c>
    </row>
    <row r="320" hidden="1">
      <c r="A320" s="16" t="s">
        <v>2144</v>
      </c>
      <c r="B320" s="7" t="s">
        <v>22</v>
      </c>
      <c r="C320" s="97" t="s">
        <v>1935</v>
      </c>
      <c r="D320" s="9">
        <v>2.0</v>
      </c>
      <c r="E320" s="9" t="s">
        <v>1949</v>
      </c>
      <c r="F320" s="7" t="s">
        <v>2145</v>
      </c>
      <c r="G320" s="10" t="s">
        <v>2146</v>
      </c>
      <c r="H320" s="9">
        <v>2.0</v>
      </c>
      <c r="I320" s="9" t="s">
        <v>2036</v>
      </c>
      <c r="J320" s="9" t="s">
        <v>72</v>
      </c>
    </row>
    <row r="321" hidden="1">
      <c r="A321" s="16" t="s">
        <v>2147</v>
      </c>
      <c r="B321" s="7" t="s">
        <v>22</v>
      </c>
      <c r="C321" s="98" t="s">
        <v>1935</v>
      </c>
      <c r="D321" s="15">
        <v>2.0</v>
      </c>
      <c r="E321" s="15" t="s">
        <v>90</v>
      </c>
      <c r="F321" s="16" t="s">
        <v>2148</v>
      </c>
      <c r="G321" s="17" t="s">
        <v>2149</v>
      </c>
      <c r="H321" s="15">
        <v>0.0</v>
      </c>
      <c r="I321" s="15" t="s">
        <v>2036</v>
      </c>
      <c r="J321" s="15" t="s">
        <v>72</v>
      </c>
    </row>
    <row r="322">
      <c r="A322" s="31" t="s">
        <v>2150</v>
      </c>
      <c r="B322" s="7" t="s">
        <v>22</v>
      </c>
      <c r="C322" s="16" t="s">
        <v>1549</v>
      </c>
      <c r="D322" s="15">
        <v>1.0</v>
      </c>
      <c r="E322" s="15" t="s">
        <v>389</v>
      </c>
      <c r="F322" s="16" t="s">
        <v>2151</v>
      </c>
      <c r="G322" s="34"/>
      <c r="H322" s="15">
        <v>6.0</v>
      </c>
      <c r="I322" s="15" t="s">
        <v>2152</v>
      </c>
      <c r="J322" s="9" t="s">
        <v>34</v>
      </c>
      <c r="K322" s="16" t="s">
        <v>2153</v>
      </c>
      <c r="L322" s="13" t="s">
        <v>2154</v>
      </c>
      <c r="M322" s="13" t="s">
        <v>2155</v>
      </c>
      <c r="N322" s="13" t="s">
        <v>2156</v>
      </c>
      <c r="O322" s="13" t="s">
        <v>2157</v>
      </c>
    </row>
    <row r="323">
      <c r="A323" s="16" t="s">
        <v>2158</v>
      </c>
      <c r="B323" s="7" t="s">
        <v>22</v>
      </c>
      <c r="C323" s="16" t="s">
        <v>1549</v>
      </c>
      <c r="D323" s="15">
        <v>1.0</v>
      </c>
      <c r="E323" s="15" t="s">
        <v>299</v>
      </c>
      <c r="G323" s="34"/>
      <c r="H323" s="15">
        <v>2.0</v>
      </c>
      <c r="I323" s="15" t="s">
        <v>1832</v>
      </c>
      <c r="J323" s="15" t="s">
        <v>28</v>
      </c>
      <c r="K323" s="11" t="s">
        <v>2159</v>
      </c>
      <c r="L323" s="13" t="s">
        <v>2160</v>
      </c>
      <c r="M323" s="13" t="s">
        <v>2161</v>
      </c>
    </row>
    <row r="324">
      <c r="A324" s="7" t="s">
        <v>2162</v>
      </c>
      <c r="B324" s="7" t="s">
        <v>22</v>
      </c>
      <c r="C324" s="7" t="s">
        <v>1549</v>
      </c>
      <c r="D324" s="9">
        <v>1.0</v>
      </c>
      <c r="E324" s="9" t="s">
        <v>2055</v>
      </c>
      <c r="G324" s="10" t="s">
        <v>2163</v>
      </c>
      <c r="H324" s="9">
        <v>4.0</v>
      </c>
      <c r="I324" s="9" t="s">
        <v>1782</v>
      </c>
      <c r="J324" s="9" t="s">
        <v>28</v>
      </c>
      <c r="K324" s="16" t="s">
        <v>2164</v>
      </c>
      <c r="L324" s="13" t="s">
        <v>2165</v>
      </c>
      <c r="M324" s="13" t="s">
        <v>2166</v>
      </c>
      <c r="N324" s="13" t="s">
        <v>2167</v>
      </c>
      <c r="O324" s="13" t="s">
        <v>2168</v>
      </c>
    </row>
    <row r="325" hidden="1">
      <c r="A325" s="16" t="s">
        <v>2169</v>
      </c>
      <c r="B325" s="7" t="s">
        <v>22</v>
      </c>
      <c r="C325" s="98" t="s">
        <v>1935</v>
      </c>
      <c r="D325" s="15">
        <v>2.0</v>
      </c>
      <c r="E325" s="15" t="s">
        <v>2170</v>
      </c>
      <c r="F325" s="16" t="s">
        <v>2171</v>
      </c>
      <c r="G325" s="17" t="s">
        <v>2172</v>
      </c>
      <c r="H325" s="15">
        <v>4.0</v>
      </c>
      <c r="I325" s="15" t="s">
        <v>2036</v>
      </c>
      <c r="J325" s="15" t="s">
        <v>72</v>
      </c>
    </row>
    <row r="326">
      <c r="A326" s="16" t="s">
        <v>2173</v>
      </c>
      <c r="B326" s="7" t="s">
        <v>22</v>
      </c>
      <c r="C326" s="16" t="s">
        <v>1549</v>
      </c>
      <c r="D326" s="15">
        <v>1.0</v>
      </c>
      <c r="E326" s="15" t="s">
        <v>919</v>
      </c>
      <c r="G326" s="34"/>
      <c r="H326" s="15">
        <v>5.0</v>
      </c>
      <c r="I326" s="15" t="s">
        <v>2174</v>
      </c>
      <c r="J326" s="15" t="s">
        <v>28</v>
      </c>
      <c r="K326" s="16" t="s">
        <v>2175</v>
      </c>
      <c r="L326" s="13" t="s">
        <v>2176</v>
      </c>
      <c r="M326" s="13" t="s">
        <v>2177</v>
      </c>
      <c r="N326" s="13" t="s">
        <v>2178</v>
      </c>
      <c r="O326" s="13" t="s">
        <v>2179</v>
      </c>
      <c r="P326" s="13" t="s">
        <v>2180</v>
      </c>
      <c r="Q326" s="13" t="s">
        <v>2181</v>
      </c>
    </row>
    <row r="327" hidden="1">
      <c r="A327" s="16" t="s">
        <v>2182</v>
      </c>
      <c r="B327" s="7" t="s">
        <v>22</v>
      </c>
      <c r="C327" s="98" t="s">
        <v>1935</v>
      </c>
      <c r="D327" s="15">
        <v>2.0</v>
      </c>
      <c r="E327" s="15" t="s">
        <v>1223</v>
      </c>
      <c r="F327" s="16" t="s">
        <v>2183</v>
      </c>
      <c r="G327" s="17" t="s">
        <v>2184</v>
      </c>
      <c r="H327" s="15">
        <v>2.0</v>
      </c>
      <c r="I327" s="15" t="s">
        <v>1962</v>
      </c>
      <c r="J327" s="15" t="s">
        <v>28</v>
      </c>
    </row>
    <row r="328">
      <c r="A328" s="31" t="s">
        <v>2185</v>
      </c>
      <c r="B328" s="7" t="s">
        <v>22</v>
      </c>
      <c r="C328" s="16" t="s">
        <v>1549</v>
      </c>
      <c r="D328" s="15">
        <v>1.0</v>
      </c>
      <c r="E328" s="15" t="s">
        <v>1445</v>
      </c>
      <c r="F328" s="101" t="s">
        <v>2186</v>
      </c>
      <c r="G328" s="17" t="s">
        <v>2187</v>
      </c>
      <c r="H328" s="15">
        <v>1.0</v>
      </c>
      <c r="I328" s="15" t="s">
        <v>1832</v>
      </c>
      <c r="J328" s="15" t="s">
        <v>34</v>
      </c>
      <c r="K328" s="16" t="s">
        <v>2188</v>
      </c>
      <c r="L328" s="13" t="s">
        <v>2189</v>
      </c>
      <c r="M328" s="13" t="s">
        <v>2190</v>
      </c>
      <c r="N328" s="13" t="s">
        <v>2191</v>
      </c>
      <c r="O328" s="13" t="s">
        <v>2192</v>
      </c>
      <c r="P328" s="13" t="s">
        <v>2193</v>
      </c>
      <c r="Q328" s="13" t="s">
        <v>2194</v>
      </c>
    </row>
    <row r="329">
      <c r="A329" s="31" t="s">
        <v>2195</v>
      </c>
      <c r="B329" s="7" t="s">
        <v>22</v>
      </c>
      <c r="C329" s="16" t="s">
        <v>1549</v>
      </c>
      <c r="D329" s="15">
        <v>1.0</v>
      </c>
      <c r="E329" s="15" t="s">
        <v>1845</v>
      </c>
      <c r="F329" s="16" t="s">
        <v>2196</v>
      </c>
      <c r="G329" s="34"/>
      <c r="H329" s="15">
        <v>6.0</v>
      </c>
      <c r="I329" s="16" t="s">
        <v>1583</v>
      </c>
      <c r="J329" s="9" t="s">
        <v>72</v>
      </c>
      <c r="K329" s="16" t="s">
        <v>2197</v>
      </c>
      <c r="L329" s="13" t="s">
        <v>2198</v>
      </c>
      <c r="M329" s="13" t="s">
        <v>2199</v>
      </c>
      <c r="N329" s="13" t="s">
        <v>2200</v>
      </c>
      <c r="O329" s="13" t="s">
        <v>2201</v>
      </c>
      <c r="P329" s="13" t="s">
        <v>2202</v>
      </c>
    </row>
    <row r="330">
      <c r="A330" s="31" t="s">
        <v>2203</v>
      </c>
      <c r="B330" s="7" t="s">
        <v>22</v>
      </c>
      <c r="C330" s="16" t="s">
        <v>1549</v>
      </c>
      <c r="D330" s="15">
        <v>1.0</v>
      </c>
      <c r="E330" s="15" t="s">
        <v>252</v>
      </c>
      <c r="F330" s="16" t="s">
        <v>2204</v>
      </c>
      <c r="G330" s="34"/>
      <c r="H330" s="15">
        <v>4.0</v>
      </c>
      <c r="I330" s="15" t="s">
        <v>1995</v>
      </c>
      <c r="J330" s="9" t="s">
        <v>34</v>
      </c>
      <c r="K330" s="16" t="s">
        <v>2205</v>
      </c>
      <c r="L330" s="13" t="s">
        <v>2206</v>
      </c>
      <c r="M330" s="13" t="s">
        <v>2207</v>
      </c>
      <c r="N330" s="13" t="s">
        <v>2208</v>
      </c>
      <c r="O330" s="13" t="s">
        <v>2209</v>
      </c>
      <c r="P330" s="13" t="s">
        <v>2210</v>
      </c>
    </row>
    <row r="331" hidden="1">
      <c r="A331" s="16" t="s">
        <v>2211</v>
      </c>
      <c r="B331" s="7" t="s">
        <v>22</v>
      </c>
      <c r="C331" s="98" t="s">
        <v>1935</v>
      </c>
      <c r="D331" s="15">
        <v>2.0</v>
      </c>
      <c r="E331" s="15" t="s">
        <v>652</v>
      </c>
      <c r="F331" s="16" t="s">
        <v>2212</v>
      </c>
      <c r="G331" s="17" t="s">
        <v>2213</v>
      </c>
      <c r="H331" s="15">
        <v>0.0</v>
      </c>
      <c r="I331" s="15" t="s">
        <v>1952</v>
      </c>
      <c r="J331" s="15" t="s">
        <v>72</v>
      </c>
    </row>
    <row r="332" hidden="1">
      <c r="A332" s="7" t="s">
        <v>2214</v>
      </c>
      <c r="B332" s="7" t="s">
        <v>22</v>
      </c>
      <c r="C332" s="97" t="s">
        <v>1935</v>
      </c>
      <c r="D332" s="9">
        <v>2.0</v>
      </c>
      <c r="E332" s="9" t="s">
        <v>344</v>
      </c>
      <c r="F332" s="7" t="s">
        <v>2215</v>
      </c>
      <c r="G332" s="10" t="s">
        <v>2216</v>
      </c>
      <c r="H332" s="9">
        <v>2.0</v>
      </c>
      <c r="I332" s="9" t="s">
        <v>2036</v>
      </c>
      <c r="J332" s="9" t="s">
        <v>72</v>
      </c>
    </row>
    <row r="333" hidden="1">
      <c r="A333" s="16" t="s">
        <v>2217</v>
      </c>
      <c r="B333" s="7" t="s">
        <v>22</v>
      </c>
      <c r="C333" s="98" t="s">
        <v>1935</v>
      </c>
      <c r="D333" s="15">
        <v>2.0</v>
      </c>
      <c r="E333" s="15" t="s">
        <v>2218</v>
      </c>
      <c r="F333" s="16" t="s">
        <v>2219</v>
      </c>
      <c r="G333" s="17" t="s">
        <v>2220</v>
      </c>
      <c r="H333" s="15">
        <v>3.0</v>
      </c>
      <c r="I333" s="15" t="s">
        <v>1962</v>
      </c>
      <c r="J333" s="15" t="s">
        <v>28</v>
      </c>
    </row>
    <row r="334" hidden="1">
      <c r="A334" s="7" t="s">
        <v>2221</v>
      </c>
      <c r="B334" s="7" t="s">
        <v>22</v>
      </c>
      <c r="C334" s="97" t="s">
        <v>1935</v>
      </c>
      <c r="D334" s="9">
        <v>2.0</v>
      </c>
      <c r="E334" s="9" t="s">
        <v>2222</v>
      </c>
      <c r="F334" s="7" t="s">
        <v>2223</v>
      </c>
      <c r="G334" s="10" t="s">
        <v>2224</v>
      </c>
      <c r="H334" s="9">
        <v>4.0</v>
      </c>
      <c r="I334" s="9" t="s">
        <v>1952</v>
      </c>
      <c r="J334" s="9" t="s">
        <v>72</v>
      </c>
    </row>
    <row r="335">
      <c r="A335" s="16" t="s">
        <v>2225</v>
      </c>
      <c r="B335" s="7" t="s">
        <v>22</v>
      </c>
      <c r="C335" s="91" t="s">
        <v>1549</v>
      </c>
      <c r="D335" s="15">
        <v>1.0</v>
      </c>
      <c r="E335" s="15" t="s">
        <v>2226</v>
      </c>
      <c r="F335" s="16" t="s">
        <v>2227</v>
      </c>
      <c r="G335" s="34"/>
      <c r="H335" s="15">
        <v>0.0</v>
      </c>
      <c r="I335" s="15" t="s">
        <v>1583</v>
      </c>
      <c r="J335" s="15" t="s">
        <v>34</v>
      </c>
      <c r="K335" s="16" t="s">
        <v>2228</v>
      </c>
      <c r="L335" s="13" t="s">
        <v>2229</v>
      </c>
      <c r="M335" s="13" t="s">
        <v>2230</v>
      </c>
      <c r="N335" s="13" t="s">
        <v>2231</v>
      </c>
    </row>
    <row r="336" hidden="1">
      <c r="A336" s="16" t="s">
        <v>2232</v>
      </c>
      <c r="B336" s="7" t="s">
        <v>22</v>
      </c>
      <c r="C336" s="97" t="s">
        <v>1935</v>
      </c>
      <c r="D336" s="9">
        <v>2.0</v>
      </c>
      <c r="E336" s="15" t="s">
        <v>2233</v>
      </c>
      <c r="F336" s="16" t="s">
        <v>2234</v>
      </c>
      <c r="G336" s="17" t="s">
        <v>2235</v>
      </c>
      <c r="H336" s="15">
        <v>2.0</v>
      </c>
      <c r="I336" s="15" t="s">
        <v>1966</v>
      </c>
      <c r="J336" s="15" t="s">
        <v>28</v>
      </c>
    </row>
    <row r="337" hidden="1">
      <c r="A337" s="16" t="s">
        <v>2236</v>
      </c>
      <c r="B337" s="7" t="s">
        <v>22</v>
      </c>
      <c r="C337" s="98" t="s">
        <v>1935</v>
      </c>
      <c r="D337" s="15">
        <v>2.0</v>
      </c>
      <c r="E337" s="15" t="s">
        <v>183</v>
      </c>
      <c r="F337" s="16" t="s">
        <v>2237</v>
      </c>
      <c r="G337" s="17" t="s">
        <v>2238</v>
      </c>
      <c r="H337" s="15">
        <v>0.0</v>
      </c>
      <c r="I337" s="15" t="s">
        <v>2036</v>
      </c>
      <c r="J337" s="15" t="s">
        <v>72</v>
      </c>
    </row>
    <row r="338" hidden="1">
      <c r="A338" s="51" t="s">
        <v>2239</v>
      </c>
      <c r="B338" s="7" t="s">
        <v>22</v>
      </c>
      <c r="C338" s="51"/>
      <c r="D338" s="53">
        <v>2.0</v>
      </c>
      <c r="E338" s="53" t="s">
        <v>2240</v>
      </c>
      <c r="F338" s="54" t="s">
        <v>2241</v>
      </c>
      <c r="G338" s="55" t="s">
        <v>2242</v>
      </c>
      <c r="H338" s="56">
        <v>3.0</v>
      </c>
      <c r="I338" s="53" t="s">
        <v>2243</v>
      </c>
      <c r="J338" s="53" t="s">
        <v>28</v>
      </c>
    </row>
    <row r="339">
      <c r="A339" s="16" t="s">
        <v>2244</v>
      </c>
      <c r="B339" s="7" t="s">
        <v>22</v>
      </c>
      <c r="C339" s="16" t="s">
        <v>1549</v>
      </c>
      <c r="D339" s="15">
        <v>1.0</v>
      </c>
      <c r="E339" s="15" t="s">
        <v>42</v>
      </c>
      <c r="G339" s="34"/>
      <c r="H339" s="15">
        <v>6.0</v>
      </c>
      <c r="I339" s="15" t="s">
        <v>2245</v>
      </c>
      <c r="J339" s="15" t="s">
        <v>28</v>
      </c>
      <c r="K339" s="16" t="s">
        <v>2246</v>
      </c>
      <c r="L339" s="13" t="s">
        <v>2247</v>
      </c>
      <c r="M339" s="13" t="s">
        <v>2248</v>
      </c>
      <c r="N339" s="13" t="s">
        <v>2249</v>
      </c>
      <c r="O339" s="13" t="s">
        <v>2250</v>
      </c>
      <c r="P339" s="13" t="s">
        <v>2251</v>
      </c>
      <c r="Q339" s="13" t="s">
        <v>2252</v>
      </c>
      <c r="R339" s="13" t="s">
        <v>2253</v>
      </c>
      <c r="S339" s="13" t="s">
        <v>2254</v>
      </c>
    </row>
    <row r="340" hidden="1">
      <c r="A340" s="16" t="s">
        <v>2255</v>
      </c>
      <c r="B340" s="7" t="s">
        <v>22</v>
      </c>
      <c r="D340" s="15">
        <v>2.0</v>
      </c>
      <c r="E340" s="15" t="s">
        <v>1658</v>
      </c>
      <c r="F340" s="16" t="s">
        <v>277</v>
      </c>
      <c r="G340" s="17" t="s">
        <v>2256</v>
      </c>
      <c r="H340" s="15">
        <v>2.0</v>
      </c>
      <c r="I340" s="15" t="s">
        <v>2257</v>
      </c>
      <c r="J340" s="15" t="s">
        <v>28</v>
      </c>
    </row>
    <row r="341" hidden="1">
      <c r="A341" s="51" t="s">
        <v>2258</v>
      </c>
      <c r="B341" s="7" t="s">
        <v>22</v>
      </c>
      <c r="C341" s="51"/>
      <c r="D341" s="53">
        <v>2.0</v>
      </c>
      <c r="E341" s="53" t="s">
        <v>2170</v>
      </c>
      <c r="F341" s="54" t="s">
        <v>2259</v>
      </c>
      <c r="G341" s="55" t="s">
        <v>2260</v>
      </c>
      <c r="H341" s="53">
        <v>9.0</v>
      </c>
      <c r="I341" s="53" t="s">
        <v>2261</v>
      </c>
      <c r="J341" s="56" t="s">
        <v>72</v>
      </c>
    </row>
    <row r="342" hidden="1">
      <c r="A342" s="51" t="s">
        <v>2262</v>
      </c>
      <c r="B342" s="7" t="s">
        <v>22</v>
      </c>
      <c r="C342" s="51"/>
      <c r="D342" s="53">
        <v>2.0</v>
      </c>
      <c r="E342" s="53" t="s">
        <v>2263</v>
      </c>
      <c r="F342" s="102" t="s">
        <v>2264</v>
      </c>
      <c r="G342" s="55" t="s">
        <v>2265</v>
      </c>
      <c r="H342" s="53">
        <v>6.0</v>
      </c>
      <c r="I342" s="53" t="s">
        <v>2266</v>
      </c>
      <c r="J342" s="56" t="s">
        <v>28</v>
      </c>
    </row>
    <row r="343" hidden="1">
      <c r="A343" s="16" t="s">
        <v>2267</v>
      </c>
      <c r="B343" s="7" t="s">
        <v>22</v>
      </c>
      <c r="C343" s="16"/>
      <c r="D343" s="15">
        <v>2.0</v>
      </c>
      <c r="E343" s="15"/>
      <c r="F343" s="16" t="s">
        <v>2268</v>
      </c>
      <c r="G343" s="17" t="s">
        <v>2269</v>
      </c>
      <c r="H343" s="15">
        <v>2.0</v>
      </c>
      <c r="I343" s="15" t="s">
        <v>2257</v>
      </c>
      <c r="J343" s="15" t="s">
        <v>72</v>
      </c>
    </row>
    <row r="344">
      <c r="A344" s="7" t="s">
        <v>2270</v>
      </c>
      <c r="B344" s="7" t="s">
        <v>22</v>
      </c>
      <c r="C344" s="7" t="s">
        <v>1549</v>
      </c>
      <c r="D344" s="9">
        <v>1.0</v>
      </c>
      <c r="E344" s="9" t="s">
        <v>389</v>
      </c>
      <c r="G344" s="63" t="s">
        <v>2271</v>
      </c>
      <c r="H344" s="9">
        <v>8.0</v>
      </c>
      <c r="I344" s="9" t="s">
        <v>1776</v>
      </c>
      <c r="J344" s="9" t="s">
        <v>28</v>
      </c>
      <c r="K344" s="16" t="s">
        <v>2272</v>
      </c>
      <c r="L344" s="13" t="s">
        <v>2273</v>
      </c>
      <c r="M344" s="13" t="s">
        <v>2274</v>
      </c>
      <c r="N344" s="13" t="s">
        <v>2275</v>
      </c>
      <c r="O344" s="13" t="s">
        <v>2276</v>
      </c>
      <c r="P344" s="13" t="s">
        <v>2277</v>
      </c>
      <c r="Q344" s="13" t="s">
        <v>2278</v>
      </c>
      <c r="R344" s="13" t="s">
        <v>2279</v>
      </c>
      <c r="S344" s="13" t="s">
        <v>2280</v>
      </c>
    </row>
    <row r="345" hidden="1">
      <c r="A345" s="16" t="s">
        <v>2281</v>
      </c>
      <c r="B345" s="7" t="s">
        <v>22</v>
      </c>
      <c r="C345" s="16"/>
      <c r="D345" s="15">
        <v>2.0</v>
      </c>
      <c r="E345" s="15" t="s">
        <v>2282</v>
      </c>
      <c r="F345" s="16" t="s">
        <v>2283</v>
      </c>
      <c r="G345" s="17" t="s">
        <v>838</v>
      </c>
      <c r="H345" s="15">
        <v>0.0</v>
      </c>
      <c r="I345" s="15" t="s">
        <v>2257</v>
      </c>
      <c r="J345" s="15" t="s">
        <v>72</v>
      </c>
    </row>
    <row r="346">
      <c r="A346" s="16" t="s">
        <v>2284</v>
      </c>
      <c r="B346" s="7" t="s">
        <v>22</v>
      </c>
      <c r="C346" s="16" t="s">
        <v>1549</v>
      </c>
      <c r="D346" s="15">
        <v>1.0</v>
      </c>
      <c r="E346" s="15" t="s">
        <v>1010</v>
      </c>
      <c r="G346" s="34"/>
      <c r="H346" s="15">
        <v>3.0</v>
      </c>
      <c r="I346" s="15" t="s">
        <v>1551</v>
      </c>
      <c r="J346" s="15" t="s">
        <v>28</v>
      </c>
      <c r="K346" s="16" t="s">
        <v>2285</v>
      </c>
      <c r="L346" s="13" t="s">
        <v>2286</v>
      </c>
      <c r="M346" s="13" t="s">
        <v>2287</v>
      </c>
      <c r="N346" s="13" t="s">
        <v>2288</v>
      </c>
    </row>
    <row r="347">
      <c r="A347" s="16" t="s">
        <v>2289</v>
      </c>
      <c r="B347" s="7" t="s">
        <v>22</v>
      </c>
      <c r="C347" s="16" t="s">
        <v>1884</v>
      </c>
      <c r="D347" s="15">
        <v>1.0</v>
      </c>
      <c r="E347" s="15" t="s">
        <v>1890</v>
      </c>
      <c r="F347" s="16" t="s">
        <v>2290</v>
      </c>
      <c r="G347" s="38" t="s">
        <v>2291</v>
      </c>
      <c r="H347" s="15">
        <v>0.0</v>
      </c>
      <c r="I347" s="15" t="s">
        <v>2292</v>
      </c>
      <c r="J347" s="15" t="s">
        <v>72</v>
      </c>
      <c r="K347" s="16" t="s">
        <v>2293</v>
      </c>
      <c r="L347" s="13" t="s">
        <v>2294</v>
      </c>
      <c r="M347" s="13" t="s">
        <v>2295</v>
      </c>
      <c r="N347" s="13" t="s">
        <v>2296</v>
      </c>
      <c r="O347" s="13" t="s">
        <v>2297</v>
      </c>
      <c r="P347" s="13" t="s">
        <v>2298</v>
      </c>
    </row>
    <row r="348">
      <c r="A348" s="7" t="s">
        <v>2299</v>
      </c>
      <c r="B348" s="7" t="s">
        <v>22</v>
      </c>
      <c r="C348" s="7" t="s">
        <v>1884</v>
      </c>
      <c r="D348" s="9">
        <v>1.0</v>
      </c>
      <c r="E348" s="9" t="s">
        <v>991</v>
      </c>
      <c r="F348" s="7" t="s">
        <v>2300</v>
      </c>
      <c r="G348" s="10" t="s">
        <v>2301</v>
      </c>
      <c r="H348" s="9">
        <v>1.0</v>
      </c>
      <c r="I348" s="9" t="s">
        <v>2302</v>
      </c>
      <c r="J348" s="9" t="s">
        <v>34</v>
      </c>
      <c r="K348" s="16" t="s">
        <v>2303</v>
      </c>
      <c r="L348" s="13" t="s">
        <v>2304</v>
      </c>
      <c r="M348" s="13" t="s">
        <v>2305</v>
      </c>
      <c r="N348" s="13" t="s">
        <v>2306</v>
      </c>
      <c r="O348" s="13" t="s">
        <v>2307</v>
      </c>
      <c r="P348" s="13" t="s">
        <v>2308</v>
      </c>
      <c r="Q348" s="13" t="s">
        <v>2309</v>
      </c>
      <c r="R348" s="13" t="s">
        <v>2310</v>
      </c>
    </row>
    <row r="349">
      <c r="A349" s="7" t="s">
        <v>2311</v>
      </c>
      <c r="B349" s="7" t="s">
        <v>22</v>
      </c>
      <c r="C349" s="7" t="s">
        <v>1884</v>
      </c>
      <c r="D349" s="9">
        <v>1.0</v>
      </c>
      <c r="E349" s="9" t="s">
        <v>2312</v>
      </c>
      <c r="F349" s="7"/>
      <c r="G349" s="10" t="s">
        <v>2313</v>
      </c>
      <c r="H349" s="9">
        <v>2.0</v>
      </c>
      <c r="I349" s="9" t="s">
        <v>2314</v>
      </c>
      <c r="J349" s="9" t="s">
        <v>28</v>
      </c>
      <c r="K349" s="16" t="s">
        <v>2315</v>
      </c>
      <c r="L349" s="13" t="s">
        <v>2316</v>
      </c>
      <c r="M349" s="13" t="s">
        <v>2317</v>
      </c>
      <c r="N349" s="13" t="s">
        <v>2318</v>
      </c>
      <c r="O349" s="13" t="s">
        <v>2319</v>
      </c>
      <c r="P349" s="13" t="s">
        <v>2320</v>
      </c>
      <c r="Q349" s="13" t="s">
        <v>2321</v>
      </c>
      <c r="R349" s="13" t="s">
        <v>2322</v>
      </c>
    </row>
    <row r="350">
      <c r="A350" s="16" t="s">
        <v>2323</v>
      </c>
      <c r="B350" s="7" t="s">
        <v>22</v>
      </c>
      <c r="C350" s="16" t="s">
        <v>1935</v>
      </c>
      <c r="D350" s="15">
        <v>1.0</v>
      </c>
      <c r="E350" s="15" t="s">
        <v>2324</v>
      </c>
      <c r="F350" s="16" t="s">
        <v>2325</v>
      </c>
      <c r="G350" s="17" t="s">
        <v>2326</v>
      </c>
      <c r="H350" s="15">
        <v>2.0</v>
      </c>
      <c r="I350" s="15" t="s">
        <v>2327</v>
      </c>
      <c r="J350" s="15" t="s">
        <v>72</v>
      </c>
      <c r="K350" s="11" t="s">
        <v>2328</v>
      </c>
      <c r="L350" s="13" t="s">
        <v>2329</v>
      </c>
    </row>
    <row r="351">
      <c r="A351" s="7" t="s">
        <v>2330</v>
      </c>
      <c r="B351" s="7" t="s">
        <v>22</v>
      </c>
      <c r="C351" s="7" t="s">
        <v>1935</v>
      </c>
      <c r="D351" s="9">
        <v>1.0</v>
      </c>
      <c r="E351" s="9" t="s">
        <v>2222</v>
      </c>
      <c r="F351" s="7" t="s">
        <v>2331</v>
      </c>
      <c r="G351" s="10" t="s">
        <v>2332</v>
      </c>
      <c r="H351" s="9">
        <v>4.0</v>
      </c>
      <c r="I351" s="50" t="s">
        <v>2036</v>
      </c>
      <c r="J351" s="9" t="s">
        <v>72</v>
      </c>
      <c r="K351" s="35" t="s">
        <v>2333</v>
      </c>
      <c r="L351" s="13" t="s">
        <v>2334</v>
      </c>
      <c r="M351" s="13" t="s">
        <v>2335</v>
      </c>
      <c r="N351" s="13" t="s">
        <v>2336</v>
      </c>
      <c r="O351" s="13" t="s">
        <v>2337</v>
      </c>
    </row>
    <row r="352">
      <c r="A352" s="22" t="s">
        <v>2338</v>
      </c>
      <c r="B352" s="7" t="s">
        <v>22</v>
      </c>
      <c r="C352" s="7" t="s">
        <v>1935</v>
      </c>
      <c r="D352" s="9">
        <v>1.0</v>
      </c>
      <c r="E352" s="9" t="s">
        <v>2233</v>
      </c>
      <c r="F352" s="7" t="s">
        <v>2339</v>
      </c>
      <c r="G352" s="17" t="s">
        <v>2340</v>
      </c>
      <c r="H352" s="9">
        <v>2.0</v>
      </c>
      <c r="I352" s="9" t="s">
        <v>1962</v>
      </c>
      <c r="J352" s="9" t="s">
        <v>72</v>
      </c>
      <c r="K352" s="16" t="s">
        <v>2341</v>
      </c>
      <c r="L352" s="13" t="s">
        <v>2342</v>
      </c>
      <c r="M352" s="13" t="s">
        <v>2343</v>
      </c>
    </row>
    <row r="353">
      <c r="A353" s="16" t="s">
        <v>2344</v>
      </c>
      <c r="B353" s="7" t="s">
        <v>22</v>
      </c>
      <c r="C353" s="7" t="s">
        <v>1935</v>
      </c>
      <c r="D353" s="9">
        <v>1.0</v>
      </c>
      <c r="E353" s="15" t="s">
        <v>1223</v>
      </c>
      <c r="F353" s="16" t="s">
        <v>2345</v>
      </c>
      <c r="G353" s="17" t="s">
        <v>2346</v>
      </c>
      <c r="H353" s="15">
        <v>2.0</v>
      </c>
      <c r="I353" s="15" t="s">
        <v>1966</v>
      </c>
      <c r="J353" s="15" t="s">
        <v>28</v>
      </c>
      <c r="K353" s="16" t="s">
        <v>2347</v>
      </c>
      <c r="L353" s="13" t="s">
        <v>2348</v>
      </c>
      <c r="M353" s="13" t="s">
        <v>2349</v>
      </c>
      <c r="N353" s="13" t="s">
        <v>2350</v>
      </c>
      <c r="O353" s="13" t="s">
        <v>2351</v>
      </c>
    </row>
    <row r="354">
      <c r="A354" s="7" t="s">
        <v>2352</v>
      </c>
      <c r="B354" s="7" t="s">
        <v>22</v>
      </c>
      <c r="C354" s="7" t="s">
        <v>1935</v>
      </c>
      <c r="D354" s="9">
        <v>1.0</v>
      </c>
      <c r="E354" s="15" t="s">
        <v>2353</v>
      </c>
      <c r="F354" s="16" t="s">
        <v>2354</v>
      </c>
      <c r="G354" s="17" t="s">
        <v>2355</v>
      </c>
      <c r="H354" s="15">
        <v>2.0</v>
      </c>
      <c r="I354" s="15" t="s">
        <v>2143</v>
      </c>
      <c r="J354" s="9" t="s">
        <v>72</v>
      </c>
      <c r="K354" s="16" t="s">
        <v>2356</v>
      </c>
      <c r="L354" s="13" t="s">
        <v>2357</v>
      </c>
      <c r="M354" s="13" t="s">
        <v>2358</v>
      </c>
      <c r="N354" s="13" t="s">
        <v>2359</v>
      </c>
      <c r="O354" s="13" t="s">
        <v>2360</v>
      </c>
      <c r="P354" s="13" t="s">
        <v>2361</v>
      </c>
      <c r="Q354" s="13" t="s">
        <v>2362</v>
      </c>
    </row>
    <row r="355">
      <c r="A355" s="7" t="s">
        <v>2363</v>
      </c>
      <c r="B355" s="7" t="s">
        <v>22</v>
      </c>
      <c r="C355" s="7" t="s">
        <v>1935</v>
      </c>
      <c r="D355" s="9">
        <v>1.0</v>
      </c>
      <c r="E355" s="9" t="s">
        <v>337</v>
      </c>
      <c r="F355" s="7" t="s">
        <v>2364</v>
      </c>
      <c r="G355" s="10" t="s">
        <v>2365</v>
      </c>
      <c r="H355" s="9">
        <v>3.0</v>
      </c>
      <c r="I355" s="9" t="s">
        <v>2143</v>
      </c>
      <c r="J355" s="9" t="s">
        <v>72</v>
      </c>
      <c r="K355" s="16" t="s">
        <v>2366</v>
      </c>
      <c r="L355" s="13" t="s">
        <v>2367</v>
      </c>
      <c r="M355" s="13" t="s">
        <v>2368</v>
      </c>
      <c r="N355" s="13" t="s">
        <v>2369</v>
      </c>
    </row>
    <row r="356">
      <c r="A356" s="7" t="s">
        <v>2370</v>
      </c>
      <c r="B356" s="7" t="s">
        <v>22</v>
      </c>
      <c r="C356" s="7" t="s">
        <v>1935</v>
      </c>
      <c r="D356" s="9">
        <v>1.0</v>
      </c>
      <c r="E356" s="9" t="s">
        <v>1223</v>
      </c>
      <c r="F356" s="16" t="s">
        <v>2371</v>
      </c>
      <c r="G356" s="10" t="s">
        <v>2372</v>
      </c>
      <c r="H356" s="9">
        <v>3.0</v>
      </c>
      <c r="I356" s="9" t="s">
        <v>1962</v>
      </c>
      <c r="J356" s="9" t="s">
        <v>28</v>
      </c>
      <c r="K356" s="16" t="s">
        <v>2373</v>
      </c>
      <c r="L356" s="13" t="s">
        <v>2374</v>
      </c>
      <c r="M356" s="13" t="s">
        <v>2375</v>
      </c>
    </row>
    <row r="357">
      <c r="A357" s="16" t="s">
        <v>2376</v>
      </c>
      <c r="B357" s="7" t="s">
        <v>22</v>
      </c>
      <c r="C357" s="7" t="s">
        <v>1935</v>
      </c>
      <c r="D357" s="9">
        <v>1.0</v>
      </c>
      <c r="E357" s="15" t="s">
        <v>1223</v>
      </c>
      <c r="F357" s="16" t="s">
        <v>2377</v>
      </c>
      <c r="G357" s="17" t="s">
        <v>2378</v>
      </c>
      <c r="H357" s="15">
        <v>3.0</v>
      </c>
      <c r="I357" s="15" t="s">
        <v>1962</v>
      </c>
      <c r="J357" s="15" t="s">
        <v>28</v>
      </c>
      <c r="K357" s="16" t="s">
        <v>2379</v>
      </c>
      <c r="L357" s="13" t="s">
        <v>2380</v>
      </c>
      <c r="M357" s="13" t="s">
        <v>2381</v>
      </c>
      <c r="N357" s="13" t="s">
        <v>2382</v>
      </c>
      <c r="O357" s="13" t="s">
        <v>2383</v>
      </c>
    </row>
    <row r="358">
      <c r="A358" s="24" t="s">
        <v>2384</v>
      </c>
      <c r="B358" s="7" t="s">
        <v>22</v>
      </c>
      <c r="C358" s="7" t="s">
        <v>1935</v>
      </c>
      <c r="D358" s="9">
        <v>1.0</v>
      </c>
      <c r="E358" s="21" t="s">
        <v>1959</v>
      </c>
      <c r="F358" s="7" t="s">
        <v>2385</v>
      </c>
      <c r="G358" s="17" t="s">
        <v>2386</v>
      </c>
      <c r="H358" s="9">
        <v>2.0</v>
      </c>
      <c r="I358" s="9" t="s">
        <v>1966</v>
      </c>
      <c r="J358" s="15" t="s">
        <v>28</v>
      </c>
      <c r="K358" s="35" t="s">
        <v>2387</v>
      </c>
      <c r="L358" s="13" t="s">
        <v>2388</v>
      </c>
      <c r="M358" s="13" t="s">
        <v>2389</v>
      </c>
      <c r="N358" s="13" t="s">
        <v>2390</v>
      </c>
      <c r="O358" s="13" t="s">
        <v>2391</v>
      </c>
      <c r="P358" s="13" t="s">
        <v>2392</v>
      </c>
      <c r="Q358" s="13" t="s">
        <v>2393</v>
      </c>
      <c r="R358" s="13" t="s">
        <v>2394</v>
      </c>
      <c r="S358" s="13" t="s">
        <v>2395</v>
      </c>
      <c r="T358" s="13" t="s">
        <v>2396</v>
      </c>
    </row>
    <row r="359">
      <c r="A359" s="7" t="s">
        <v>2397</v>
      </c>
      <c r="B359" s="7" t="s">
        <v>22</v>
      </c>
      <c r="C359" s="7" t="s">
        <v>1935</v>
      </c>
      <c r="D359" s="9">
        <v>1.0</v>
      </c>
      <c r="E359" s="9" t="s">
        <v>1885</v>
      </c>
      <c r="F359" s="7" t="s">
        <v>2398</v>
      </c>
      <c r="G359" s="103" t="s">
        <v>2399</v>
      </c>
      <c r="H359" s="9">
        <v>4.0</v>
      </c>
      <c r="I359" s="9" t="s">
        <v>2143</v>
      </c>
      <c r="J359" s="15" t="s">
        <v>28</v>
      </c>
      <c r="K359" s="16" t="s">
        <v>2400</v>
      </c>
      <c r="L359" s="13" t="s">
        <v>2401</v>
      </c>
      <c r="M359" s="13" t="s">
        <v>2402</v>
      </c>
      <c r="N359" s="13" t="s">
        <v>2403</v>
      </c>
      <c r="O359" s="13" t="s">
        <v>2404</v>
      </c>
      <c r="P359" s="13" t="s">
        <v>2405</v>
      </c>
      <c r="Q359" s="13" t="s">
        <v>2406</v>
      </c>
    </row>
    <row r="360">
      <c r="A360" s="20" t="s">
        <v>2407</v>
      </c>
      <c r="B360" s="7" t="s">
        <v>22</v>
      </c>
      <c r="C360" s="7" t="s">
        <v>1935</v>
      </c>
      <c r="D360" s="9">
        <v>1.0</v>
      </c>
      <c r="E360" s="9" t="s">
        <v>183</v>
      </c>
      <c r="F360" s="7" t="s">
        <v>2408</v>
      </c>
      <c r="G360" s="10" t="s">
        <v>2409</v>
      </c>
      <c r="H360" s="9">
        <v>0.0</v>
      </c>
      <c r="I360" s="9" t="s">
        <v>1962</v>
      </c>
      <c r="J360" s="9" t="s">
        <v>28</v>
      </c>
      <c r="K360" s="35" t="s">
        <v>2410</v>
      </c>
      <c r="L360" s="13" t="s">
        <v>2411</v>
      </c>
      <c r="M360" s="13" t="s">
        <v>2412</v>
      </c>
      <c r="N360" s="13" t="s">
        <v>2413</v>
      </c>
      <c r="O360" s="13" t="s">
        <v>2414</v>
      </c>
      <c r="P360" s="13" t="s">
        <v>2415</v>
      </c>
      <c r="Q360" s="13" t="s">
        <v>2416</v>
      </c>
      <c r="R360" s="13" t="s">
        <v>2417</v>
      </c>
      <c r="S360" s="13" t="s">
        <v>2418</v>
      </c>
    </row>
    <row r="361">
      <c r="A361" s="54" t="s">
        <v>2419</v>
      </c>
      <c r="B361" s="7" t="s">
        <v>22</v>
      </c>
      <c r="C361" s="54" t="s">
        <v>1935</v>
      </c>
      <c r="D361" s="53">
        <v>1.0</v>
      </c>
      <c r="E361" s="53" t="s">
        <v>1512</v>
      </c>
      <c r="F361" s="54" t="s">
        <v>2420</v>
      </c>
      <c r="G361" s="55" t="s">
        <v>2421</v>
      </c>
      <c r="H361" s="53">
        <v>4.0</v>
      </c>
      <c r="I361" s="53" t="s">
        <v>1952</v>
      </c>
      <c r="J361" s="53" t="s">
        <v>72</v>
      </c>
      <c r="K361" s="16" t="s">
        <v>2422</v>
      </c>
      <c r="L361" s="13" t="s">
        <v>2423</v>
      </c>
      <c r="M361" s="13" t="s">
        <v>2424</v>
      </c>
      <c r="N361" s="13" t="s">
        <v>2425</v>
      </c>
      <c r="O361" s="13" t="s">
        <v>2426</v>
      </c>
      <c r="P361" s="13" t="s">
        <v>2427</v>
      </c>
    </row>
    <row r="362" hidden="1">
      <c r="A362" s="16" t="s">
        <v>2428</v>
      </c>
      <c r="B362" s="16"/>
      <c r="C362" s="16" t="s">
        <v>23</v>
      </c>
      <c r="D362" s="15">
        <v>3.0</v>
      </c>
      <c r="E362" s="16" t="s">
        <v>2429</v>
      </c>
      <c r="F362" s="16" t="s">
        <v>2430</v>
      </c>
      <c r="H362" s="15">
        <v>4.0</v>
      </c>
      <c r="I362" s="15" t="s">
        <v>173</v>
      </c>
      <c r="J362" s="16" t="s">
        <v>72</v>
      </c>
    </row>
    <row r="363" hidden="1">
      <c r="A363" s="16" t="s">
        <v>2431</v>
      </c>
      <c r="B363" s="16"/>
      <c r="C363" s="16" t="s">
        <v>1935</v>
      </c>
      <c r="D363" s="15">
        <v>3.0</v>
      </c>
      <c r="E363" s="16" t="s">
        <v>2432</v>
      </c>
      <c r="F363" s="16" t="s">
        <v>2433</v>
      </c>
      <c r="H363" s="15">
        <v>3.0</v>
      </c>
      <c r="I363" s="15" t="s">
        <v>2434</v>
      </c>
      <c r="J363" s="16" t="s">
        <v>34</v>
      </c>
    </row>
    <row r="364" hidden="1">
      <c r="A364" s="16" t="s">
        <v>2435</v>
      </c>
      <c r="B364" s="16"/>
      <c r="C364" s="16" t="s">
        <v>1051</v>
      </c>
      <c r="D364" s="15">
        <v>3.0</v>
      </c>
      <c r="E364" s="16" t="s">
        <v>39</v>
      </c>
      <c r="F364" s="16" t="s">
        <v>2436</v>
      </c>
      <c r="H364" s="15">
        <v>1.0</v>
      </c>
      <c r="I364" s="15" t="s">
        <v>1078</v>
      </c>
      <c r="J364" s="16" t="s">
        <v>28</v>
      </c>
    </row>
    <row r="365" hidden="1">
      <c r="A365" s="16" t="s">
        <v>2437</v>
      </c>
      <c r="B365" s="16"/>
      <c r="C365" s="16" t="s">
        <v>420</v>
      </c>
      <c r="D365" s="15">
        <v>3.0</v>
      </c>
      <c r="E365" s="16" t="s">
        <v>632</v>
      </c>
      <c r="F365" s="16" t="s">
        <v>2438</v>
      </c>
      <c r="H365" s="15">
        <v>3.0</v>
      </c>
      <c r="I365" s="15" t="s">
        <v>587</v>
      </c>
      <c r="J365" s="16" t="s">
        <v>28</v>
      </c>
    </row>
    <row r="366" hidden="1">
      <c r="A366" s="16" t="s">
        <v>2439</v>
      </c>
      <c r="B366" s="16"/>
      <c r="C366" s="16" t="s">
        <v>965</v>
      </c>
      <c r="D366" s="15">
        <v>3.0</v>
      </c>
      <c r="E366" s="16" t="s">
        <v>2440</v>
      </c>
      <c r="F366" s="16" t="s">
        <v>2441</v>
      </c>
      <c r="H366" s="15">
        <v>6.0</v>
      </c>
      <c r="I366" s="15" t="s">
        <v>2442</v>
      </c>
      <c r="J366" s="16" t="s">
        <v>72</v>
      </c>
    </row>
    <row r="367" hidden="1">
      <c r="A367" s="16" t="s">
        <v>2443</v>
      </c>
      <c r="B367" s="16"/>
      <c r="C367" s="16" t="s">
        <v>393</v>
      </c>
      <c r="D367" s="15">
        <v>3.0</v>
      </c>
      <c r="E367" s="16" t="s">
        <v>2444</v>
      </c>
      <c r="F367" s="16" t="s">
        <v>2445</v>
      </c>
      <c r="H367" s="15">
        <v>5.0</v>
      </c>
      <c r="I367" s="15" t="s">
        <v>2446</v>
      </c>
      <c r="J367" s="16" t="s">
        <v>34</v>
      </c>
    </row>
    <row r="368" hidden="1">
      <c r="A368" s="16" t="s">
        <v>2447</v>
      </c>
      <c r="B368" s="16"/>
      <c r="C368" s="16" t="s">
        <v>1549</v>
      </c>
      <c r="D368" s="15">
        <v>3.0</v>
      </c>
      <c r="E368" s="16" t="s">
        <v>2448</v>
      </c>
      <c r="F368" s="16" t="s">
        <v>2449</v>
      </c>
      <c r="H368" s="15">
        <v>5.0</v>
      </c>
      <c r="I368" s="15" t="s">
        <v>1583</v>
      </c>
      <c r="J368" s="16" t="s">
        <v>72</v>
      </c>
    </row>
    <row r="369" hidden="1">
      <c r="A369" s="16" t="s">
        <v>2450</v>
      </c>
      <c r="B369" s="16"/>
      <c r="C369" s="16" t="s">
        <v>23</v>
      </c>
      <c r="D369" s="15">
        <v>3.0</v>
      </c>
      <c r="E369" s="16" t="s">
        <v>113</v>
      </c>
      <c r="F369" s="16" t="s">
        <v>2451</v>
      </c>
      <c r="H369" s="15">
        <v>2.0</v>
      </c>
      <c r="I369" s="15" t="s">
        <v>108</v>
      </c>
      <c r="J369" s="16" t="s">
        <v>28</v>
      </c>
    </row>
    <row r="370" hidden="1">
      <c r="A370" s="16" t="s">
        <v>2452</v>
      </c>
      <c r="B370" s="16"/>
      <c r="C370" s="16" t="s">
        <v>420</v>
      </c>
      <c r="D370" s="15">
        <v>3.0</v>
      </c>
      <c r="E370" s="16" t="s">
        <v>2453</v>
      </c>
      <c r="F370" s="16" t="s">
        <v>2454</v>
      </c>
      <c r="H370" s="15">
        <v>3.0</v>
      </c>
      <c r="I370" s="15" t="s">
        <v>423</v>
      </c>
      <c r="J370" s="16" t="s">
        <v>28</v>
      </c>
    </row>
    <row r="371" hidden="1">
      <c r="A371" s="16" t="s">
        <v>2455</v>
      </c>
      <c r="B371" s="16"/>
      <c r="C371" s="16" t="s">
        <v>895</v>
      </c>
      <c r="D371" s="15">
        <v>3.0</v>
      </c>
      <c r="E371" s="16" t="s">
        <v>2456</v>
      </c>
      <c r="F371" s="16" t="s">
        <v>2457</v>
      </c>
      <c r="H371" s="15">
        <v>3.0</v>
      </c>
      <c r="I371" s="15" t="s">
        <v>2458</v>
      </c>
      <c r="J371" s="16" t="s">
        <v>72</v>
      </c>
    </row>
    <row r="372" hidden="1">
      <c r="A372" s="16" t="s">
        <v>2459</v>
      </c>
      <c r="B372" s="16"/>
      <c r="C372" s="16" t="s">
        <v>1935</v>
      </c>
      <c r="D372" s="15">
        <v>3.0</v>
      </c>
      <c r="E372" s="16" t="s">
        <v>2460</v>
      </c>
      <c r="F372" s="16" t="s">
        <v>2461</v>
      </c>
      <c r="H372" s="104"/>
      <c r="I372" s="104"/>
    </row>
    <row r="373" hidden="1">
      <c r="A373" s="16" t="s">
        <v>2462</v>
      </c>
      <c r="B373" s="16"/>
      <c r="C373" s="16" t="s">
        <v>1549</v>
      </c>
      <c r="D373" s="15">
        <v>3.0</v>
      </c>
      <c r="E373" s="16" t="s">
        <v>1445</v>
      </c>
      <c r="F373" s="16" t="s">
        <v>2463</v>
      </c>
      <c r="H373" s="15">
        <v>3.0</v>
      </c>
      <c r="I373" s="15" t="s">
        <v>1578</v>
      </c>
      <c r="J373" s="16" t="s">
        <v>28</v>
      </c>
    </row>
    <row r="374" hidden="1">
      <c r="A374" s="16" t="s">
        <v>2464</v>
      </c>
      <c r="B374" s="16"/>
      <c r="C374" s="16" t="s">
        <v>1935</v>
      </c>
      <c r="D374" s="15">
        <v>3.0</v>
      </c>
      <c r="E374" s="16" t="s">
        <v>2465</v>
      </c>
      <c r="F374" s="16" t="s">
        <v>2466</v>
      </c>
      <c r="H374" s="15">
        <v>4.0</v>
      </c>
      <c r="I374" s="15" t="s">
        <v>2143</v>
      </c>
      <c r="J374" s="16" t="s">
        <v>72</v>
      </c>
    </row>
    <row r="375" hidden="1">
      <c r="A375" s="16" t="s">
        <v>2467</v>
      </c>
      <c r="B375" s="16"/>
      <c r="C375" s="16" t="s">
        <v>2468</v>
      </c>
      <c r="D375" s="15">
        <v>3.0</v>
      </c>
      <c r="E375" s="16" t="s">
        <v>30</v>
      </c>
      <c r="F375" s="16" t="s">
        <v>2469</v>
      </c>
      <c r="H375" s="15">
        <v>3.0</v>
      </c>
      <c r="I375" s="15" t="s">
        <v>2470</v>
      </c>
      <c r="J375" s="16" t="s">
        <v>28</v>
      </c>
    </row>
    <row r="376" hidden="1">
      <c r="A376" s="16" t="s">
        <v>2471</v>
      </c>
      <c r="B376" s="16"/>
      <c r="C376" s="16" t="s">
        <v>420</v>
      </c>
      <c r="D376" s="15">
        <v>3.0</v>
      </c>
      <c r="E376" s="16" t="s">
        <v>2472</v>
      </c>
      <c r="F376" s="16" t="s">
        <v>2473</v>
      </c>
      <c r="H376" s="15">
        <v>5.0</v>
      </c>
      <c r="I376" s="15" t="s">
        <v>527</v>
      </c>
      <c r="J376" s="16" t="s">
        <v>28</v>
      </c>
    </row>
    <row r="377" hidden="1">
      <c r="A377" s="16" t="s">
        <v>2474</v>
      </c>
      <c r="B377" s="16"/>
      <c r="C377" s="14" t="s">
        <v>23</v>
      </c>
      <c r="D377" s="15">
        <v>3.0</v>
      </c>
      <c r="E377" s="15" t="s">
        <v>82</v>
      </c>
      <c r="F377" s="16" t="s">
        <v>2475</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2476</v>
      </c>
      <c r="B378" s="16"/>
      <c r="C378" s="16" t="s">
        <v>420</v>
      </c>
      <c r="D378" s="15">
        <v>3.0</v>
      </c>
      <c r="E378" s="16" t="s">
        <v>2477</v>
      </c>
      <c r="F378" s="16" t="s">
        <v>2478</v>
      </c>
      <c r="H378" s="15">
        <v>2.0</v>
      </c>
      <c r="I378" s="15" t="s">
        <v>587</v>
      </c>
      <c r="J378" s="16" t="s">
        <v>72</v>
      </c>
    </row>
    <row r="379" hidden="1">
      <c r="A379" s="22" t="s">
        <v>2479</v>
      </c>
      <c r="B379" s="22"/>
      <c r="C379" s="88" t="s">
        <v>1549</v>
      </c>
      <c r="D379" s="9">
        <v>3.0</v>
      </c>
      <c r="E379" s="9" t="s">
        <v>82</v>
      </c>
      <c r="F379" s="7" t="s">
        <v>2480</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1752</v>
      </c>
      <c r="J379" s="9" t="s">
        <v>34</v>
      </c>
    </row>
    <row r="380" hidden="1">
      <c r="A380" s="7" t="s">
        <v>2352</v>
      </c>
      <c r="B380" s="7"/>
      <c r="C380" s="97" t="s">
        <v>1935</v>
      </c>
      <c r="D380" s="9">
        <v>3.0</v>
      </c>
      <c r="E380" s="15" t="s">
        <v>2481</v>
      </c>
      <c r="F380" s="16" t="s">
        <v>2354</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2143</v>
      </c>
      <c r="J380" s="9" t="s">
        <v>34</v>
      </c>
    </row>
    <row r="381" hidden="1">
      <c r="A381" s="7" t="s">
        <v>2482</v>
      </c>
      <c r="B381" s="7"/>
      <c r="C381" s="8" t="s">
        <v>23</v>
      </c>
      <c r="D381" s="9">
        <v>3.0</v>
      </c>
      <c r="E381" s="9" t="s">
        <v>410</v>
      </c>
      <c r="F381" s="7" t="s">
        <v>2483</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2484</v>
      </c>
      <c r="B382" s="28"/>
      <c r="C382" s="105" t="s">
        <v>23</v>
      </c>
      <c r="D382" s="65">
        <v>3.0</v>
      </c>
      <c r="E382" s="67" t="s">
        <v>2485</v>
      </c>
      <c r="F382" s="29" t="s">
        <v>2486</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2487</v>
      </c>
      <c r="B383" s="16"/>
      <c r="C383" s="16" t="s">
        <v>393</v>
      </c>
      <c r="D383" s="15">
        <v>3.0</v>
      </c>
      <c r="E383" s="15" t="s">
        <v>1494</v>
      </c>
      <c r="F383" s="16" t="s">
        <v>2488</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2489</v>
      </c>
      <c r="B384" s="7"/>
      <c r="C384" s="48" t="s">
        <v>420</v>
      </c>
      <c r="D384" s="9">
        <v>3.0</v>
      </c>
      <c r="E384" s="9" t="s">
        <v>435</v>
      </c>
      <c r="F384" s="16" t="s">
        <v>2490</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2491</v>
      </c>
      <c r="B385" s="7"/>
      <c r="C385" s="7" t="s">
        <v>319</v>
      </c>
      <c r="D385" s="9">
        <v>3.0</v>
      </c>
      <c r="E385" s="9" t="s">
        <v>157</v>
      </c>
      <c r="F385" s="7" t="s">
        <v>2492</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2493</v>
      </c>
      <c r="H386" s="104"/>
      <c r="I386" s="104"/>
    </row>
    <row r="387" hidden="1">
      <c r="B387" s="20"/>
      <c r="D387" s="15">
        <v>3.0</v>
      </c>
      <c r="E387" s="16" t="s">
        <v>2055</v>
      </c>
      <c r="H387" s="104"/>
      <c r="I387" s="104"/>
    </row>
    <row r="388" hidden="1">
      <c r="B388" s="20"/>
      <c r="D388" s="15">
        <v>3.0</v>
      </c>
      <c r="F388" s="16" t="s">
        <v>2494</v>
      </c>
      <c r="H388" s="104"/>
      <c r="I388" s="104"/>
    </row>
    <row r="389" hidden="1">
      <c r="A389" s="16" t="s">
        <v>2495</v>
      </c>
      <c r="B389" s="16"/>
      <c r="C389" s="16" t="s">
        <v>1549</v>
      </c>
      <c r="D389" s="15">
        <v>3.0</v>
      </c>
      <c r="E389" s="16" t="s">
        <v>39</v>
      </c>
      <c r="F389" s="16" t="s">
        <v>2496</v>
      </c>
      <c r="H389" s="15">
        <v>1.0</v>
      </c>
      <c r="I389" s="15" t="s">
        <v>1782</v>
      </c>
      <c r="J389" s="16" t="s">
        <v>28</v>
      </c>
    </row>
    <row r="390" hidden="1">
      <c r="B390" s="20"/>
      <c r="D390" s="15">
        <v>3.0</v>
      </c>
      <c r="F390" s="16" t="s">
        <v>2497</v>
      </c>
      <c r="H390" s="104"/>
      <c r="I390" s="104"/>
    </row>
    <row r="391" hidden="1">
      <c r="A391" s="16" t="s">
        <v>2498</v>
      </c>
      <c r="B391" s="16"/>
      <c r="C391" s="16" t="s">
        <v>1051</v>
      </c>
      <c r="D391" s="15">
        <v>3.0</v>
      </c>
      <c r="E391" s="16" t="s">
        <v>698</v>
      </c>
      <c r="F391" s="16" t="s">
        <v>2499</v>
      </c>
      <c r="H391" s="104"/>
      <c r="I391" s="104"/>
    </row>
    <row r="392" hidden="1">
      <c r="A392" s="7" t="s">
        <v>2500</v>
      </c>
      <c r="B392" s="7"/>
      <c r="C392" s="7" t="s">
        <v>1051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2501</v>
      </c>
      <c r="B393" s="16"/>
      <c r="D393" s="16">
        <v>3.0</v>
      </c>
      <c r="F393" s="16" t="s">
        <v>2502</v>
      </c>
      <c r="H393" s="104"/>
      <c r="I393" s="104"/>
    </row>
    <row r="394" hidden="1">
      <c r="B394" s="20"/>
      <c r="D394" s="15">
        <v>3.0</v>
      </c>
      <c r="F394" s="16" t="s">
        <v>2503</v>
      </c>
      <c r="H394" s="104"/>
      <c r="I394" s="104"/>
    </row>
    <row r="395" hidden="1">
      <c r="B395" s="20"/>
      <c r="D395" s="15">
        <v>3.0</v>
      </c>
      <c r="F395" s="16" t="s">
        <v>2504</v>
      </c>
      <c r="H395" s="104"/>
      <c r="I395" s="104"/>
    </row>
    <row r="396" hidden="1">
      <c r="B396" s="20"/>
      <c r="D396" s="15">
        <v>3.0</v>
      </c>
      <c r="F396" s="16" t="s">
        <v>2505</v>
      </c>
      <c r="H396" s="104"/>
      <c r="I396" s="104"/>
    </row>
    <row r="397" hidden="1">
      <c r="A397" s="16" t="s">
        <v>2506</v>
      </c>
      <c r="B397" s="16"/>
      <c r="D397" s="15">
        <v>3.0</v>
      </c>
      <c r="E397" s="16" t="s">
        <v>2507</v>
      </c>
      <c r="F397" s="16" t="s">
        <v>2508</v>
      </c>
      <c r="H397" s="104"/>
      <c r="I397" s="104"/>
    </row>
    <row r="398" hidden="1">
      <c r="B398" s="20"/>
      <c r="D398" s="15">
        <v>3.0</v>
      </c>
      <c r="F398" s="106" t="s">
        <v>2509</v>
      </c>
      <c r="H398" s="104"/>
      <c r="I398" s="104"/>
    </row>
    <row r="399" hidden="1">
      <c r="A399" s="16" t="s">
        <v>2510</v>
      </c>
      <c r="B399" s="16"/>
      <c r="D399" s="15">
        <v>3.0</v>
      </c>
      <c r="E399" s="16" t="s">
        <v>2511</v>
      </c>
      <c r="F399" s="16" t="s">
        <v>2512</v>
      </c>
      <c r="H399" s="104"/>
      <c r="I399" s="104"/>
    </row>
    <row r="400" hidden="1">
      <c r="A400" s="16" t="s">
        <v>2513</v>
      </c>
      <c r="B400" s="16"/>
      <c r="D400" s="15">
        <v>3.0</v>
      </c>
      <c r="E400" s="16" t="s">
        <v>2511</v>
      </c>
      <c r="F400" s="16" t="s">
        <v>2514</v>
      </c>
      <c r="H400" s="104"/>
      <c r="I400" s="104"/>
    </row>
    <row r="401" hidden="1">
      <c r="A401" s="16" t="s">
        <v>2515</v>
      </c>
      <c r="B401" s="16"/>
      <c r="D401" s="15">
        <v>3.0</v>
      </c>
      <c r="E401" s="16" t="s">
        <v>2511</v>
      </c>
      <c r="F401" s="16" t="s">
        <v>2516</v>
      </c>
      <c r="H401" s="104"/>
      <c r="I401" s="104"/>
    </row>
    <row r="402" hidden="1">
      <c r="A402" s="16" t="s">
        <v>2517</v>
      </c>
      <c r="B402" s="16"/>
      <c r="D402" s="15">
        <v>3.0</v>
      </c>
      <c r="E402" s="16" t="s">
        <v>2511</v>
      </c>
      <c r="F402" s="16" t="s">
        <v>2518</v>
      </c>
      <c r="H402" s="104"/>
      <c r="I402" s="104"/>
    </row>
    <row r="403" hidden="1">
      <c r="A403" s="16" t="s">
        <v>2519</v>
      </c>
      <c r="B403" s="16"/>
      <c r="D403" s="15">
        <v>3.0</v>
      </c>
      <c r="E403" s="16" t="s">
        <v>2511</v>
      </c>
      <c r="F403" s="16" t="s">
        <v>2520</v>
      </c>
      <c r="H403" s="104"/>
      <c r="I403" s="104"/>
    </row>
    <row r="404" hidden="1">
      <c r="A404" s="16" t="s">
        <v>2521</v>
      </c>
      <c r="B404" s="16"/>
      <c r="C404" s="16" t="s">
        <v>393</v>
      </c>
      <c r="D404" s="15">
        <v>3.0</v>
      </c>
      <c r="F404" s="16" t="s">
        <v>2522</v>
      </c>
      <c r="H404" s="104"/>
      <c r="I404" s="15" t="s">
        <v>476</v>
      </c>
      <c r="J404" s="16" t="s">
        <v>72</v>
      </c>
    </row>
    <row r="405" hidden="1">
      <c r="B405" s="20"/>
      <c r="D405" s="16">
        <v>3.0</v>
      </c>
      <c r="F405" s="16" t="s">
        <v>2523</v>
      </c>
      <c r="H405" s="104"/>
      <c r="I405" s="104"/>
    </row>
    <row r="406" hidden="1">
      <c r="A406" s="16" t="s">
        <v>2524</v>
      </c>
      <c r="B406" s="16"/>
      <c r="C406" s="16" t="s">
        <v>420</v>
      </c>
      <c r="D406" s="15">
        <v>3.0</v>
      </c>
      <c r="F406" s="16" t="s">
        <v>2525</v>
      </c>
      <c r="H406" s="104"/>
      <c r="I406" s="104"/>
    </row>
    <row r="407">
      <c r="A407" s="7" t="s">
        <v>2526</v>
      </c>
      <c r="B407" s="7" t="s">
        <v>22</v>
      </c>
      <c r="C407" s="7" t="s">
        <v>1935</v>
      </c>
      <c r="D407" s="9">
        <v>1.0</v>
      </c>
      <c r="E407" s="9" t="s">
        <v>1890</v>
      </c>
      <c r="F407" s="7" t="s">
        <v>2527</v>
      </c>
      <c r="G407" s="10" t="s">
        <v>2528</v>
      </c>
      <c r="H407" s="9">
        <v>1.0</v>
      </c>
      <c r="I407" s="9" t="s">
        <v>1966</v>
      </c>
      <c r="J407" s="9" t="s">
        <v>28</v>
      </c>
      <c r="K407" s="16" t="s">
        <v>2529</v>
      </c>
      <c r="L407" s="13" t="s">
        <v>2530</v>
      </c>
      <c r="M407" s="13" t="s">
        <v>2531</v>
      </c>
      <c r="N407" s="13" t="s">
        <v>2532</v>
      </c>
      <c r="O407" s="13" t="s">
        <v>2533</v>
      </c>
    </row>
    <row r="408">
      <c r="A408" s="24" t="s">
        <v>2534</v>
      </c>
      <c r="B408" s="7" t="s">
        <v>22</v>
      </c>
      <c r="C408" s="7" t="s">
        <v>1935</v>
      </c>
      <c r="D408" s="9">
        <v>1.0</v>
      </c>
      <c r="E408" s="9" t="s">
        <v>991</v>
      </c>
      <c r="F408" s="7" t="s">
        <v>637</v>
      </c>
      <c r="G408" s="17" t="s">
        <v>2535</v>
      </c>
      <c r="H408" s="21">
        <v>3.0</v>
      </c>
      <c r="I408" s="9" t="s">
        <v>1962</v>
      </c>
      <c r="J408" s="21" t="s">
        <v>28</v>
      </c>
      <c r="K408" s="16" t="s">
        <v>2536</v>
      </c>
      <c r="L408" s="13" t="s">
        <v>2537</v>
      </c>
      <c r="M408" s="13" t="s">
        <v>2538</v>
      </c>
      <c r="N408" s="13" t="s">
        <v>2539</v>
      </c>
      <c r="O408" s="13" t="s">
        <v>2540</v>
      </c>
      <c r="P408" s="13" t="s">
        <v>2541</v>
      </c>
      <c r="Q408" s="13" t="s">
        <v>2542</v>
      </c>
      <c r="R408" s="13" t="s">
        <v>2543</v>
      </c>
      <c r="S408" s="13" t="s">
        <v>2544</v>
      </c>
    </row>
    <row r="409">
      <c r="A409" s="24" t="s">
        <v>2545</v>
      </c>
      <c r="B409" s="7" t="s">
        <v>22</v>
      </c>
      <c r="C409" s="7" t="s">
        <v>1935</v>
      </c>
      <c r="D409" s="9">
        <v>1.0</v>
      </c>
      <c r="E409" s="9" t="s">
        <v>991</v>
      </c>
      <c r="F409" s="7" t="s">
        <v>2546</v>
      </c>
      <c r="G409" s="17" t="s">
        <v>2547</v>
      </c>
      <c r="H409" s="21">
        <v>4.0</v>
      </c>
      <c r="I409" s="9" t="s">
        <v>2036</v>
      </c>
      <c r="J409" s="21" t="s">
        <v>28</v>
      </c>
      <c r="K409" s="16" t="s">
        <v>2548</v>
      </c>
      <c r="L409" s="13" t="s">
        <v>2549</v>
      </c>
      <c r="M409" s="13" t="s">
        <v>2550</v>
      </c>
      <c r="N409" s="13" t="s">
        <v>2551</v>
      </c>
    </row>
    <row r="410">
      <c r="A410" s="7" t="s">
        <v>2552</v>
      </c>
      <c r="B410" s="7" t="s">
        <v>22</v>
      </c>
      <c r="C410" s="7" t="s">
        <v>1935</v>
      </c>
      <c r="D410" s="9">
        <v>1.0</v>
      </c>
      <c r="E410" s="9" t="s">
        <v>1949</v>
      </c>
      <c r="F410" s="7" t="s">
        <v>2553</v>
      </c>
      <c r="G410" s="10" t="s">
        <v>2554</v>
      </c>
      <c r="H410" s="9">
        <v>4.0</v>
      </c>
      <c r="I410" s="9" t="s">
        <v>2036</v>
      </c>
      <c r="J410" s="9" t="s">
        <v>28</v>
      </c>
      <c r="K410" s="16" t="s">
        <v>2555</v>
      </c>
      <c r="L410" s="13" t="s">
        <v>2556</v>
      </c>
      <c r="M410" s="13" t="s">
        <v>2557</v>
      </c>
    </row>
    <row r="411">
      <c r="A411" s="22" t="s">
        <v>2558</v>
      </c>
      <c r="B411" s="7" t="s">
        <v>22</v>
      </c>
      <c r="C411" s="7" t="s">
        <v>1935</v>
      </c>
      <c r="D411" s="9">
        <v>1.0</v>
      </c>
      <c r="E411" s="9" t="s">
        <v>203</v>
      </c>
      <c r="F411" s="7" t="s">
        <v>2559</v>
      </c>
      <c r="G411" s="10" t="s">
        <v>2560</v>
      </c>
      <c r="H411" s="9">
        <v>5.0</v>
      </c>
      <c r="I411" s="9" t="s">
        <v>1952</v>
      </c>
      <c r="J411" s="9" t="s">
        <v>72</v>
      </c>
      <c r="K411" s="16" t="s">
        <v>2561</v>
      </c>
      <c r="L411" s="13" t="s">
        <v>2562</v>
      </c>
      <c r="M411" s="13" t="s">
        <v>2563</v>
      </c>
      <c r="N411" s="13" t="s">
        <v>2564</v>
      </c>
      <c r="O411" s="13" t="s">
        <v>2565</v>
      </c>
      <c r="P411" s="13" t="s">
        <v>2566</v>
      </c>
    </row>
    <row r="412">
      <c r="A412" s="24" t="s">
        <v>2567</v>
      </c>
      <c r="B412" s="7" t="s">
        <v>22</v>
      </c>
      <c r="C412" s="7" t="s">
        <v>1935</v>
      </c>
      <c r="D412" s="9">
        <v>1.0</v>
      </c>
      <c r="E412" s="9" t="s">
        <v>126</v>
      </c>
      <c r="F412" s="7" t="s">
        <v>2568</v>
      </c>
      <c r="G412" s="10" t="s">
        <v>2569</v>
      </c>
      <c r="H412" s="9">
        <v>1.0</v>
      </c>
      <c r="I412" s="9" t="s">
        <v>1962</v>
      </c>
      <c r="J412" s="21" t="s">
        <v>72</v>
      </c>
      <c r="K412" s="16" t="s">
        <v>2570</v>
      </c>
      <c r="L412" s="13" t="s">
        <v>2571</v>
      </c>
      <c r="M412" s="13" t="s">
        <v>2572</v>
      </c>
      <c r="N412" s="13" t="s">
        <v>2573</v>
      </c>
      <c r="O412" s="13" t="s">
        <v>2574</v>
      </c>
      <c r="P412" s="13" t="s">
        <v>2575</v>
      </c>
      <c r="Q412" s="13" t="s">
        <v>2576</v>
      </c>
    </row>
    <row r="413">
      <c r="A413" s="22" t="s">
        <v>2577</v>
      </c>
      <c r="B413" s="7" t="s">
        <v>22</v>
      </c>
      <c r="C413" s="7" t="s">
        <v>1935</v>
      </c>
      <c r="D413" s="9">
        <v>1.0</v>
      </c>
      <c r="E413" s="9" t="s">
        <v>2578</v>
      </c>
      <c r="F413" s="7" t="s">
        <v>2579</v>
      </c>
      <c r="G413" s="10" t="s">
        <v>2580</v>
      </c>
      <c r="H413" s="9">
        <v>2.0</v>
      </c>
      <c r="I413" s="9" t="s">
        <v>1966</v>
      </c>
      <c r="J413" s="9" t="s">
        <v>28</v>
      </c>
      <c r="K413" s="16" t="s">
        <v>2581</v>
      </c>
      <c r="L413" s="13" t="s">
        <v>2582</v>
      </c>
      <c r="M413" s="13" t="s">
        <v>2583</v>
      </c>
      <c r="N413" s="13" t="s">
        <v>2584</v>
      </c>
      <c r="O413" s="13" t="s">
        <v>2585</v>
      </c>
      <c r="P413" s="13" t="s">
        <v>2586</v>
      </c>
      <c r="Q413" s="13" t="s">
        <v>2587</v>
      </c>
    </row>
    <row r="414">
      <c r="A414" s="24" t="s">
        <v>2588</v>
      </c>
      <c r="B414" s="7" t="s">
        <v>22</v>
      </c>
      <c r="C414" s="7" t="s">
        <v>1935</v>
      </c>
      <c r="D414" s="9">
        <v>1.0</v>
      </c>
      <c r="E414" s="9" t="s">
        <v>652</v>
      </c>
      <c r="F414" s="7" t="s">
        <v>2589</v>
      </c>
      <c r="G414" s="17" t="s">
        <v>2590</v>
      </c>
      <c r="H414" s="9">
        <v>9.0</v>
      </c>
      <c r="I414" s="9" t="s">
        <v>2036</v>
      </c>
      <c r="J414" s="21" t="s">
        <v>34</v>
      </c>
      <c r="K414" s="16" t="s">
        <v>2591</v>
      </c>
      <c r="L414" s="13" t="s">
        <v>2592</v>
      </c>
      <c r="M414" s="13" t="s">
        <v>2593</v>
      </c>
      <c r="N414" s="13" t="s">
        <v>2594</v>
      </c>
      <c r="O414" s="13" t="s">
        <v>2595</v>
      </c>
      <c r="P414" s="13" t="s">
        <v>2596</v>
      </c>
      <c r="Q414" s="13" t="s">
        <v>2597</v>
      </c>
    </row>
    <row r="415">
      <c r="A415" s="7" t="s">
        <v>2598</v>
      </c>
      <c r="B415" s="7" t="s">
        <v>22</v>
      </c>
      <c r="C415" s="7" t="s">
        <v>1935</v>
      </c>
      <c r="D415" s="9">
        <v>1.0</v>
      </c>
      <c r="E415" s="9" t="s">
        <v>2599</v>
      </c>
      <c r="F415" s="7" t="s">
        <v>2600</v>
      </c>
      <c r="G415" s="10" t="s">
        <v>2601</v>
      </c>
      <c r="H415" s="9">
        <v>6.0</v>
      </c>
      <c r="I415" s="9" t="s">
        <v>2030</v>
      </c>
      <c r="J415" s="9" t="s">
        <v>34</v>
      </c>
      <c r="K415" s="16" t="s">
        <v>2602</v>
      </c>
      <c r="L415" s="13" t="s">
        <v>2603</v>
      </c>
      <c r="M415" s="13" t="s">
        <v>2604</v>
      </c>
      <c r="N415" s="13" t="s">
        <v>2605</v>
      </c>
    </row>
    <row r="416">
      <c r="A416" s="69" t="s">
        <v>2606</v>
      </c>
      <c r="B416" s="7" t="s">
        <v>22</v>
      </c>
      <c r="C416" s="107" t="s">
        <v>1935</v>
      </c>
      <c r="D416" s="71">
        <v>1.0</v>
      </c>
      <c r="E416" s="71" t="s">
        <v>2222</v>
      </c>
      <c r="F416" s="29" t="s">
        <v>2607</v>
      </c>
      <c r="G416" s="69"/>
      <c r="H416" s="71">
        <v>6.0</v>
      </c>
      <c r="I416" s="71" t="s">
        <v>1957</v>
      </c>
      <c r="J416" s="71" t="s">
        <v>34</v>
      </c>
      <c r="K416" s="29" t="s">
        <v>2608</v>
      </c>
      <c r="L416" s="72" t="s">
        <v>2609</v>
      </c>
      <c r="M416" s="72" t="s">
        <v>2610</v>
      </c>
      <c r="N416" s="72" t="s">
        <v>2611</v>
      </c>
      <c r="O416" s="72" t="s">
        <v>2612</v>
      </c>
      <c r="P416" s="72" t="s">
        <v>2613</v>
      </c>
      <c r="Q416" s="72" t="s">
        <v>2614</v>
      </c>
      <c r="R416" s="72" t="s">
        <v>2615</v>
      </c>
      <c r="S416" s="72" t="s">
        <v>2616</v>
      </c>
      <c r="T416" s="28"/>
      <c r="U416" s="28"/>
    </row>
    <row r="417">
      <c r="A417" s="7" t="s">
        <v>2617</v>
      </c>
      <c r="B417" s="7" t="s">
        <v>22</v>
      </c>
      <c r="C417" s="7" t="s">
        <v>1935</v>
      </c>
      <c r="D417" s="9">
        <v>1.0</v>
      </c>
      <c r="E417" s="9" t="s">
        <v>1494</v>
      </c>
      <c r="G417" s="10" t="s">
        <v>2618</v>
      </c>
      <c r="H417" s="9">
        <v>1.0</v>
      </c>
      <c r="I417" s="9" t="s">
        <v>1938</v>
      </c>
      <c r="J417" s="9" t="s">
        <v>28</v>
      </c>
      <c r="K417" s="16" t="s">
        <v>2619</v>
      </c>
      <c r="L417" s="13" t="s">
        <v>2620</v>
      </c>
      <c r="M417" s="13" t="s">
        <v>2621</v>
      </c>
    </row>
    <row r="418">
      <c r="A418" s="16" t="s">
        <v>2622</v>
      </c>
      <c r="B418" s="7" t="s">
        <v>22</v>
      </c>
      <c r="C418" s="16" t="s">
        <v>1935</v>
      </c>
      <c r="D418" s="15">
        <v>1.0</v>
      </c>
      <c r="E418" s="15" t="s">
        <v>1572</v>
      </c>
      <c r="G418" s="34"/>
      <c r="H418" s="15">
        <v>2.0</v>
      </c>
      <c r="I418" s="15" t="s">
        <v>1966</v>
      </c>
      <c r="J418" s="15" t="s">
        <v>28</v>
      </c>
      <c r="K418" s="16" t="s">
        <v>2623</v>
      </c>
      <c r="L418" s="13" t="s">
        <v>2624</v>
      </c>
      <c r="M418" s="13" t="s">
        <v>2625</v>
      </c>
      <c r="N418" s="13" t="s">
        <v>2626</v>
      </c>
      <c r="O418" s="13" t="s">
        <v>2627</v>
      </c>
      <c r="P418" s="13" t="s">
        <v>2628</v>
      </c>
    </row>
    <row r="419">
      <c r="A419" s="24" t="s">
        <v>2629</v>
      </c>
      <c r="B419" s="7" t="s">
        <v>22</v>
      </c>
      <c r="C419" s="7" t="s">
        <v>1935</v>
      </c>
      <c r="D419" s="9">
        <v>1.0</v>
      </c>
      <c r="E419" s="9" t="s">
        <v>2218</v>
      </c>
      <c r="G419" s="10" t="s">
        <v>2630</v>
      </c>
      <c r="H419" s="9">
        <v>5.0</v>
      </c>
      <c r="I419" s="9" t="s">
        <v>2036</v>
      </c>
      <c r="J419" s="21" t="s">
        <v>28</v>
      </c>
      <c r="K419" s="16" t="s">
        <v>2631</v>
      </c>
      <c r="L419" s="13" t="s">
        <v>2632</v>
      </c>
      <c r="M419" s="13" t="s">
        <v>2633</v>
      </c>
      <c r="N419" s="13" t="s">
        <v>2634</v>
      </c>
      <c r="O419" s="13" t="s">
        <v>2635</v>
      </c>
      <c r="P419" s="13" t="s">
        <v>2636</v>
      </c>
      <c r="Q419" s="13" t="s">
        <v>2637</v>
      </c>
      <c r="R419" s="13" t="s">
        <v>2638</v>
      </c>
    </row>
    <row r="420">
      <c r="A420" s="7" t="s">
        <v>2639</v>
      </c>
      <c r="B420" s="7" t="s">
        <v>22</v>
      </c>
      <c r="C420" s="7" t="s">
        <v>1935</v>
      </c>
      <c r="D420" s="9">
        <v>1.0</v>
      </c>
      <c r="E420" s="9" t="s">
        <v>1954</v>
      </c>
      <c r="G420" s="10" t="s">
        <v>2640</v>
      </c>
      <c r="H420" s="9">
        <v>6.0</v>
      </c>
      <c r="I420" s="50" t="s">
        <v>1952</v>
      </c>
      <c r="J420" s="9" t="s">
        <v>28</v>
      </c>
      <c r="K420" s="16" t="s">
        <v>2641</v>
      </c>
      <c r="L420" s="13" t="s">
        <v>2642</v>
      </c>
      <c r="M420" s="13" t="s">
        <v>2643</v>
      </c>
      <c r="N420" s="13" t="s">
        <v>2644</v>
      </c>
      <c r="O420" s="13" t="s">
        <v>2645</v>
      </c>
      <c r="P420" s="13" t="s">
        <v>2646</v>
      </c>
      <c r="Q420" s="13" t="s">
        <v>2647</v>
      </c>
      <c r="R420" s="13" t="s">
        <v>2648</v>
      </c>
      <c r="S420" s="13" t="s">
        <v>2649</v>
      </c>
    </row>
    <row r="421">
      <c r="A421" s="16" t="s">
        <v>2650</v>
      </c>
      <c r="B421" s="7" t="s">
        <v>22</v>
      </c>
      <c r="C421" s="16" t="s">
        <v>1935</v>
      </c>
      <c r="D421" s="15">
        <v>1.0</v>
      </c>
      <c r="E421" s="15" t="s">
        <v>268</v>
      </c>
      <c r="G421" s="17" t="s">
        <v>2651</v>
      </c>
      <c r="H421" s="15">
        <v>4.0</v>
      </c>
      <c r="I421" s="15" t="s">
        <v>2143</v>
      </c>
      <c r="J421" s="15" t="s">
        <v>28</v>
      </c>
      <c r="K421" s="16" t="s">
        <v>2652</v>
      </c>
      <c r="L421" s="13" t="s">
        <v>2653</v>
      </c>
      <c r="N421" s="13" t="s">
        <v>2654</v>
      </c>
      <c r="O421" s="13" t="s">
        <v>2655</v>
      </c>
      <c r="P421" s="13" t="s">
        <v>2656</v>
      </c>
      <c r="Q421" s="13" t="s">
        <v>2657</v>
      </c>
    </row>
    <row r="422">
      <c r="A422" s="16" t="s">
        <v>2658</v>
      </c>
      <c r="B422" s="7" t="s">
        <v>22</v>
      </c>
      <c r="C422" s="16" t="s">
        <v>1935</v>
      </c>
      <c r="D422" s="15">
        <v>1.0</v>
      </c>
      <c r="E422" s="15" t="s">
        <v>304</v>
      </c>
      <c r="G422" s="34"/>
      <c r="H422" s="15">
        <v>3.0</v>
      </c>
      <c r="I422" s="9" t="s">
        <v>1962</v>
      </c>
      <c r="J422" s="15" t="s">
        <v>28</v>
      </c>
      <c r="K422" s="16" t="s">
        <v>2659</v>
      </c>
      <c r="L422" s="13" t="s">
        <v>2660</v>
      </c>
      <c r="M422" s="13" t="s">
        <v>2661</v>
      </c>
      <c r="N422" s="13" t="s">
        <v>2662</v>
      </c>
      <c r="O422" s="13" t="s">
        <v>2663</v>
      </c>
    </row>
    <row r="423">
      <c r="A423" s="16" t="s">
        <v>2664</v>
      </c>
      <c r="B423" s="7" t="s">
        <v>22</v>
      </c>
      <c r="C423" s="16" t="s">
        <v>1935</v>
      </c>
      <c r="D423" s="15">
        <v>1.0</v>
      </c>
      <c r="E423" s="15" t="s">
        <v>2665</v>
      </c>
      <c r="F423" s="16" t="s">
        <v>62</v>
      </c>
      <c r="G423" s="34"/>
      <c r="H423" s="15">
        <v>5.0</v>
      </c>
      <c r="I423" s="9" t="s">
        <v>2666</v>
      </c>
      <c r="J423" s="15" t="s">
        <v>28</v>
      </c>
      <c r="K423" s="16" t="s">
        <v>2667</v>
      </c>
      <c r="L423" s="13" t="s">
        <v>2668</v>
      </c>
      <c r="M423" s="13" t="s">
        <v>2669</v>
      </c>
      <c r="N423" s="13" t="s">
        <v>2670</v>
      </c>
    </row>
    <row r="424">
      <c r="A424" s="31" t="s">
        <v>2671</v>
      </c>
      <c r="B424" s="7" t="s">
        <v>22</v>
      </c>
      <c r="C424" s="16" t="s">
        <v>1935</v>
      </c>
      <c r="D424" s="15">
        <v>1.0</v>
      </c>
      <c r="E424" s="15" t="s">
        <v>814</v>
      </c>
      <c r="F424" s="31" t="s">
        <v>2672</v>
      </c>
      <c r="G424" s="34"/>
      <c r="H424" s="15">
        <v>3.0</v>
      </c>
      <c r="I424" s="16" t="s">
        <v>1952</v>
      </c>
      <c r="J424" s="9" t="s">
        <v>72</v>
      </c>
      <c r="K424" s="16" t="s">
        <v>2673</v>
      </c>
      <c r="L424" s="13" t="s">
        <v>2674</v>
      </c>
      <c r="M424" s="13" t="s">
        <v>2675</v>
      </c>
      <c r="N424" s="13" t="s">
        <v>2676</v>
      </c>
      <c r="O424" s="13" t="s">
        <v>2677</v>
      </c>
    </row>
    <row r="425">
      <c r="A425" s="16" t="s">
        <v>2678</v>
      </c>
      <c r="B425" s="7" t="s">
        <v>22</v>
      </c>
      <c r="C425" s="16" t="s">
        <v>1935</v>
      </c>
      <c r="D425" s="15">
        <v>1.0</v>
      </c>
      <c r="E425" s="15" t="s">
        <v>1890</v>
      </c>
      <c r="F425" s="16" t="s">
        <v>2679</v>
      </c>
      <c r="G425" s="34"/>
      <c r="H425" s="15">
        <v>3.0</v>
      </c>
      <c r="I425" s="15" t="s">
        <v>2327</v>
      </c>
      <c r="J425" s="9" t="s">
        <v>72</v>
      </c>
      <c r="K425" s="16" t="s">
        <v>2680</v>
      </c>
      <c r="L425" s="13" t="s">
        <v>2681</v>
      </c>
      <c r="M425" s="13" t="s">
        <v>2682</v>
      </c>
      <c r="N425" s="13" t="s">
        <v>2683</v>
      </c>
    </row>
    <row r="426">
      <c r="A426" s="79" t="s">
        <v>2684</v>
      </c>
      <c r="B426" s="7" t="s">
        <v>22</v>
      </c>
      <c r="C426" s="7" t="s">
        <v>1935</v>
      </c>
      <c r="D426" s="9">
        <v>1.0</v>
      </c>
      <c r="E426" s="9" t="s">
        <v>2233</v>
      </c>
      <c r="F426" s="16" t="s">
        <v>2685</v>
      </c>
      <c r="G426" s="10" t="s">
        <v>2686</v>
      </c>
      <c r="H426" s="9">
        <v>3.0</v>
      </c>
      <c r="I426" s="9" t="s">
        <v>1978</v>
      </c>
      <c r="J426" s="9" t="s">
        <v>34</v>
      </c>
      <c r="K426" s="16" t="s">
        <v>2687</v>
      </c>
      <c r="L426" s="13" t="s">
        <v>2688</v>
      </c>
      <c r="M426" s="13" t="s">
        <v>2689</v>
      </c>
      <c r="N426" s="13" t="s">
        <v>2690</v>
      </c>
    </row>
    <row r="427">
      <c r="A427" s="31" t="s">
        <v>2691</v>
      </c>
      <c r="B427" s="7" t="s">
        <v>22</v>
      </c>
      <c r="C427" s="16" t="s">
        <v>1935</v>
      </c>
      <c r="D427" s="15">
        <v>1.0</v>
      </c>
      <c r="E427" s="15" t="s">
        <v>1413</v>
      </c>
      <c r="F427" s="16" t="s">
        <v>2692</v>
      </c>
      <c r="G427" s="34"/>
      <c r="H427" s="15">
        <v>4.0</v>
      </c>
      <c r="I427" s="9" t="s">
        <v>2143</v>
      </c>
      <c r="J427" s="9" t="s">
        <v>34</v>
      </c>
      <c r="K427" s="16" t="s">
        <v>2693</v>
      </c>
      <c r="L427" s="13" t="s">
        <v>2694</v>
      </c>
      <c r="M427" s="13" t="s">
        <v>2695</v>
      </c>
      <c r="N427" s="13" t="s">
        <v>2696</v>
      </c>
      <c r="O427" s="13" t="s">
        <v>2697</v>
      </c>
    </row>
    <row r="428">
      <c r="A428" s="31" t="s">
        <v>2698</v>
      </c>
      <c r="B428" s="7" t="s">
        <v>22</v>
      </c>
      <c r="C428" s="16" t="s">
        <v>1935</v>
      </c>
      <c r="D428" s="15">
        <v>1.0</v>
      </c>
      <c r="E428" s="15" t="s">
        <v>362</v>
      </c>
      <c r="F428" s="16" t="s">
        <v>2699</v>
      </c>
      <c r="G428" s="17" t="s">
        <v>2700</v>
      </c>
      <c r="H428" s="15">
        <v>3.0</v>
      </c>
      <c r="I428" s="15" t="s">
        <v>1966</v>
      </c>
      <c r="J428" s="15" t="s">
        <v>34</v>
      </c>
      <c r="K428" s="16" t="s">
        <v>2701</v>
      </c>
      <c r="L428" s="13" t="s">
        <v>2702</v>
      </c>
      <c r="M428" s="13" t="s">
        <v>2703</v>
      </c>
      <c r="N428" s="13" t="s">
        <v>2704</v>
      </c>
    </row>
    <row r="429">
      <c r="A429" s="16" t="s">
        <v>2705</v>
      </c>
      <c r="B429" s="7" t="s">
        <v>22</v>
      </c>
      <c r="C429" s="16" t="s">
        <v>1935</v>
      </c>
      <c r="D429" s="15">
        <v>1.0</v>
      </c>
      <c r="E429" s="15" t="s">
        <v>1885</v>
      </c>
      <c r="F429" s="16" t="s">
        <v>2706</v>
      </c>
      <c r="G429" s="34"/>
      <c r="H429" s="15">
        <v>2.0</v>
      </c>
      <c r="I429" s="15" t="s">
        <v>2327</v>
      </c>
      <c r="J429" s="15" t="s">
        <v>34</v>
      </c>
      <c r="K429" s="16" t="s">
        <v>2707</v>
      </c>
      <c r="L429" s="13" t="s">
        <v>2708</v>
      </c>
      <c r="M429" s="13" t="s">
        <v>2709</v>
      </c>
      <c r="N429" s="13" t="s">
        <v>2710</v>
      </c>
      <c r="O429" s="13" t="s">
        <v>2711</v>
      </c>
    </row>
    <row r="430">
      <c r="A430" s="16" t="s">
        <v>2712</v>
      </c>
      <c r="B430" s="7" t="s">
        <v>22</v>
      </c>
      <c r="C430" s="91" t="s">
        <v>1935</v>
      </c>
      <c r="D430" s="15">
        <v>1.0</v>
      </c>
      <c r="E430" s="15" t="s">
        <v>652</v>
      </c>
      <c r="F430" s="16" t="s">
        <v>2713</v>
      </c>
      <c r="G430" s="17" t="s">
        <v>2714</v>
      </c>
      <c r="H430" s="15">
        <v>3.0</v>
      </c>
      <c r="I430" s="9" t="s">
        <v>1962</v>
      </c>
      <c r="J430" s="15" t="s">
        <v>34</v>
      </c>
      <c r="K430" s="16" t="s">
        <v>2715</v>
      </c>
      <c r="L430" s="13" t="s">
        <v>2716</v>
      </c>
      <c r="M430" s="13" t="s">
        <v>2717</v>
      </c>
      <c r="N430" s="13" t="s">
        <v>2718</v>
      </c>
      <c r="O430" s="13" t="s">
        <v>2719</v>
      </c>
      <c r="P430" s="13" t="s">
        <v>2720</v>
      </c>
      <c r="Q430" s="13" t="s">
        <v>2721</v>
      </c>
      <c r="R430" s="13" t="s">
        <v>2722</v>
      </c>
      <c r="S430" s="13" t="s">
        <v>2723</v>
      </c>
    </row>
    <row r="431">
      <c r="A431" s="108" t="s">
        <v>2724</v>
      </c>
      <c r="B431" s="7" t="s">
        <v>22</v>
      </c>
      <c r="C431" s="7"/>
      <c r="D431" s="9">
        <v>1.0</v>
      </c>
      <c r="E431" s="21" t="s">
        <v>82</v>
      </c>
      <c r="G431" s="10" t="s">
        <v>2725</v>
      </c>
      <c r="H431" s="9">
        <v>3.0</v>
      </c>
      <c r="I431" s="9" t="s">
        <v>2266</v>
      </c>
      <c r="J431" s="21" t="s">
        <v>28</v>
      </c>
      <c r="K431" s="16" t="s">
        <v>2726</v>
      </c>
      <c r="L431" s="13" t="s">
        <v>2727</v>
      </c>
      <c r="M431" s="13" t="s">
        <v>2728</v>
      </c>
      <c r="N431" s="13" t="s">
        <v>2729</v>
      </c>
    </row>
    <row r="432">
      <c r="A432" s="7" t="s">
        <v>2730</v>
      </c>
      <c r="B432" s="7" t="s">
        <v>22</v>
      </c>
      <c r="C432" s="7"/>
      <c r="D432" s="9">
        <v>1.0</v>
      </c>
      <c r="E432" s="9" t="s">
        <v>61</v>
      </c>
      <c r="G432" s="10" t="s">
        <v>2731</v>
      </c>
      <c r="H432" s="9">
        <v>6.0</v>
      </c>
      <c r="I432" s="9" t="s">
        <v>2732</v>
      </c>
      <c r="J432" s="9" t="s">
        <v>28</v>
      </c>
      <c r="K432" s="16" t="s">
        <v>2733</v>
      </c>
      <c r="L432" s="13" t="s">
        <v>2734</v>
      </c>
      <c r="M432" s="13" t="s">
        <v>2735</v>
      </c>
    </row>
    <row r="433">
      <c r="A433" s="54" t="s">
        <v>2736</v>
      </c>
      <c r="B433" s="7" t="s">
        <v>22</v>
      </c>
      <c r="C433" s="7" t="s">
        <v>23</v>
      </c>
      <c r="D433" s="9">
        <v>1.0</v>
      </c>
      <c r="E433" s="9" t="s">
        <v>244</v>
      </c>
      <c r="F433" s="16" t="s">
        <v>2737</v>
      </c>
      <c r="G433" s="10"/>
      <c r="H433" s="9">
        <v>4.0</v>
      </c>
      <c r="I433" s="9" t="s">
        <v>270</v>
      </c>
      <c r="J433" s="9" t="s">
        <v>28</v>
      </c>
      <c r="K433" s="16" t="s">
        <v>2738</v>
      </c>
      <c r="L433" s="13" t="s">
        <v>2739</v>
      </c>
      <c r="M433" s="13" t="s">
        <v>2740</v>
      </c>
      <c r="N433" s="13" t="s">
        <v>2741</v>
      </c>
      <c r="O433" s="13" t="s">
        <v>2742</v>
      </c>
      <c r="P433" s="13" t="s">
        <v>2743</v>
      </c>
      <c r="Q433" s="13" t="s">
        <v>2744</v>
      </c>
      <c r="R433" s="13" t="s">
        <v>2745</v>
      </c>
      <c r="S433" s="13" t="s">
        <v>2746</v>
      </c>
    </row>
    <row r="434">
      <c r="A434" s="16" t="s">
        <v>2747</v>
      </c>
      <c r="B434" s="7" t="s">
        <v>22</v>
      </c>
      <c r="C434" s="7"/>
      <c r="D434" s="9">
        <v>1.0</v>
      </c>
      <c r="E434" s="15" t="s">
        <v>113</v>
      </c>
      <c r="F434" s="7" t="s">
        <v>2748</v>
      </c>
      <c r="G434" s="10" t="s">
        <v>2749</v>
      </c>
      <c r="H434" s="9">
        <v>3.0</v>
      </c>
      <c r="I434" s="9" t="s">
        <v>2266</v>
      </c>
      <c r="J434" s="9" t="s">
        <v>34</v>
      </c>
      <c r="K434" s="16" t="s">
        <v>2750</v>
      </c>
      <c r="L434" s="13" t="s">
        <v>2751</v>
      </c>
      <c r="M434" s="13" t="s">
        <v>2752</v>
      </c>
    </row>
    <row r="435">
      <c r="A435" s="7" t="s">
        <v>2753</v>
      </c>
      <c r="B435" s="7" t="s">
        <v>22</v>
      </c>
      <c r="C435" s="7"/>
      <c r="D435" s="15">
        <v>1.0</v>
      </c>
      <c r="E435" s="9"/>
      <c r="F435" s="7" t="s">
        <v>2754</v>
      </c>
      <c r="G435" s="10" t="s">
        <v>2755</v>
      </c>
      <c r="H435" s="9">
        <v>2.0</v>
      </c>
      <c r="I435" s="9" t="s">
        <v>2756</v>
      </c>
      <c r="J435" s="9" t="s">
        <v>34</v>
      </c>
      <c r="K435" s="16" t="s">
        <v>2757</v>
      </c>
      <c r="L435" s="13" t="s">
        <v>2758</v>
      </c>
      <c r="M435" s="13" t="s">
        <v>2759</v>
      </c>
    </row>
    <row r="436">
      <c r="A436" s="7" t="s">
        <v>2760</v>
      </c>
      <c r="B436" s="7" t="s">
        <v>22</v>
      </c>
      <c r="C436" s="16"/>
      <c r="D436" s="15">
        <v>1.0</v>
      </c>
      <c r="E436" s="9"/>
      <c r="F436" s="7" t="s">
        <v>2761</v>
      </c>
      <c r="G436" s="10" t="s">
        <v>2762</v>
      </c>
      <c r="H436" s="9">
        <v>2.0</v>
      </c>
      <c r="I436" s="9" t="s">
        <v>2756</v>
      </c>
      <c r="J436" s="9" t="s">
        <v>34</v>
      </c>
      <c r="K436" s="16" t="s">
        <v>2763</v>
      </c>
      <c r="L436" s="13" t="s">
        <v>2764</v>
      </c>
      <c r="M436" s="13" t="s">
        <v>2765</v>
      </c>
      <c r="N436" s="13" t="s">
        <v>2766</v>
      </c>
      <c r="O436" s="13" t="s">
        <v>2767</v>
      </c>
    </row>
    <row r="437" hidden="1">
      <c r="A437" s="16" t="s">
        <v>2768</v>
      </c>
      <c r="B437" s="7" t="s">
        <v>22</v>
      </c>
      <c r="C437" s="16" t="s">
        <v>1549</v>
      </c>
      <c r="D437" s="15">
        <v>0.0</v>
      </c>
      <c r="E437" s="15" t="s">
        <v>389</v>
      </c>
      <c r="F437" s="16" t="s">
        <v>2769</v>
      </c>
      <c r="G437" s="34"/>
      <c r="H437" s="15">
        <v>6.0</v>
      </c>
      <c r="I437" s="15" t="s">
        <v>1583</v>
      </c>
      <c r="J437" s="15" t="s">
        <v>34</v>
      </c>
    </row>
    <row r="438" hidden="1">
      <c r="A438" s="16" t="s">
        <v>2770</v>
      </c>
      <c r="B438" s="7" t="s">
        <v>22</v>
      </c>
      <c r="C438" s="16" t="s">
        <v>1549</v>
      </c>
      <c r="D438" s="15">
        <v>0.0</v>
      </c>
      <c r="E438" s="15" t="s">
        <v>389</v>
      </c>
      <c r="F438" s="16" t="s">
        <v>2771</v>
      </c>
      <c r="G438" s="34"/>
      <c r="H438" s="15">
        <v>4.0</v>
      </c>
      <c r="I438" s="15" t="s">
        <v>1752</v>
      </c>
      <c r="J438" s="15" t="s">
        <v>72</v>
      </c>
    </row>
    <row r="439">
      <c r="A439" s="16" t="s">
        <v>2772</v>
      </c>
      <c r="B439" s="16" t="s">
        <v>2773</v>
      </c>
      <c r="D439" s="15">
        <v>1.0</v>
      </c>
      <c r="E439" s="104"/>
      <c r="G439" s="34"/>
      <c r="H439" s="104"/>
      <c r="I439" s="104"/>
      <c r="J439" s="15" t="s">
        <v>2773</v>
      </c>
    </row>
    <row r="440">
      <c r="A440" s="16" t="s">
        <v>2774</v>
      </c>
      <c r="B440" s="16" t="s">
        <v>2773</v>
      </c>
      <c r="D440" s="15">
        <v>1.0</v>
      </c>
      <c r="E440" s="104"/>
      <c r="G440" s="34"/>
      <c r="H440" s="104"/>
      <c r="I440" s="104"/>
      <c r="J440" s="15" t="s">
        <v>2773</v>
      </c>
    </row>
    <row r="441">
      <c r="A441" s="16" t="s">
        <v>2775</v>
      </c>
      <c r="B441" s="16" t="s">
        <v>2773</v>
      </c>
      <c r="D441" s="15">
        <v>1.0</v>
      </c>
      <c r="E441" s="104"/>
      <c r="F441" s="16" t="s">
        <v>2776</v>
      </c>
      <c r="G441" s="34"/>
      <c r="H441" s="104"/>
      <c r="I441" s="104"/>
      <c r="J441" s="15" t="s">
        <v>2773</v>
      </c>
    </row>
    <row r="442">
      <c r="A442" s="16" t="s">
        <v>2777</v>
      </c>
      <c r="B442" s="16" t="s">
        <v>2773</v>
      </c>
      <c r="D442" s="15">
        <v>1.0</v>
      </c>
      <c r="E442" s="104"/>
      <c r="F442" s="16" t="s">
        <v>2778</v>
      </c>
      <c r="G442" s="34"/>
      <c r="H442" s="104"/>
      <c r="I442" s="104"/>
      <c r="J442" s="15" t="s">
        <v>2773</v>
      </c>
    </row>
    <row r="443">
      <c r="A443" s="16" t="s">
        <v>2779</v>
      </c>
      <c r="B443" s="16" t="s">
        <v>2773</v>
      </c>
      <c r="D443" s="15">
        <v>1.0</v>
      </c>
      <c r="E443" s="104"/>
      <c r="F443" s="16" t="s">
        <v>2780</v>
      </c>
      <c r="G443" s="34"/>
      <c r="H443" s="104"/>
      <c r="I443" s="104"/>
      <c r="J443" s="15" t="s">
        <v>2773</v>
      </c>
    </row>
    <row r="444">
      <c r="A444" s="16" t="s">
        <v>2781</v>
      </c>
      <c r="B444" s="16" t="s">
        <v>2773</v>
      </c>
      <c r="D444" s="15">
        <v>1.0</v>
      </c>
      <c r="E444" s="104"/>
      <c r="F444" s="16" t="s">
        <v>2782</v>
      </c>
      <c r="G444" s="34"/>
      <c r="H444" s="104"/>
      <c r="I444" s="104"/>
      <c r="J444" s="15" t="s">
        <v>2773</v>
      </c>
    </row>
    <row r="445">
      <c r="A445" s="16" t="s">
        <v>2783</v>
      </c>
      <c r="B445" s="16" t="s">
        <v>2773</v>
      </c>
      <c r="D445" s="15">
        <v>1.0</v>
      </c>
      <c r="E445" s="104"/>
      <c r="F445" s="16" t="s">
        <v>2778</v>
      </c>
      <c r="G445" s="34"/>
      <c r="H445" s="104"/>
      <c r="I445" s="104"/>
      <c r="J445" s="15" t="s">
        <v>2773</v>
      </c>
    </row>
    <row r="446">
      <c r="A446" s="16" t="s">
        <v>2784</v>
      </c>
      <c r="B446" s="16" t="s">
        <v>2773</v>
      </c>
      <c r="D446" s="15">
        <v>1.0</v>
      </c>
      <c r="E446" s="104"/>
      <c r="F446" s="16" t="s">
        <v>2785</v>
      </c>
      <c r="G446" s="34"/>
      <c r="H446" s="104"/>
      <c r="I446" s="104"/>
      <c r="J446" s="15" t="s">
        <v>2773</v>
      </c>
    </row>
    <row r="447">
      <c r="A447" s="16" t="s">
        <v>2786</v>
      </c>
      <c r="B447" s="16" t="s">
        <v>2773</v>
      </c>
      <c r="D447" s="15">
        <v>1.0</v>
      </c>
      <c r="E447" s="104"/>
      <c r="F447" s="16" t="s">
        <v>2787</v>
      </c>
      <c r="G447" s="34"/>
      <c r="H447" s="104"/>
      <c r="I447" s="104"/>
      <c r="J447" s="15" t="s">
        <v>2773</v>
      </c>
    </row>
    <row r="448">
      <c r="A448" s="16" t="s">
        <v>2788</v>
      </c>
      <c r="B448" s="16" t="s">
        <v>2773</v>
      </c>
      <c r="D448" s="15">
        <v>1.0</v>
      </c>
      <c r="E448" s="104"/>
      <c r="F448" s="16" t="s">
        <v>2789</v>
      </c>
      <c r="G448" s="34"/>
      <c r="H448" s="104"/>
      <c r="I448" s="104"/>
      <c r="J448" s="15" t="s">
        <v>2773</v>
      </c>
    </row>
    <row r="449">
      <c r="A449" s="16" t="s">
        <v>2790</v>
      </c>
      <c r="B449" s="16" t="s">
        <v>2773</v>
      </c>
      <c r="D449" s="15">
        <v>1.0</v>
      </c>
      <c r="E449" s="104"/>
      <c r="G449" s="34"/>
      <c r="H449" s="104"/>
      <c r="I449" s="104"/>
      <c r="J449" s="15" t="s">
        <v>2773</v>
      </c>
    </row>
    <row r="450">
      <c r="A450" s="16" t="s">
        <v>2791</v>
      </c>
      <c r="B450" s="16" t="s">
        <v>2773</v>
      </c>
      <c r="D450" s="15">
        <v>1.0</v>
      </c>
      <c r="E450" s="104"/>
      <c r="F450" s="16" t="s">
        <v>2792</v>
      </c>
      <c r="G450" s="34"/>
      <c r="H450" s="104"/>
      <c r="I450" s="104"/>
      <c r="J450" s="15" t="s">
        <v>2773</v>
      </c>
    </row>
    <row r="451">
      <c r="A451" s="16" t="s">
        <v>2793</v>
      </c>
      <c r="B451" s="16" t="s">
        <v>2773</v>
      </c>
      <c r="D451" s="15">
        <v>1.0</v>
      </c>
      <c r="E451" s="104"/>
      <c r="F451" s="16" t="s">
        <v>2794</v>
      </c>
      <c r="G451" s="34"/>
      <c r="H451" s="104"/>
      <c r="I451" s="104"/>
      <c r="J451" s="15" t="s">
        <v>2773</v>
      </c>
    </row>
    <row r="452">
      <c r="A452" s="16" t="s">
        <v>2795</v>
      </c>
      <c r="B452" s="16" t="s">
        <v>2773</v>
      </c>
      <c r="D452" s="15">
        <v>1.0</v>
      </c>
      <c r="E452" s="104"/>
      <c r="F452" s="16" t="s">
        <v>2796</v>
      </c>
      <c r="G452" s="34"/>
      <c r="H452" s="104"/>
      <c r="I452" s="104"/>
      <c r="J452" s="15" t="s">
        <v>2773</v>
      </c>
    </row>
    <row r="453">
      <c r="A453" s="16" t="s">
        <v>2797</v>
      </c>
      <c r="B453" s="16" t="s">
        <v>2773</v>
      </c>
      <c r="D453" s="15">
        <v>1.0</v>
      </c>
      <c r="E453" s="104"/>
      <c r="G453" s="34"/>
      <c r="H453" s="104"/>
      <c r="I453" s="104"/>
      <c r="J453" s="15" t="s">
        <v>2773</v>
      </c>
    </row>
    <row r="454">
      <c r="A454" s="16" t="s">
        <v>2798</v>
      </c>
      <c r="B454" s="16" t="s">
        <v>2773</v>
      </c>
      <c r="D454" s="15">
        <v>1.0</v>
      </c>
      <c r="E454" s="104"/>
      <c r="G454" s="34"/>
      <c r="H454" s="104"/>
      <c r="I454" s="104"/>
      <c r="J454" s="15" t="s">
        <v>2773</v>
      </c>
    </row>
    <row r="455">
      <c r="A455" s="16" t="s">
        <v>2799</v>
      </c>
      <c r="B455" s="16" t="s">
        <v>2773</v>
      </c>
      <c r="D455" s="15">
        <v>1.0</v>
      </c>
      <c r="E455" s="104"/>
      <c r="G455" s="34"/>
      <c r="H455" s="104"/>
      <c r="I455" s="104"/>
      <c r="J455" s="15" t="s">
        <v>2773</v>
      </c>
    </row>
    <row r="456">
      <c r="A456" s="16" t="s">
        <v>2800</v>
      </c>
      <c r="B456" s="16" t="s">
        <v>2773</v>
      </c>
      <c r="D456" s="15">
        <v>1.0</v>
      </c>
      <c r="E456" s="104"/>
      <c r="G456" s="34"/>
      <c r="H456" s="104"/>
      <c r="I456" s="104"/>
      <c r="J456" s="15" t="s">
        <v>2773</v>
      </c>
    </row>
    <row r="457">
      <c r="A457" s="16" t="s">
        <v>2801</v>
      </c>
      <c r="B457" s="16" t="s">
        <v>2773</v>
      </c>
      <c r="D457" s="15">
        <v>1.0</v>
      </c>
      <c r="E457" s="104"/>
      <c r="G457" s="34"/>
      <c r="H457" s="104"/>
      <c r="I457" s="104"/>
      <c r="J457" s="15" t="s">
        <v>2773</v>
      </c>
    </row>
    <row r="458">
      <c r="A458" s="16" t="s">
        <v>2802</v>
      </c>
      <c r="B458" s="16" t="s">
        <v>2773</v>
      </c>
      <c r="D458" s="15">
        <v>1.0</v>
      </c>
      <c r="E458" s="104"/>
      <c r="G458" s="34"/>
      <c r="H458" s="104"/>
      <c r="I458" s="104"/>
      <c r="J458" s="15" t="s">
        <v>2773</v>
      </c>
    </row>
    <row r="459">
      <c r="A459" s="16" t="s">
        <v>2803</v>
      </c>
      <c r="B459" s="16" t="s">
        <v>2773</v>
      </c>
      <c r="D459" s="15">
        <v>1.0</v>
      </c>
      <c r="E459" s="104"/>
      <c r="G459" s="34"/>
      <c r="H459" s="104"/>
      <c r="I459" s="104"/>
      <c r="J459" s="15" t="s">
        <v>2773</v>
      </c>
    </row>
    <row r="460">
      <c r="A460" s="16" t="s">
        <v>2804</v>
      </c>
      <c r="B460" s="16" t="s">
        <v>2773</v>
      </c>
      <c r="D460" s="15">
        <v>1.0</v>
      </c>
      <c r="E460" s="104"/>
      <c r="G460" s="34"/>
      <c r="H460" s="104"/>
      <c r="I460" s="104"/>
      <c r="J460" s="15" t="s">
        <v>2773</v>
      </c>
    </row>
    <row r="461">
      <c r="A461" s="16" t="s">
        <v>2805</v>
      </c>
      <c r="B461" s="16" t="s">
        <v>2773</v>
      </c>
      <c r="D461" s="15">
        <v>1.0</v>
      </c>
      <c r="E461" s="104"/>
      <c r="G461" s="34"/>
      <c r="H461" s="104"/>
      <c r="I461" s="104"/>
      <c r="J461" s="15" t="s">
        <v>2773</v>
      </c>
    </row>
    <row r="462">
      <c r="A462" s="16" t="s">
        <v>2806</v>
      </c>
      <c r="B462" s="16" t="s">
        <v>2773</v>
      </c>
      <c r="D462" s="15">
        <v>1.0</v>
      </c>
      <c r="E462" s="104"/>
      <c r="F462" s="16" t="s">
        <v>2807</v>
      </c>
      <c r="G462" s="34"/>
      <c r="H462" s="104"/>
      <c r="I462" s="104"/>
      <c r="J462" s="15" t="s">
        <v>2773</v>
      </c>
    </row>
    <row r="463">
      <c r="A463" s="16" t="s">
        <v>2808</v>
      </c>
      <c r="B463" s="16" t="s">
        <v>2773</v>
      </c>
      <c r="D463" s="15">
        <v>1.0</v>
      </c>
      <c r="E463" s="104"/>
      <c r="F463" s="16" t="s">
        <v>2809</v>
      </c>
      <c r="G463" s="34"/>
      <c r="H463" s="104"/>
      <c r="I463" s="104"/>
      <c r="J463" s="15" t="s">
        <v>2773</v>
      </c>
    </row>
    <row r="464">
      <c r="A464" s="16" t="s">
        <v>2810</v>
      </c>
      <c r="B464" s="16" t="s">
        <v>22</v>
      </c>
      <c r="C464" s="91" t="s">
        <v>1051</v>
      </c>
      <c r="D464" s="15">
        <v>1.0</v>
      </c>
      <c r="E464" s="104"/>
      <c r="F464" s="16" t="s">
        <v>2811</v>
      </c>
      <c r="G464" s="34"/>
      <c r="H464" s="15">
        <v>1.0</v>
      </c>
      <c r="I464" s="15" t="s">
        <v>1212</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2"/>
    <hyperlink r:id="rId361" ref="L146"/>
    <hyperlink r:id="rId362" ref="M146"/>
    <hyperlink r:id="rId363" ref="N146"/>
    <hyperlink r:id="rId364" ref="O146"/>
    <hyperlink r:id="rId365" ref="P146"/>
    <hyperlink r:id="rId366" ref="Q146"/>
    <hyperlink r:id="rId367" ref="R146"/>
    <hyperlink r:id="rId368" ref="S146"/>
    <hyperlink r:id="rId369" ref="T146"/>
    <hyperlink r:id="rId370" ref="U146"/>
    <hyperlink r:id="rId371" ref="L148"/>
    <hyperlink r:id="rId372" ref="M148"/>
    <hyperlink r:id="rId373" ref="N148"/>
    <hyperlink r:id="rId374" ref="O148"/>
    <hyperlink r:id="rId375" ref="P148"/>
    <hyperlink r:id="rId376" ref="Q148"/>
    <hyperlink r:id="rId377" ref="R148"/>
    <hyperlink r:id="rId378" ref="S148"/>
    <hyperlink r:id="rId379" ref="T148"/>
    <hyperlink r:id="rId380" ref="U148"/>
    <hyperlink r:id="rId381" ref="L150"/>
    <hyperlink r:id="rId382" ref="M150"/>
    <hyperlink r:id="rId383" ref="N150"/>
    <hyperlink r:id="rId384" ref="O150"/>
    <hyperlink r:id="rId385" ref="P150"/>
    <hyperlink r:id="rId386" ref="Q150"/>
    <hyperlink r:id="rId387" ref="R150"/>
    <hyperlink r:id="rId388" ref="S150"/>
    <hyperlink r:id="rId389" ref="T150"/>
    <hyperlink r:id="rId390" ref="U150"/>
    <hyperlink r:id="rId391" ref="L151"/>
    <hyperlink r:id="rId392" ref="M151"/>
    <hyperlink r:id="rId393" ref="N151"/>
    <hyperlink r:id="rId394" ref="O151"/>
    <hyperlink r:id="rId395" ref="P151"/>
    <hyperlink r:id="rId396" ref="Q151"/>
    <hyperlink r:id="rId397" ref="R151"/>
    <hyperlink r:id="rId398" ref="S151"/>
    <hyperlink r:id="rId399" ref="T151"/>
    <hyperlink r:id="rId400" ref="U151"/>
    <hyperlink r:id="rId401" ref="L152"/>
    <hyperlink r:id="rId402" ref="M152"/>
    <hyperlink r:id="rId403" ref="N152"/>
    <hyperlink r:id="rId404" ref="O152"/>
    <hyperlink r:id="rId405" ref="P152"/>
    <hyperlink r:id="rId406" ref="L154"/>
    <hyperlink r:id="rId407" ref="M154"/>
    <hyperlink r:id="rId408" ref="N154"/>
    <hyperlink r:id="rId409" ref="O154"/>
    <hyperlink r:id="rId410" ref="P154"/>
    <hyperlink r:id="rId411" ref="Q154"/>
    <hyperlink r:id="rId412" ref="L155"/>
    <hyperlink r:id="rId413" ref="M155"/>
    <hyperlink r:id="rId414" ref="N155"/>
    <hyperlink r:id="rId415" ref="O155"/>
    <hyperlink r:id="rId416" ref="P155"/>
    <hyperlink r:id="rId417" ref="Q155"/>
    <hyperlink r:id="rId418" ref="R155"/>
    <hyperlink r:id="rId419" ref="L157"/>
    <hyperlink r:id="rId420" ref="M157"/>
    <hyperlink r:id="rId421" ref="N157"/>
    <hyperlink r:id="rId422" ref="O157"/>
    <hyperlink r:id="rId423" ref="P157"/>
    <hyperlink r:id="rId424" ref="Q157"/>
    <hyperlink r:id="rId425" ref="L158"/>
    <hyperlink r:id="rId426" ref="M158"/>
    <hyperlink r:id="rId427" ref="N158"/>
    <hyperlink r:id="rId428" ref="O158"/>
    <hyperlink r:id="rId429" ref="P158"/>
    <hyperlink r:id="rId430" ref="Q158"/>
    <hyperlink r:id="rId431" ref="R158"/>
    <hyperlink r:id="rId432" ref="L159"/>
    <hyperlink r:id="rId433" ref="M159"/>
    <hyperlink r:id="rId434" ref="N159"/>
    <hyperlink r:id="rId435" ref="O159"/>
    <hyperlink r:id="rId436" ref="L161"/>
    <hyperlink r:id="rId437" ref="M161"/>
    <hyperlink r:id="rId438" ref="N161"/>
    <hyperlink r:id="rId439" ref="O161"/>
    <hyperlink r:id="rId440" ref="P161"/>
    <hyperlink r:id="rId441" ref="Q161"/>
    <hyperlink r:id="rId442" ref="R161"/>
    <hyperlink r:id="rId443" ref="S161"/>
    <hyperlink r:id="rId444" ref="T161"/>
    <hyperlink r:id="rId445" ref="U161"/>
    <hyperlink r:id="rId446" ref="L162"/>
    <hyperlink r:id="rId447" ref="M162"/>
    <hyperlink r:id="rId448" ref="N162"/>
    <hyperlink r:id="rId449" ref="O162"/>
    <hyperlink r:id="rId450" ref="P162"/>
    <hyperlink r:id="rId451" ref="Q162"/>
    <hyperlink r:id="rId452" ref="R162"/>
    <hyperlink r:id="rId453" ref="S162"/>
    <hyperlink r:id="rId454" ref="L165"/>
    <hyperlink r:id="rId455" ref="M165"/>
    <hyperlink r:id="rId456" ref="N165"/>
    <hyperlink r:id="rId457" ref="O165"/>
    <hyperlink r:id="rId458" ref="P165"/>
    <hyperlink r:id="rId459" ref="Q165"/>
    <hyperlink r:id="rId460" ref="R165"/>
    <hyperlink r:id="rId461" ref="S165"/>
    <hyperlink r:id="rId462" ref="T165"/>
    <hyperlink r:id="rId463" ref="U165"/>
    <hyperlink r:id="rId464" ref="L166"/>
    <hyperlink r:id="rId465" ref="M166"/>
    <hyperlink r:id="rId466" ref="N166"/>
    <hyperlink r:id="rId467" ref="O166"/>
    <hyperlink r:id="rId468" ref="P166"/>
    <hyperlink r:id="rId469" ref="Q166"/>
    <hyperlink r:id="rId470" ref="R166"/>
    <hyperlink r:id="rId471" ref="S166"/>
    <hyperlink r:id="rId472" ref="T166"/>
    <hyperlink r:id="rId473" ref="U166"/>
    <hyperlink r:id="rId474" ref="L168"/>
    <hyperlink r:id="rId475" ref="M168"/>
    <hyperlink r:id="rId476" ref="N168"/>
    <hyperlink r:id="rId477" ref="O168"/>
    <hyperlink r:id="rId478" ref="P168"/>
    <hyperlink r:id="rId479" ref="Q168"/>
    <hyperlink r:id="rId480" ref="R168"/>
    <hyperlink r:id="rId481" ref="S168"/>
    <hyperlink r:id="rId482" ref="T168"/>
    <hyperlink r:id="rId483" ref="U168"/>
    <hyperlink r:id="rId484" ref="L169"/>
    <hyperlink r:id="rId485" ref="M169"/>
    <hyperlink r:id="rId486" ref="N169"/>
    <hyperlink r:id="rId487" ref="O169"/>
    <hyperlink r:id="rId488" ref="P169"/>
    <hyperlink r:id="rId489" ref="Q169"/>
    <hyperlink r:id="rId490" ref="R169"/>
    <hyperlink r:id="rId491" ref="S169"/>
    <hyperlink r:id="rId492" ref="L175"/>
    <hyperlink r:id="rId493" ref="M175"/>
    <hyperlink r:id="rId494" ref="N175"/>
    <hyperlink r:id="rId495" ref="O175"/>
    <hyperlink r:id="rId496" ref="P175"/>
    <hyperlink r:id="rId497" ref="Q175"/>
    <hyperlink r:id="rId498" ref="L177"/>
    <hyperlink r:id="rId499" ref="M177"/>
    <hyperlink r:id="rId500" ref="N177"/>
    <hyperlink r:id="rId501" ref="L179"/>
    <hyperlink r:id="rId502" ref="M179"/>
    <hyperlink r:id="rId503" ref="N179"/>
    <hyperlink r:id="rId504" ref="O179"/>
    <hyperlink r:id="rId505" ref="P179"/>
    <hyperlink r:id="rId506" ref="Q179"/>
    <hyperlink r:id="rId507" ref="R179"/>
    <hyperlink r:id="rId508" ref="S179"/>
    <hyperlink r:id="rId509" ref="T179"/>
    <hyperlink r:id="rId510" ref="U179"/>
    <hyperlink r:id="rId511" ref="L180"/>
    <hyperlink r:id="rId512" ref="M180"/>
    <hyperlink r:id="rId513" ref="N180"/>
    <hyperlink r:id="rId514" ref="O180"/>
    <hyperlink r:id="rId515" ref="P180"/>
    <hyperlink r:id="rId516" ref="Q180"/>
    <hyperlink r:id="rId517" ref="R180"/>
    <hyperlink r:id="rId518" ref="L182"/>
    <hyperlink r:id="rId519" ref="M182"/>
    <hyperlink r:id="rId520" ref="N182"/>
    <hyperlink r:id="rId521" ref="O182"/>
    <hyperlink r:id="rId522" ref="P182"/>
    <hyperlink r:id="rId523" ref="Q182"/>
    <hyperlink r:id="rId524" ref="R182"/>
    <hyperlink r:id="rId525" ref="L186"/>
    <hyperlink r:id="rId526" ref="M186"/>
    <hyperlink r:id="rId527" ref="N186"/>
    <hyperlink r:id="rId528" ref="O186"/>
    <hyperlink r:id="rId529" ref="P186"/>
    <hyperlink r:id="rId530" ref="Q186"/>
    <hyperlink r:id="rId531" ref="R186"/>
    <hyperlink r:id="rId532" ref="S186"/>
    <hyperlink r:id="rId533" ref="T186"/>
    <hyperlink r:id="rId534" ref="L188"/>
    <hyperlink r:id="rId535" ref="M188"/>
    <hyperlink r:id="rId536" ref="N188"/>
    <hyperlink r:id="rId537" ref="O188"/>
    <hyperlink r:id="rId538" ref="P188"/>
    <hyperlink r:id="rId539" ref="L189"/>
    <hyperlink r:id="rId540" ref="M189"/>
    <hyperlink r:id="rId541" ref="N189"/>
    <hyperlink r:id="rId542" ref="O189"/>
    <hyperlink r:id="rId543" ref="P189"/>
    <hyperlink r:id="rId544" ref="Q189"/>
    <hyperlink r:id="rId545" ref="R189"/>
    <hyperlink r:id="rId546" ref="L190"/>
    <hyperlink r:id="rId547" ref="M190"/>
    <hyperlink r:id="rId548" ref="N190"/>
    <hyperlink r:id="rId549" ref="O190"/>
    <hyperlink r:id="rId550" ref="P190"/>
    <hyperlink r:id="rId551" ref="L191"/>
    <hyperlink r:id="rId552" ref="M191"/>
    <hyperlink r:id="rId553" ref="N191"/>
    <hyperlink r:id="rId554" ref="O191"/>
    <hyperlink r:id="rId555" ref="P191"/>
    <hyperlink r:id="rId556" ref="Q191"/>
    <hyperlink r:id="rId557" ref="L194"/>
    <hyperlink r:id="rId558" ref="M194"/>
    <hyperlink r:id="rId559" ref="N194"/>
    <hyperlink r:id="rId560" ref="O194"/>
    <hyperlink r:id="rId561" ref="P194"/>
    <hyperlink r:id="rId562" ref="L196"/>
    <hyperlink r:id="rId563" ref="M196"/>
    <hyperlink r:id="rId564" ref="N196"/>
    <hyperlink r:id="rId565" ref="O196"/>
    <hyperlink r:id="rId566" ref="P196"/>
    <hyperlink r:id="rId567" ref="Q196"/>
    <hyperlink r:id="rId568" ref="R196"/>
    <hyperlink r:id="rId569" ref="L197"/>
    <hyperlink r:id="rId570" ref="M197"/>
    <hyperlink r:id="rId571" ref="N197"/>
    <hyperlink r:id="rId572" ref="O197"/>
    <hyperlink r:id="rId573" ref="P197"/>
    <hyperlink r:id="rId574" ref="L198"/>
    <hyperlink r:id="rId575" ref="M198"/>
    <hyperlink r:id="rId576" ref="L199"/>
    <hyperlink r:id="rId577" ref="M199"/>
    <hyperlink r:id="rId578" ref="N199"/>
    <hyperlink r:id="rId579" ref="O199"/>
    <hyperlink r:id="rId580" ref="P199"/>
    <hyperlink r:id="rId581" ref="Q199"/>
    <hyperlink r:id="rId582" ref="R199"/>
    <hyperlink r:id="rId583" ref="L200"/>
    <hyperlink r:id="rId584" ref="M200"/>
    <hyperlink r:id="rId585" ref="N200"/>
    <hyperlink r:id="rId586" ref="L203"/>
    <hyperlink r:id="rId587" ref="M203"/>
    <hyperlink r:id="rId588" ref="N203"/>
    <hyperlink r:id="rId589" ref="L205"/>
    <hyperlink r:id="rId590" ref="M205"/>
    <hyperlink r:id="rId591" ref="N205"/>
    <hyperlink r:id="rId592" ref="O205"/>
    <hyperlink r:id="rId593" ref="P205"/>
    <hyperlink r:id="rId594" ref="L208"/>
    <hyperlink r:id="rId595" ref="M208"/>
    <hyperlink r:id="rId596" ref="N208"/>
    <hyperlink r:id="rId597" ref="O208"/>
    <hyperlink r:id="rId598" ref="P208"/>
    <hyperlink r:id="rId599" ref="Q208"/>
    <hyperlink r:id="rId600" ref="R208"/>
    <hyperlink r:id="rId601" ref="S208"/>
    <hyperlink r:id="rId602" ref="L210"/>
    <hyperlink r:id="rId603" ref="M210"/>
    <hyperlink r:id="rId604" ref="N210"/>
    <hyperlink r:id="rId605" ref="O210"/>
    <hyperlink r:id="rId606" ref="P210"/>
    <hyperlink r:id="rId607" ref="Q210"/>
    <hyperlink r:id="rId608" ref="R210"/>
    <hyperlink r:id="rId609" ref="S210"/>
    <hyperlink r:id="rId610" ref="T210"/>
    <hyperlink r:id="rId611" ref="U210"/>
    <hyperlink r:id="rId612" ref="L212"/>
    <hyperlink r:id="rId613" ref="M212"/>
    <hyperlink r:id="rId614" ref="N212"/>
    <hyperlink r:id="rId615" ref="O212"/>
    <hyperlink r:id="rId616" ref="P212"/>
    <hyperlink r:id="rId617" ref="Q212"/>
    <hyperlink r:id="rId618" ref="R212"/>
    <hyperlink r:id="rId619" ref="S212"/>
    <hyperlink r:id="rId620" ref="T212"/>
    <hyperlink r:id="rId621" ref="L214"/>
    <hyperlink r:id="rId622" ref="M214"/>
    <hyperlink r:id="rId623" ref="N214"/>
    <hyperlink r:id="rId624" ref="O214"/>
    <hyperlink r:id="rId625" ref="P214"/>
    <hyperlink r:id="rId626" ref="Q214"/>
    <hyperlink r:id="rId627" ref="R214"/>
    <hyperlink r:id="rId628" ref="S214"/>
    <hyperlink r:id="rId629" ref="L219"/>
    <hyperlink r:id="rId630" ref="M219"/>
    <hyperlink r:id="rId631" ref="N219"/>
    <hyperlink r:id="rId632" ref="O219"/>
    <hyperlink r:id="rId633" ref="P219"/>
    <hyperlink r:id="rId634" ref="L220"/>
    <hyperlink r:id="rId635" ref="M220"/>
    <hyperlink r:id="rId636" ref="N220"/>
    <hyperlink r:id="rId637" ref="O220"/>
    <hyperlink r:id="rId638" ref="L221"/>
    <hyperlink r:id="rId639" ref="M221"/>
    <hyperlink r:id="rId640" ref="N221"/>
    <hyperlink r:id="rId641" ref="O221"/>
    <hyperlink r:id="rId642" ref="P221"/>
    <hyperlink r:id="rId643" ref="Q221"/>
    <hyperlink r:id="rId644" ref="L223"/>
    <hyperlink r:id="rId645" ref="M223"/>
    <hyperlink r:id="rId646" ref="N223"/>
    <hyperlink r:id="rId647" ref="O223"/>
    <hyperlink r:id="rId648" ref="P223"/>
    <hyperlink r:id="rId649" ref="Q223"/>
    <hyperlink r:id="rId650" ref="R223"/>
    <hyperlink r:id="rId651" ref="L224"/>
    <hyperlink r:id="rId652" ref="M224"/>
    <hyperlink r:id="rId653" ref="N224"/>
    <hyperlink r:id="rId654" ref="O224"/>
    <hyperlink r:id="rId655" ref="L229"/>
    <hyperlink r:id="rId656" ref="M229"/>
    <hyperlink r:id="rId657" ref="N229"/>
    <hyperlink r:id="rId658" ref="O229"/>
    <hyperlink r:id="rId659" ref="P229"/>
    <hyperlink r:id="rId660" ref="Q229"/>
    <hyperlink r:id="rId661" ref="L230"/>
    <hyperlink r:id="rId662" ref="M230"/>
    <hyperlink r:id="rId663" ref="N230"/>
    <hyperlink r:id="rId664" ref="O230"/>
    <hyperlink r:id="rId665" ref="P230"/>
    <hyperlink r:id="rId666" ref="Q230"/>
    <hyperlink r:id="rId667" ref="L231"/>
    <hyperlink r:id="rId668" ref="M231"/>
    <hyperlink r:id="rId669" ref="N231"/>
    <hyperlink r:id="rId670" ref="O231"/>
    <hyperlink r:id="rId671" ref="L232"/>
    <hyperlink r:id="rId672" ref="M232"/>
    <hyperlink r:id="rId673" ref="N232"/>
    <hyperlink r:id="rId674" ref="O232"/>
    <hyperlink r:id="rId675" ref="P232"/>
    <hyperlink r:id="rId676" ref="Q232"/>
    <hyperlink r:id="rId677" ref="R232"/>
    <hyperlink r:id="rId678" ref="L233"/>
    <hyperlink r:id="rId679" ref="M233"/>
    <hyperlink r:id="rId680" ref="N233"/>
    <hyperlink r:id="rId681" ref="O233"/>
    <hyperlink r:id="rId682" ref="P233"/>
    <hyperlink r:id="rId683" ref="Q233"/>
    <hyperlink r:id="rId684" ref="R233"/>
    <hyperlink r:id="rId685" ref="S233"/>
    <hyperlink r:id="rId686" ref="T233"/>
    <hyperlink r:id="rId687" ref="L234"/>
    <hyperlink r:id="rId688" ref="M234"/>
    <hyperlink r:id="rId689" ref="N234"/>
    <hyperlink r:id="rId690" ref="L237"/>
    <hyperlink r:id="rId691" ref="M237"/>
    <hyperlink r:id="rId692" ref="N237"/>
    <hyperlink r:id="rId693" ref="O237"/>
    <hyperlink r:id="rId694" ref="P237"/>
    <hyperlink r:id="rId695" ref="L241"/>
    <hyperlink r:id="rId696" ref="M241"/>
    <hyperlink r:id="rId697" ref="N241"/>
    <hyperlink r:id="rId698" ref="O241"/>
    <hyperlink r:id="rId699" ref="P241"/>
    <hyperlink r:id="rId700" ref="Q241"/>
    <hyperlink r:id="rId701" ref="R241"/>
    <hyperlink r:id="rId702" ref="L242"/>
    <hyperlink r:id="rId703" ref="M242"/>
    <hyperlink r:id="rId704" ref="N242"/>
    <hyperlink r:id="rId705" ref="O242"/>
    <hyperlink r:id="rId706" ref="P242"/>
    <hyperlink r:id="rId707" ref="Q242"/>
    <hyperlink r:id="rId708" ref="R242"/>
    <hyperlink r:id="rId709" ref="S242"/>
    <hyperlink r:id="rId710" ref="L243"/>
    <hyperlink r:id="rId711" ref="M243"/>
    <hyperlink r:id="rId712" ref="L245"/>
    <hyperlink r:id="rId713" ref="M245"/>
    <hyperlink r:id="rId714" ref="N245"/>
    <hyperlink r:id="rId715" ref="O245"/>
    <hyperlink r:id="rId716" ref="P245"/>
    <hyperlink r:id="rId717" ref="Q245"/>
    <hyperlink r:id="rId718" ref="L246"/>
    <hyperlink r:id="rId719" ref="M246"/>
    <hyperlink r:id="rId720" ref="N246"/>
    <hyperlink r:id="rId721" ref="L247"/>
    <hyperlink r:id="rId722" ref="M247"/>
    <hyperlink r:id="rId723" ref="N247"/>
    <hyperlink r:id="rId724" ref="O247"/>
    <hyperlink r:id="rId725" ref="L248"/>
    <hyperlink r:id="rId726" ref="M248"/>
    <hyperlink r:id="rId727" ref="N248"/>
    <hyperlink r:id="rId728" ref="O248"/>
    <hyperlink r:id="rId729" ref="P248"/>
    <hyperlink r:id="rId730" ref="L249"/>
    <hyperlink r:id="rId731" ref="M249"/>
    <hyperlink r:id="rId732" ref="N249"/>
    <hyperlink r:id="rId733" ref="O249"/>
    <hyperlink r:id="rId734" ref="P249"/>
    <hyperlink r:id="rId735" ref="L250"/>
    <hyperlink r:id="rId736" ref="M250"/>
    <hyperlink r:id="rId737" ref="N250"/>
    <hyperlink r:id="rId738" ref="O250"/>
    <hyperlink r:id="rId739" ref="P250"/>
    <hyperlink r:id="rId740" ref="L254"/>
    <hyperlink r:id="rId741" ref="M254"/>
    <hyperlink r:id="rId742" ref="N254"/>
    <hyperlink r:id="rId743" ref="O254"/>
    <hyperlink r:id="rId744" ref="P254"/>
    <hyperlink r:id="rId745" ref="L259"/>
    <hyperlink r:id="rId746" ref="M259"/>
    <hyperlink r:id="rId747" ref="N259"/>
    <hyperlink r:id="rId748" ref="O259"/>
    <hyperlink r:id="rId749" ref="P259"/>
    <hyperlink r:id="rId750" ref="L262"/>
    <hyperlink r:id="rId751" ref="M262"/>
    <hyperlink r:id="rId752" ref="N262"/>
    <hyperlink r:id="rId753" ref="O262"/>
    <hyperlink r:id="rId754" ref="P262"/>
    <hyperlink r:id="rId755" ref="L263"/>
    <hyperlink r:id="rId756" ref="M263"/>
    <hyperlink r:id="rId757" ref="N263"/>
    <hyperlink r:id="rId758" ref="O263"/>
    <hyperlink r:id="rId759" ref="P263"/>
    <hyperlink r:id="rId760" ref="L264"/>
    <hyperlink r:id="rId761" ref="M264"/>
    <hyperlink r:id="rId762" ref="N264"/>
    <hyperlink r:id="rId763" ref="O264"/>
    <hyperlink r:id="rId764" ref="P264"/>
    <hyperlink r:id="rId765" ref="Q264"/>
    <hyperlink r:id="rId766" ref="R264"/>
    <hyperlink r:id="rId767" ref="L266"/>
    <hyperlink r:id="rId768" ref="M266"/>
    <hyperlink r:id="rId769" ref="N266"/>
    <hyperlink r:id="rId770" ref="O266"/>
    <hyperlink r:id="rId771" ref="P266"/>
    <hyperlink r:id="rId772" ref="Q266"/>
    <hyperlink r:id="rId773" ref="R266"/>
    <hyperlink r:id="rId774" ref="L270"/>
    <hyperlink r:id="rId775" ref="M270"/>
    <hyperlink r:id="rId776" ref="N270"/>
    <hyperlink r:id="rId777" ref="O270"/>
    <hyperlink r:id="rId778" ref="P270"/>
    <hyperlink r:id="rId779" ref="Q270"/>
    <hyperlink r:id="rId780" ref="R270"/>
    <hyperlink r:id="rId781" ref="S270"/>
    <hyperlink r:id="rId782" ref="T270"/>
    <hyperlink r:id="rId783" ref="L273"/>
    <hyperlink r:id="rId784" ref="M273"/>
    <hyperlink r:id="rId785" ref="N273"/>
    <hyperlink r:id="rId786" ref="O273"/>
    <hyperlink r:id="rId787" ref="P273"/>
    <hyperlink r:id="rId788" ref="Q273"/>
    <hyperlink r:id="rId789" ref="L277"/>
    <hyperlink r:id="rId790" ref="M277"/>
    <hyperlink r:id="rId791" ref="N277"/>
    <hyperlink r:id="rId792" ref="O277"/>
    <hyperlink r:id="rId793" ref="L278"/>
    <hyperlink r:id="rId794" ref="M278"/>
    <hyperlink r:id="rId795" ref="N278"/>
    <hyperlink r:id="rId796" ref="L279"/>
    <hyperlink r:id="rId797" ref="M279"/>
    <hyperlink r:id="rId798" ref="L281"/>
    <hyperlink r:id="rId799" ref="M281"/>
    <hyperlink r:id="rId800" ref="N281"/>
    <hyperlink r:id="rId801" ref="L282"/>
    <hyperlink r:id="rId802" ref="M282"/>
    <hyperlink r:id="rId803" ref="N282"/>
    <hyperlink r:id="rId804" ref="O282"/>
    <hyperlink r:id="rId805" ref="P282"/>
    <hyperlink r:id="rId806" ref="Q282"/>
    <hyperlink r:id="rId807" ref="L284"/>
    <hyperlink r:id="rId808" ref="M284"/>
    <hyperlink r:id="rId809" ref="N284"/>
    <hyperlink r:id="rId810" ref="O284"/>
    <hyperlink r:id="rId811" ref="P284"/>
    <hyperlink r:id="rId812" ref="L294"/>
    <hyperlink r:id="rId813" ref="M294"/>
    <hyperlink r:id="rId814" ref="N294"/>
    <hyperlink r:id="rId815" ref="O294"/>
    <hyperlink r:id="rId816" ref="L296"/>
    <hyperlink r:id="rId817" ref="M296"/>
    <hyperlink r:id="rId818" ref="N296"/>
    <hyperlink r:id="rId819" ref="O296"/>
    <hyperlink r:id="rId820" ref="L298"/>
    <hyperlink r:id="rId821" ref="M298"/>
    <hyperlink r:id="rId822" ref="N298"/>
    <hyperlink r:id="rId823" ref="O298"/>
    <hyperlink r:id="rId824" ref="P298"/>
    <hyperlink r:id="rId825" ref="L299"/>
    <hyperlink r:id="rId826" ref="M299"/>
    <hyperlink r:id="rId827" ref="N299"/>
    <hyperlink r:id="rId828" ref="O299"/>
    <hyperlink r:id="rId829" ref="P299"/>
    <hyperlink r:id="rId830" ref="Q299"/>
    <hyperlink r:id="rId831" ref="R299"/>
    <hyperlink r:id="rId832" ref="L304"/>
    <hyperlink r:id="rId833" ref="M304"/>
    <hyperlink r:id="rId834" ref="N304"/>
    <hyperlink r:id="rId835" ref="L305"/>
    <hyperlink r:id="rId836" ref="M305"/>
    <hyperlink r:id="rId837" ref="N305"/>
    <hyperlink r:id="rId838" ref="L307"/>
    <hyperlink r:id="rId839" ref="M307"/>
    <hyperlink r:id="rId840" ref="N307"/>
    <hyperlink r:id="rId841" ref="O307"/>
    <hyperlink r:id="rId842" ref="P307"/>
    <hyperlink r:id="rId843" ref="Q307"/>
    <hyperlink r:id="rId844" ref="R307"/>
    <hyperlink r:id="rId845" ref="S307"/>
    <hyperlink r:id="rId846" ref="T307"/>
    <hyperlink r:id="rId847" ref="U307"/>
    <hyperlink r:id="rId848" ref="L308"/>
    <hyperlink r:id="rId849" ref="M308"/>
    <hyperlink r:id="rId850" ref="N308"/>
    <hyperlink r:id="rId851" ref="L311"/>
    <hyperlink r:id="rId852" ref="M311"/>
    <hyperlink r:id="rId853" ref="N311"/>
    <hyperlink r:id="rId854" ref="O311"/>
    <hyperlink r:id="rId855" ref="L312"/>
    <hyperlink r:id="rId856" ref="M312"/>
    <hyperlink r:id="rId857" ref="N312"/>
    <hyperlink r:id="rId858" ref="O312"/>
    <hyperlink r:id="rId859" ref="P312"/>
    <hyperlink r:id="rId860" ref="L313"/>
    <hyperlink r:id="rId861" ref="M313"/>
    <hyperlink r:id="rId862" ref="N313"/>
    <hyperlink r:id="rId863" ref="L314"/>
    <hyperlink r:id="rId864" ref="M314"/>
    <hyperlink r:id="rId865" ref="N314"/>
    <hyperlink r:id="rId866" ref="O314"/>
    <hyperlink r:id="rId867" ref="P314"/>
    <hyperlink r:id="rId868" ref="Q314"/>
    <hyperlink r:id="rId869" ref="R314"/>
    <hyperlink r:id="rId870" ref="S314"/>
    <hyperlink r:id="rId871" ref="T314"/>
    <hyperlink r:id="rId872" ref="U314"/>
    <hyperlink r:id="rId873" ref="L316"/>
    <hyperlink r:id="rId874" ref="M316"/>
    <hyperlink r:id="rId875" ref="N316"/>
    <hyperlink r:id="rId876" ref="O316"/>
    <hyperlink r:id="rId877" ref="P316"/>
    <hyperlink r:id="rId878" ref="Q316"/>
    <hyperlink r:id="rId879" ref="L322"/>
    <hyperlink r:id="rId880" ref="M322"/>
    <hyperlink r:id="rId881" ref="N322"/>
    <hyperlink r:id="rId882" ref="O322"/>
    <hyperlink r:id="rId883" ref="L323"/>
    <hyperlink r:id="rId884" ref="M323"/>
    <hyperlink r:id="rId885" ref="L324"/>
    <hyperlink r:id="rId886" ref="M324"/>
    <hyperlink r:id="rId887" ref="N324"/>
    <hyperlink r:id="rId888" ref="O324"/>
    <hyperlink r:id="rId889" ref="L326"/>
    <hyperlink r:id="rId890" ref="M326"/>
    <hyperlink r:id="rId891" ref="N326"/>
    <hyperlink r:id="rId892" ref="O326"/>
    <hyperlink r:id="rId893" ref="P326"/>
    <hyperlink r:id="rId894" ref="Q326"/>
    <hyperlink r:id="rId895" ref="L328"/>
    <hyperlink r:id="rId896" ref="M328"/>
    <hyperlink r:id="rId897" ref="N328"/>
    <hyperlink r:id="rId898" ref="O328"/>
    <hyperlink r:id="rId899" ref="P328"/>
    <hyperlink r:id="rId900" ref="Q328"/>
    <hyperlink r:id="rId901" ref="L329"/>
    <hyperlink r:id="rId902" ref="M329"/>
    <hyperlink r:id="rId903" ref="N329"/>
    <hyperlink r:id="rId904" ref="O329"/>
    <hyperlink r:id="rId905" ref="P329"/>
    <hyperlink r:id="rId906" ref="L330"/>
    <hyperlink r:id="rId907" ref="M330"/>
    <hyperlink r:id="rId908" ref="N330"/>
    <hyperlink r:id="rId909" ref="O330"/>
    <hyperlink r:id="rId910" ref="P330"/>
    <hyperlink r:id="rId911" ref="L335"/>
    <hyperlink r:id="rId912" ref="M335"/>
    <hyperlink r:id="rId913" ref="N335"/>
    <hyperlink r:id="rId914" ref="L339"/>
    <hyperlink r:id="rId915" ref="M339"/>
    <hyperlink r:id="rId916" ref="N339"/>
    <hyperlink r:id="rId917" ref="O339"/>
    <hyperlink r:id="rId918" ref="P339"/>
    <hyperlink r:id="rId919" ref="Q339"/>
    <hyperlink r:id="rId920" ref="R339"/>
    <hyperlink r:id="rId921" ref="S339"/>
    <hyperlink r:id="rId922" ref="L344"/>
    <hyperlink r:id="rId923" ref="M344"/>
    <hyperlink r:id="rId924" ref="N344"/>
    <hyperlink r:id="rId925" ref="O344"/>
    <hyperlink r:id="rId926" ref="P344"/>
    <hyperlink r:id="rId927" ref="Q344"/>
    <hyperlink r:id="rId928" ref="R344"/>
    <hyperlink r:id="rId929" ref="S344"/>
    <hyperlink r:id="rId930" ref="L346"/>
    <hyperlink r:id="rId931" ref="M346"/>
    <hyperlink r:id="rId932" ref="N346"/>
    <hyperlink r:id="rId933" ref="L347"/>
    <hyperlink r:id="rId934" ref="M347"/>
    <hyperlink r:id="rId935" ref="N347"/>
    <hyperlink r:id="rId936" ref="O347"/>
    <hyperlink r:id="rId937" ref="P347"/>
    <hyperlink r:id="rId938" ref="L348"/>
    <hyperlink r:id="rId939" ref="M348"/>
    <hyperlink r:id="rId940" ref="N348"/>
    <hyperlink r:id="rId941" ref="O348"/>
    <hyperlink r:id="rId942" ref="P348"/>
    <hyperlink r:id="rId943" ref="Q348"/>
    <hyperlink r:id="rId944" ref="R348"/>
    <hyperlink r:id="rId945" ref="L349"/>
    <hyperlink r:id="rId946" ref="M349"/>
    <hyperlink r:id="rId947" ref="N349"/>
    <hyperlink r:id="rId948" ref="O349"/>
    <hyperlink r:id="rId949" ref="P349"/>
    <hyperlink r:id="rId950" ref="Q349"/>
    <hyperlink r:id="rId951" ref="R349"/>
    <hyperlink r:id="rId952" ref="L350"/>
    <hyperlink r:id="rId953" ref="L351"/>
    <hyperlink r:id="rId954" ref="M351"/>
    <hyperlink r:id="rId955" ref="N351"/>
    <hyperlink r:id="rId956" ref="O351"/>
    <hyperlink r:id="rId957" ref="L352"/>
    <hyperlink r:id="rId958" ref="M352"/>
    <hyperlink r:id="rId959" ref="L353"/>
    <hyperlink r:id="rId960" ref="M353"/>
    <hyperlink r:id="rId961" ref="N353"/>
    <hyperlink r:id="rId962" ref="O353"/>
    <hyperlink r:id="rId963" ref="L354"/>
    <hyperlink r:id="rId964" ref="M354"/>
    <hyperlink r:id="rId965" ref="N354"/>
    <hyperlink r:id="rId966" ref="O354"/>
    <hyperlink r:id="rId967" ref="P354"/>
    <hyperlink r:id="rId968" ref="Q354"/>
    <hyperlink r:id="rId969" ref="L355"/>
    <hyperlink r:id="rId970" ref="M355"/>
    <hyperlink r:id="rId971" ref="N355"/>
    <hyperlink r:id="rId972" ref="L356"/>
    <hyperlink r:id="rId973" ref="M356"/>
    <hyperlink r:id="rId974" ref="L357"/>
    <hyperlink r:id="rId975" ref="M357"/>
    <hyperlink r:id="rId976" ref="N357"/>
    <hyperlink r:id="rId977" ref="O357"/>
    <hyperlink r:id="rId978" ref="L358"/>
    <hyperlink r:id="rId979" ref="M358"/>
    <hyperlink r:id="rId980" ref="N358"/>
    <hyperlink r:id="rId981" ref="O358"/>
    <hyperlink r:id="rId982" ref="P358"/>
    <hyperlink r:id="rId983" ref="Q358"/>
    <hyperlink r:id="rId984" ref="R358"/>
    <hyperlink r:id="rId985" ref="S358"/>
    <hyperlink r:id="rId986" ref="T358"/>
    <hyperlink r:id="rId987" ref="L359"/>
    <hyperlink r:id="rId988" ref="M359"/>
    <hyperlink r:id="rId989" ref="N359"/>
    <hyperlink r:id="rId990" ref="O359"/>
    <hyperlink r:id="rId991" ref="P359"/>
    <hyperlink r:id="rId992" ref="Q359"/>
    <hyperlink r:id="rId993" ref="L360"/>
    <hyperlink r:id="rId994" ref="M360"/>
    <hyperlink r:id="rId995" ref="N360"/>
    <hyperlink r:id="rId996" ref="O360"/>
    <hyperlink r:id="rId997" ref="P360"/>
    <hyperlink r:id="rId998" ref="Q360"/>
    <hyperlink r:id="rId999" ref="R360"/>
    <hyperlink r:id="rId1000" ref="S360"/>
    <hyperlink r:id="rId1001" ref="L361"/>
    <hyperlink r:id="rId1002" ref="M361"/>
    <hyperlink r:id="rId1003" ref="N361"/>
    <hyperlink r:id="rId1004" ref="O361"/>
    <hyperlink r:id="rId1005" ref="P361"/>
    <hyperlink r:id="rId1006" ref="L407"/>
    <hyperlink r:id="rId1007" ref="M407"/>
    <hyperlink r:id="rId1008" ref="N407"/>
    <hyperlink r:id="rId1009" ref="O407"/>
    <hyperlink r:id="rId1010" ref="L408"/>
    <hyperlink r:id="rId1011" ref="M408"/>
    <hyperlink r:id="rId1012" ref="N408"/>
    <hyperlink r:id="rId1013" ref="O408"/>
    <hyperlink r:id="rId1014" ref="P408"/>
    <hyperlink r:id="rId1015" ref="Q408"/>
    <hyperlink r:id="rId1016" ref="R408"/>
    <hyperlink r:id="rId1017" ref="S408"/>
    <hyperlink r:id="rId1018" ref="L409"/>
    <hyperlink r:id="rId1019" ref="M409"/>
    <hyperlink r:id="rId1020" ref="N409"/>
    <hyperlink r:id="rId1021" ref="L410"/>
    <hyperlink r:id="rId1022" ref="M410"/>
    <hyperlink r:id="rId1023" ref="L411"/>
    <hyperlink r:id="rId1024" ref="M411"/>
    <hyperlink r:id="rId1025" ref="N411"/>
    <hyperlink r:id="rId1026" ref="O411"/>
    <hyperlink r:id="rId1027" ref="P411"/>
    <hyperlink r:id="rId1028" ref="L412"/>
    <hyperlink r:id="rId1029" ref="M412"/>
    <hyperlink r:id="rId1030" ref="N412"/>
    <hyperlink r:id="rId1031" ref="O412"/>
    <hyperlink r:id="rId1032" ref="P412"/>
    <hyperlink r:id="rId1033" ref="Q412"/>
    <hyperlink r:id="rId1034" ref="L413"/>
    <hyperlink r:id="rId1035" ref="M413"/>
    <hyperlink r:id="rId1036" ref="N413"/>
    <hyperlink r:id="rId1037" ref="O413"/>
    <hyperlink r:id="rId1038" ref="P413"/>
    <hyperlink r:id="rId1039" ref="Q413"/>
    <hyperlink r:id="rId1040" ref="L414"/>
    <hyperlink r:id="rId1041" ref="M414"/>
    <hyperlink r:id="rId1042" ref="N414"/>
    <hyperlink r:id="rId1043" ref="O414"/>
    <hyperlink r:id="rId1044" ref="P414"/>
    <hyperlink r:id="rId1045" ref="Q414"/>
    <hyperlink r:id="rId1046" ref="L415"/>
    <hyperlink r:id="rId1047" ref="M415"/>
    <hyperlink r:id="rId1048" ref="N415"/>
    <hyperlink r:id="rId1049" ref="L416"/>
    <hyperlink r:id="rId1050" ref="M416"/>
    <hyperlink r:id="rId1051" ref="N416"/>
    <hyperlink r:id="rId1052" ref="O416"/>
    <hyperlink r:id="rId1053" ref="P416"/>
    <hyperlink r:id="rId1054" ref="Q416"/>
    <hyperlink r:id="rId1055" ref="R416"/>
    <hyperlink r:id="rId1056" ref="S416"/>
    <hyperlink r:id="rId1057" ref="L417"/>
    <hyperlink r:id="rId1058" ref="M417"/>
    <hyperlink r:id="rId1059" ref="L418"/>
    <hyperlink r:id="rId1060" ref="M418"/>
    <hyperlink r:id="rId1061" ref="N418"/>
    <hyperlink r:id="rId1062" ref="O418"/>
    <hyperlink r:id="rId1063" ref="P418"/>
    <hyperlink r:id="rId1064" ref="L419"/>
    <hyperlink r:id="rId1065" ref="M419"/>
    <hyperlink r:id="rId1066" ref="N419"/>
    <hyperlink r:id="rId1067" ref="O419"/>
    <hyperlink r:id="rId1068" ref="P419"/>
    <hyperlink r:id="rId1069" ref="Q419"/>
    <hyperlink r:id="rId1070" ref="R419"/>
    <hyperlink r:id="rId1071" ref="L420"/>
    <hyperlink r:id="rId1072" ref="M420"/>
    <hyperlink r:id="rId1073" ref="N420"/>
    <hyperlink r:id="rId1074" ref="O420"/>
    <hyperlink r:id="rId1075" ref="P420"/>
    <hyperlink r:id="rId1076" ref="Q420"/>
    <hyperlink r:id="rId1077" ref="R420"/>
    <hyperlink r:id="rId1078" ref="S420"/>
    <hyperlink r:id="rId1079" ref="L421"/>
    <hyperlink r:id="rId1080" ref="N421"/>
    <hyperlink r:id="rId1081" ref="O421"/>
    <hyperlink r:id="rId1082" ref="P421"/>
    <hyperlink r:id="rId1083" ref="Q421"/>
    <hyperlink r:id="rId1084" ref="L422"/>
    <hyperlink r:id="rId1085" ref="M422"/>
    <hyperlink r:id="rId1086" ref="N422"/>
    <hyperlink r:id="rId1087" ref="O422"/>
    <hyperlink r:id="rId1088" ref="L423"/>
    <hyperlink r:id="rId1089" ref="M423"/>
    <hyperlink r:id="rId1090" ref="N423"/>
    <hyperlink r:id="rId1091" ref="L424"/>
    <hyperlink r:id="rId1092" ref="M424"/>
    <hyperlink r:id="rId1093" ref="N424"/>
    <hyperlink r:id="rId1094" ref="O424"/>
    <hyperlink r:id="rId1095" ref="L425"/>
    <hyperlink r:id="rId1096" ref="M425"/>
    <hyperlink r:id="rId1097" ref="N425"/>
    <hyperlink r:id="rId1098" ref="L426"/>
    <hyperlink r:id="rId1099" ref="M426"/>
    <hyperlink r:id="rId1100" ref="N426"/>
    <hyperlink r:id="rId1101" ref="L427"/>
    <hyperlink r:id="rId1102" ref="M427"/>
    <hyperlink r:id="rId1103" ref="N427"/>
    <hyperlink r:id="rId1104" ref="O427"/>
    <hyperlink r:id="rId1105" ref="L428"/>
    <hyperlink r:id="rId1106" ref="M428"/>
    <hyperlink r:id="rId1107" ref="N428"/>
    <hyperlink r:id="rId1108" ref="L429"/>
    <hyperlink r:id="rId1109" ref="M429"/>
    <hyperlink r:id="rId1110" ref="N429"/>
    <hyperlink r:id="rId1111" ref="O429"/>
    <hyperlink r:id="rId1112" ref="L430"/>
    <hyperlink r:id="rId1113" ref="M430"/>
    <hyperlink r:id="rId1114" ref="N430"/>
    <hyperlink r:id="rId1115" ref="O430"/>
    <hyperlink r:id="rId1116" ref="P430"/>
    <hyperlink r:id="rId1117" ref="Q430"/>
    <hyperlink r:id="rId1118" ref="R430"/>
    <hyperlink r:id="rId1119" ref="S430"/>
    <hyperlink r:id="rId1120" ref="L431"/>
    <hyperlink r:id="rId1121" ref="M431"/>
    <hyperlink r:id="rId1122" ref="N431"/>
    <hyperlink r:id="rId1123" ref="L432"/>
    <hyperlink r:id="rId1124" ref="M432"/>
    <hyperlink r:id="rId1125" ref="L433"/>
    <hyperlink r:id="rId1126" ref="M433"/>
    <hyperlink r:id="rId1127" ref="N433"/>
    <hyperlink r:id="rId1128" ref="O433"/>
    <hyperlink r:id="rId1129" ref="P433"/>
    <hyperlink r:id="rId1130" ref="Q433"/>
    <hyperlink r:id="rId1131" ref="R433"/>
    <hyperlink r:id="rId1132" ref="S433"/>
    <hyperlink r:id="rId1133" ref="L434"/>
    <hyperlink r:id="rId1134" ref="M434"/>
    <hyperlink r:id="rId1135" ref="L435"/>
    <hyperlink r:id="rId1136" ref="M435"/>
    <hyperlink r:id="rId1137" ref="L436"/>
    <hyperlink r:id="rId1138" ref="M436"/>
    <hyperlink r:id="rId1139" ref="N436"/>
    <hyperlink r:id="rId1140" ref="O436"/>
  </hyperlinks>
  <drawing r:id="rId11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2812</v>
      </c>
    </row>
    <row r="2">
      <c r="A2" s="16" t="s">
        <v>2813</v>
      </c>
      <c r="B2" s="16" t="s">
        <v>2814</v>
      </c>
    </row>
    <row r="3">
      <c r="A3" s="16" t="s">
        <v>2815</v>
      </c>
      <c r="B3" s="16" t="s">
        <v>2816</v>
      </c>
    </row>
    <row r="4">
      <c r="A4" s="16" t="s">
        <v>2817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2818</v>
      </c>
      <c r="B1" s="112"/>
      <c r="C1" s="113" t="s">
        <v>2819</v>
      </c>
      <c r="D1" s="114" t="s">
        <v>2820</v>
      </c>
      <c r="E1" s="114" t="s">
        <v>28</v>
      </c>
      <c r="F1" s="114" t="s">
        <v>72</v>
      </c>
      <c r="G1" s="115" t="s">
        <v>34</v>
      </c>
      <c r="H1" s="28"/>
      <c r="I1" s="116" t="s">
        <v>2821</v>
      </c>
      <c r="J1" s="116" t="s">
        <v>2822</v>
      </c>
      <c r="K1" s="116" t="s">
        <v>2823</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2824</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1051</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2825</v>
      </c>
      <c r="B5" s="118"/>
      <c r="C5" s="127" t="s">
        <v>1549</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1935</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2826</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2827</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2828</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2829</v>
      </c>
      <c r="C10" s="133" t="s">
        <v>1884</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2830</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2831</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2832</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2833</v>
      </c>
      <c r="J13" s="137">
        <f>ROUND(AVERAGE('Extended Card Stats'!H:H),2)</f>
        <v>3.22</v>
      </c>
      <c r="K13" s="137">
        <f>ROUND(AVERAGE('Extended Card Stats'!K:K),2)</f>
        <v>2.84</v>
      </c>
    </row>
    <row r="14">
      <c r="B14" s="132" t="s">
        <v>2834</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2835</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2836</v>
      </c>
      <c r="C16" s="133" t="s">
        <v>1417</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2837</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2838</v>
      </c>
      <c r="C18" s="139" t="s">
        <v>1477</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2839</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2840</v>
      </c>
      <c r="K20" s="146" t="s">
        <v>2841</v>
      </c>
      <c r="L20" s="147" t="s">
        <v>2842</v>
      </c>
      <c r="M20" s="148" t="s">
        <v>2843</v>
      </c>
      <c r="N20" s="149" t="s">
        <v>2844</v>
      </c>
      <c r="O20" s="150" t="s">
        <v>2845</v>
      </c>
      <c r="Q20" s="142" t="s">
        <v>2846</v>
      </c>
      <c r="R20" s="151" t="s">
        <v>28</v>
      </c>
      <c r="S20" s="151" t="s">
        <v>72</v>
      </c>
      <c r="T20" s="151" t="s">
        <v>34</v>
      </c>
      <c r="U20" s="152" t="s">
        <v>2847</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2848</v>
      </c>
      <c r="C24" s="151" t="s">
        <v>28</v>
      </c>
      <c r="D24" s="151" t="s">
        <v>72</v>
      </c>
      <c r="E24" s="151" t="s">
        <v>34</v>
      </c>
      <c r="F24" s="152" t="s">
        <v>2847</v>
      </c>
      <c r="G24" s="166" t="s">
        <v>2849</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2850</v>
      </c>
      <c r="B45" s="142" t="s">
        <v>2851</v>
      </c>
      <c r="C45" s="181" t="s">
        <v>2852</v>
      </c>
      <c r="D45" s="151" t="s">
        <v>28</v>
      </c>
      <c r="E45" s="151" t="s">
        <v>72</v>
      </c>
      <c r="F45" s="151" t="s">
        <v>34</v>
      </c>
      <c r="G45" s="151" t="s">
        <v>2847</v>
      </c>
      <c r="H45" s="166" t="s">
        <v>2849</v>
      </c>
    </row>
    <row r="46">
      <c r="A46" s="16" t="s">
        <v>2853</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2854</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2855</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2856</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2857</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2858</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2859</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2860</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2861</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2862</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2863</v>
      </c>
      <c r="B1" s="185" t="s">
        <v>2864</v>
      </c>
      <c r="C1" s="185" t="s">
        <v>2865</v>
      </c>
      <c r="D1" s="186" t="s">
        <v>2866</v>
      </c>
      <c r="E1" s="186" t="s">
        <v>2865</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2867</v>
      </c>
      <c r="E3" s="20">
        <v>30.0</v>
      </c>
    </row>
    <row r="4">
      <c r="A4" s="182"/>
      <c r="B4" s="187" t="str">
        <f>IFERROR(__xludf.DUMMYFUNCTION("""COMPUTED_VALUE"""),"Alabaster")</f>
        <v>Alabaster</v>
      </c>
      <c r="C4" s="187">
        <f t="shared" si="1"/>
        <v>1</v>
      </c>
      <c r="D4" s="20" t="s">
        <v>2868</v>
      </c>
      <c r="E4" s="20">
        <v>30.0</v>
      </c>
    </row>
    <row r="5">
      <c r="A5" s="182"/>
      <c r="B5" s="187" t="str">
        <f>IFERROR(__xludf.DUMMYFUNCTION("""COMPUTED_VALUE"""),"Exarch")</f>
        <v>Exarch</v>
      </c>
      <c r="C5" s="187">
        <f t="shared" si="1"/>
        <v>1</v>
      </c>
      <c r="D5" s="20" t="s">
        <v>2773</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2830</v>
      </c>
      <c r="E8" s="20">
        <v>5.0</v>
      </c>
    </row>
    <row r="9">
      <c r="A9" s="182"/>
      <c r="B9" s="187" t="str">
        <f>IFERROR(__xludf.DUMMYFUNCTION("""COMPUTED_VALUE"""),"Force")</f>
        <v>Force</v>
      </c>
      <c r="C9" s="187">
        <f t="shared" si="1"/>
        <v>1</v>
      </c>
      <c r="D9" s="20" t="s">
        <v>2838</v>
      </c>
      <c r="E9" s="20">
        <v>5.0</v>
      </c>
    </row>
    <row r="10">
      <c r="A10" s="182"/>
      <c r="B10" s="187" t="str">
        <f>IFERROR(__xludf.DUMMYFUNCTION("""COMPUTED_VALUE"""),"Baby")</f>
        <v>Baby</v>
      </c>
      <c r="C10" s="187">
        <f t="shared" si="1"/>
        <v>1</v>
      </c>
      <c r="D10" s="20" t="s">
        <v>2869</v>
      </c>
      <c r="E10" s="20">
        <v>5.0</v>
      </c>
    </row>
    <row r="11">
      <c r="A11" s="182"/>
      <c r="B11" s="187" t="str">
        <f>IFERROR(__xludf.DUMMYFUNCTION("""COMPUTED_VALUE"""),"Lamassu")</f>
        <v>Lamassu</v>
      </c>
      <c r="C11" s="187">
        <f t="shared" si="1"/>
        <v>1</v>
      </c>
      <c r="D11" s="20" t="s">
        <v>2870</v>
      </c>
      <c r="E11" s="20">
        <v>4.0</v>
      </c>
    </row>
    <row r="12">
      <c r="A12" s="182" t="str">
        <f>IFERROR(__xludf.DUMMYFUNCTION("""COMPUTED_VALUE"""),"Ascendant")</f>
        <v>Ascendant</v>
      </c>
      <c r="B12" s="187" t="str">
        <f>IFERROR(__xludf.DUMMYFUNCTION("""COMPUTED_VALUE"""),"Blackmarble")</f>
        <v>Blackmarble</v>
      </c>
      <c r="C12" s="187">
        <f t="shared" si="1"/>
        <v>1</v>
      </c>
      <c r="D12" s="20" t="s">
        <v>2871</v>
      </c>
      <c r="E12" s="20">
        <v>4.0</v>
      </c>
    </row>
    <row r="13">
      <c r="A13" s="182" t="str">
        <f>IFERROR(__xludf.DUMMYFUNCTION("""COMPUTED_VALUE"""),"Faithweaver")</f>
        <v>Faithweaver</v>
      </c>
      <c r="B13" s="187" t="str">
        <f>IFERROR(__xludf.DUMMYFUNCTION("""COMPUTED_VALUE"""),"Gargoyle")</f>
        <v>Gargoyle</v>
      </c>
      <c r="C13" s="187">
        <f t="shared" si="1"/>
        <v>1</v>
      </c>
      <c r="D13" s="20" t="s">
        <v>2828</v>
      </c>
      <c r="E13" s="20">
        <v>4.0</v>
      </c>
    </row>
    <row r="14">
      <c r="A14" s="182"/>
      <c r="B14" s="187" t="str">
        <f>IFERROR(__xludf.DUMMYFUNCTION("""COMPUTED_VALUE"""),"Chronosand")</f>
        <v>Chronosand</v>
      </c>
      <c r="C14" s="187">
        <f t="shared" si="1"/>
        <v>1</v>
      </c>
      <c r="D14" s="20" t="s">
        <v>2872</v>
      </c>
      <c r="E14" s="20">
        <v>4.0</v>
      </c>
    </row>
    <row r="15">
      <c r="A15" s="182"/>
      <c r="B15" s="187" t="str">
        <f>IFERROR(__xludf.DUMMYFUNCTION("""COMPUTED_VALUE"""),"Sphinx")</f>
        <v>Sphinx</v>
      </c>
      <c r="C15" s="187">
        <f t="shared" si="1"/>
        <v>2</v>
      </c>
      <c r="D15" s="20" t="s">
        <v>2835</v>
      </c>
      <c r="E15" s="20">
        <v>4.0</v>
      </c>
    </row>
    <row r="16">
      <c r="A16" s="182"/>
      <c r="B16" s="187" t="str">
        <f>IFERROR(__xludf.DUMMYFUNCTION("""COMPUTED_VALUE"""),"Crusader")</f>
        <v>Crusader</v>
      </c>
      <c r="C16" s="187">
        <f t="shared" si="1"/>
        <v>7</v>
      </c>
      <c r="D16" s="20" t="s">
        <v>2834</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2873</v>
      </c>
      <c r="E18" s="20">
        <v>3.0</v>
      </c>
    </row>
    <row r="19">
      <c r="A19" s="182"/>
      <c r="B19" s="187" t="str">
        <f>IFERROR(__xludf.DUMMYFUNCTION("""COMPUTED_VALUE"""),"Desert")</f>
        <v>Desert</v>
      </c>
      <c r="C19" s="187">
        <f t="shared" si="1"/>
        <v>2</v>
      </c>
      <c r="D19" s="20" t="s">
        <v>2874</v>
      </c>
      <c r="E19" s="20">
        <v>3.0</v>
      </c>
    </row>
    <row r="20">
      <c r="A20" s="182"/>
      <c r="B20" s="187" t="str">
        <f>IFERROR(__xludf.DUMMYFUNCTION("""COMPUTED_VALUE"""),"Winds")</f>
        <v>Winds</v>
      </c>
      <c r="C20" s="187">
        <f t="shared" si="1"/>
        <v>1</v>
      </c>
      <c r="D20" s="20" t="s">
        <v>2875</v>
      </c>
      <c r="E20" s="20">
        <v>3.0</v>
      </c>
    </row>
    <row r="21">
      <c r="A21" s="182"/>
      <c r="B21" s="187" t="str">
        <f>IFERROR(__xludf.DUMMYFUNCTION("""COMPUTED_VALUE"""),"Cryptosphinx")</f>
        <v>Cryptosphinx</v>
      </c>
      <c r="C21" s="187">
        <f t="shared" si="1"/>
        <v>1</v>
      </c>
      <c r="D21" s="20" t="s">
        <v>2876</v>
      </c>
      <c r="E21" s="20">
        <v>3.0</v>
      </c>
    </row>
    <row r="22">
      <c r="A22" s="182" t="str">
        <f>IFERROR(__xludf.DUMMYFUNCTION("""COMPUTED_VALUE"""),"Baby")</f>
        <v>Baby</v>
      </c>
      <c r="B22" s="187" t="str">
        <f>IFERROR(__xludf.DUMMYFUNCTION("""COMPUTED_VALUE"""),"Damaged")</f>
        <v>Damaged</v>
      </c>
      <c r="C22" s="187">
        <f t="shared" si="1"/>
        <v>1</v>
      </c>
      <c r="D22" s="20" t="s">
        <v>2877</v>
      </c>
      <c r="E22" s="20">
        <v>3.0</v>
      </c>
    </row>
    <row r="23">
      <c r="A23" s="182" t="str">
        <f>IFERROR(__xludf.DUMMYFUNCTION("""COMPUTED_VALUE"""),"Lamassu")</f>
        <v>Lamassu</v>
      </c>
      <c r="B23" s="187" t="str">
        <f>IFERROR(__xludf.DUMMYFUNCTION("""COMPUTED_VALUE"""),"Automaton")</f>
        <v>Automaton</v>
      </c>
      <c r="C23" s="187">
        <f t="shared" si="1"/>
        <v>2</v>
      </c>
      <c r="D23" s="20" t="s">
        <v>2878</v>
      </c>
      <c r="E23" s="20">
        <v>3.0</v>
      </c>
    </row>
    <row r="24">
      <c r="A24" s="182"/>
      <c r="B24" s="187" t="str">
        <f>IFERROR(__xludf.DUMMYFUNCTION("""COMPUTED_VALUE"""),"Diviner")</f>
        <v>Diviner</v>
      </c>
      <c r="C24" s="187">
        <f t="shared" si="1"/>
        <v>2</v>
      </c>
      <c r="D24" s="20" t="s">
        <v>2879</v>
      </c>
      <c r="E24" s="20">
        <v>3.0</v>
      </c>
    </row>
    <row r="25">
      <c r="A25" s="182"/>
      <c r="B25" s="187" t="str">
        <f>IFERROR(__xludf.DUMMYFUNCTION("""COMPUTED_VALUE"""),"Fates")</f>
        <v>Fates</v>
      </c>
      <c r="C25" s="187">
        <f t="shared" si="1"/>
        <v>1</v>
      </c>
      <c r="D25" s="20" t="s">
        <v>2837</v>
      </c>
      <c r="E25" s="20">
        <v>3.0</v>
      </c>
    </row>
    <row r="26">
      <c r="A26" s="182"/>
      <c r="B26" s="187" t="str">
        <f>IFERROR(__xludf.DUMMYFUNCTION("""COMPUTED_VALUE"""),"Doma")</f>
        <v>Doma</v>
      </c>
      <c r="C26" s="187">
        <f t="shared" si="1"/>
        <v>1</v>
      </c>
      <c r="D26" s="20" t="s">
        <v>2880</v>
      </c>
      <c r="E26" s="20">
        <v>3.0</v>
      </c>
    </row>
    <row r="27">
      <c r="A27" s="182" t="str">
        <f>IFERROR(__xludf.DUMMYFUNCTION("""COMPUTED_VALUE"""),"Blackmarble")</f>
        <v>Blackmarble</v>
      </c>
      <c r="B27" s="187" t="str">
        <f>IFERROR(__xludf.DUMMYFUNCTION("""COMPUTED_VALUE"""),"Angel")</f>
        <v>Angel</v>
      </c>
      <c r="C27" s="187">
        <f t="shared" si="1"/>
        <v>3</v>
      </c>
      <c r="D27" s="20" t="s">
        <v>2881</v>
      </c>
      <c r="E27" s="20">
        <v>3.0</v>
      </c>
    </row>
    <row r="28">
      <c r="A28" s="182" t="str">
        <f>IFERROR(__xludf.DUMMYFUNCTION("""COMPUTED_VALUE"""),"Gargoyle")</f>
        <v>Gargoyle</v>
      </c>
      <c r="B28" s="187" t="str">
        <f>IFERROR(__xludf.DUMMYFUNCTION("""COMPUTED_VALUE"""),"Dove")</f>
        <v>Dove</v>
      </c>
      <c r="C28" s="187">
        <f t="shared" si="1"/>
        <v>1</v>
      </c>
      <c r="D28" s="20" t="s">
        <v>2882</v>
      </c>
      <c r="E28" s="20">
        <v>3.0</v>
      </c>
    </row>
    <row r="29">
      <c r="A29" s="182"/>
      <c r="B29" s="187" t="str">
        <f>IFERROR(__xludf.DUMMYFUNCTION("""COMPUTED_VALUE"""),"Serenity")</f>
        <v>Serenity</v>
      </c>
      <c r="C29" s="187">
        <f t="shared" si="1"/>
        <v>1</v>
      </c>
      <c r="D29" s="20" t="s">
        <v>2883</v>
      </c>
      <c r="E29" s="20">
        <v>3.0</v>
      </c>
    </row>
    <row r="30">
      <c r="A30" s="182"/>
      <c r="B30" s="187" t="str">
        <f>IFERROR(__xludf.DUMMYFUNCTION("""COMPUTED_VALUE"""),"Dream")</f>
        <v>Dream</v>
      </c>
      <c r="C30" s="187">
        <f t="shared" si="1"/>
        <v>1</v>
      </c>
      <c r="D30" s="20" t="s">
        <v>2884</v>
      </c>
      <c r="E30" s="20">
        <v>3.0</v>
      </c>
    </row>
    <row r="31">
      <c r="A31" s="182"/>
      <c r="B31" s="187" t="str">
        <f>IFERROR(__xludf.DUMMYFUNCTION("""COMPUTED_VALUE"""),"Traveler")</f>
        <v>Traveler</v>
      </c>
      <c r="C31" s="187">
        <f t="shared" si="1"/>
        <v>1</v>
      </c>
      <c r="D31" s="20" t="s">
        <v>2885</v>
      </c>
      <c r="E31" s="20">
        <v>2.0</v>
      </c>
    </row>
    <row r="32">
      <c r="A32" s="182" t="str">
        <f>IFERROR(__xludf.DUMMYFUNCTION("""COMPUTED_VALUE"""),"Chronosand")</f>
        <v>Chronosand</v>
      </c>
      <c r="B32" s="187" t="str">
        <f>IFERROR(__xludf.DUMMYFUNCTION("""COMPUTED_VALUE"""),"Embalmed")</f>
        <v>Embalmed</v>
      </c>
      <c r="C32" s="187">
        <f t="shared" si="1"/>
        <v>1</v>
      </c>
      <c r="D32" s="20" t="s">
        <v>2886</v>
      </c>
      <c r="E32" s="20">
        <v>2.0</v>
      </c>
    </row>
    <row r="33">
      <c r="A33" s="182" t="str">
        <f>IFERROR(__xludf.DUMMYFUNCTION("""COMPUTED_VALUE"""),"Sphinx")</f>
        <v>Sphinx</v>
      </c>
      <c r="B33" s="187" t="str">
        <f>IFERROR(__xludf.DUMMYFUNCTION("""COMPUTED_VALUE"""),"Apophis")</f>
        <v>Apophis</v>
      </c>
      <c r="C33" s="187">
        <f t="shared" si="1"/>
        <v>1</v>
      </c>
      <c r="D33" s="20" t="s">
        <v>2887</v>
      </c>
      <c r="E33" s="20">
        <v>2.0</v>
      </c>
    </row>
    <row r="34">
      <c r="A34" s="182"/>
      <c r="B34" s="187" t="str">
        <f>IFERROR(__xludf.DUMMYFUNCTION("""COMPUTED_VALUE"""),"Feline")</f>
        <v>Feline</v>
      </c>
      <c r="C34" s="187">
        <f t="shared" si="1"/>
        <v>1</v>
      </c>
      <c r="D34" s="20" t="s">
        <v>2888</v>
      </c>
      <c r="E34" s="20">
        <v>2.0</v>
      </c>
    </row>
    <row r="35">
      <c r="A35" s="182"/>
      <c r="B35" s="187" t="str">
        <f>IFERROR(__xludf.DUMMYFUNCTION("""COMPUTED_VALUE"""),"Ushabti")</f>
        <v>Ushabti</v>
      </c>
      <c r="C35" s="187">
        <f t="shared" si="1"/>
        <v>4</v>
      </c>
      <c r="D35" s="20" t="s">
        <v>2889</v>
      </c>
      <c r="E35" s="20">
        <v>2.0</v>
      </c>
    </row>
    <row r="36">
      <c r="A36" s="182"/>
      <c r="B36" s="187" t="str">
        <f>IFERROR(__xludf.DUMMYFUNCTION("""COMPUTED_VALUE"""),"Guardian")</f>
        <v>Guardian</v>
      </c>
      <c r="C36" s="187">
        <f t="shared" si="1"/>
        <v>4</v>
      </c>
      <c r="D36" s="20" t="s">
        <v>2890</v>
      </c>
      <c r="E36" s="20">
        <v>2.0</v>
      </c>
    </row>
    <row r="37">
      <c r="A37" s="182" t="str">
        <f>IFERROR(__xludf.DUMMYFUNCTION("""COMPUTED_VALUE"""),"Crusader")</f>
        <v>Crusader</v>
      </c>
      <c r="B37" s="187" t="str">
        <f>IFERROR(__xludf.DUMMYFUNCTION("""COMPUTED_VALUE"""),"Gates")</f>
        <v>Gates</v>
      </c>
      <c r="C37" s="187">
        <f t="shared" si="1"/>
        <v>1</v>
      </c>
      <c r="D37" s="20" t="s">
        <v>2891</v>
      </c>
      <c r="E37" s="20">
        <v>2.0</v>
      </c>
    </row>
    <row r="38">
      <c r="A38" s="182" t="str">
        <f>IFERROR(__xludf.DUMMYFUNCTION("""COMPUTED_VALUE"""),"of")</f>
        <v>of</v>
      </c>
      <c r="B38" s="187" t="str">
        <f>IFERROR(__xludf.DUMMYFUNCTION("""COMPUTED_VALUE"""),"Hallowed")</f>
        <v>Hallowed</v>
      </c>
      <c r="C38" s="187">
        <f t="shared" si="1"/>
        <v>1</v>
      </c>
      <c r="D38" s="20" t="s">
        <v>2892</v>
      </c>
      <c r="E38" s="20">
        <v>2.0</v>
      </c>
    </row>
    <row r="39">
      <c r="A39" s="182" t="str">
        <f>IFERROR(__xludf.DUMMYFUNCTION("""COMPUTED_VALUE"""),"the")</f>
        <v>the</v>
      </c>
      <c r="B39" s="187" t="str">
        <f>IFERROR(__xludf.DUMMYFUNCTION("""COMPUTED_VALUE"""),"Exorcist")</f>
        <v>Exorcist</v>
      </c>
      <c r="C39" s="187">
        <f t="shared" si="1"/>
        <v>1</v>
      </c>
      <c r="D39" s="20" t="s">
        <v>2893</v>
      </c>
      <c r="E39" s="20">
        <v>2.0</v>
      </c>
    </row>
    <row r="40">
      <c r="A40" s="182" t="str">
        <f>IFERROR(__xludf.DUMMYFUNCTION("""COMPUTED_VALUE"""),"Desert")</f>
        <v>Desert</v>
      </c>
      <c r="B40" s="187" t="str">
        <f>IFERROR(__xludf.DUMMYFUNCTION("""COMPUTED_VALUE"""),"Harmonic")</f>
        <v>Harmonic</v>
      </c>
      <c r="C40" s="187">
        <f t="shared" si="1"/>
        <v>1</v>
      </c>
      <c r="D40" s="20" t="s">
        <v>2450</v>
      </c>
      <c r="E40" s="20">
        <v>2.0</v>
      </c>
    </row>
    <row r="41">
      <c r="A41" s="182" t="str">
        <f>IFERROR(__xludf.DUMMYFUNCTION("""COMPUTED_VALUE"""),"Winds")</f>
        <v>Winds</v>
      </c>
      <c r="B41" s="187" t="str">
        <f>IFERROR(__xludf.DUMMYFUNCTION("""COMPUTED_VALUE"""),"Echo")</f>
        <v>Echo</v>
      </c>
      <c r="C41" s="187">
        <f t="shared" si="1"/>
        <v>2</v>
      </c>
      <c r="D41" s="20" t="s">
        <v>2894</v>
      </c>
      <c r="E41" s="20">
        <v>2.0</v>
      </c>
    </row>
    <row r="42">
      <c r="A42" s="182" t="str">
        <f>IFERROR(__xludf.DUMMYFUNCTION("""COMPUTED_VALUE"""),"Cryptosphinx")</f>
        <v>Cryptosphinx</v>
      </c>
      <c r="B42" s="187" t="str">
        <f>IFERROR(__xludf.DUMMYFUNCTION("""COMPUTED_VALUE"""),"Ibis")</f>
        <v>Ibis</v>
      </c>
      <c r="C42" s="187">
        <f t="shared" si="1"/>
        <v>1</v>
      </c>
      <c r="D42" s="20" t="s">
        <v>2895</v>
      </c>
      <c r="E42" s="20">
        <v>2.0</v>
      </c>
    </row>
    <row r="43">
      <c r="A43" s="182"/>
      <c r="B43" s="187" t="str">
        <f>IFERROR(__xludf.DUMMYFUNCTION("""COMPUTED_VALUE"""),"Herald")</f>
        <v>Herald</v>
      </c>
      <c r="C43" s="187">
        <f t="shared" si="1"/>
        <v>1</v>
      </c>
      <c r="D43" s="20" t="s">
        <v>2896</v>
      </c>
      <c r="E43" s="20">
        <v>2.0</v>
      </c>
    </row>
    <row r="44">
      <c r="A44" s="182"/>
      <c r="B44" s="187" t="str">
        <f>IFERROR(__xludf.DUMMYFUNCTION("""COMPUTED_VALUE"""),"Eternal")</f>
        <v>Eternal</v>
      </c>
      <c r="C44" s="187">
        <f t="shared" si="1"/>
        <v>1</v>
      </c>
      <c r="D44" s="20" t="s">
        <v>2897</v>
      </c>
      <c r="E44" s="20">
        <v>2.0</v>
      </c>
    </row>
    <row r="45">
      <c r="A45" s="182"/>
      <c r="B45" s="187" t="str">
        <f>IFERROR(__xludf.DUMMYFUNCTION("""COMPUTED_VALUE"""),"Grace")</f>
        <v>Grace</v>
      </c>
      <c r="C45" s="187">
        <f t="shared" si="1"/>
        <v>1</v>
      </c>
      <c r="D45" s="20" t="s">
        <v>2898</v>
      </c>
      <c r="E45" s="20">
        <v>2.0</v>
      </c>
    </row>
    <row r="46">
      <c r="A46" s="182"/>
      <c r="B46" s="187" t="str">
        <f>IFERROR(__xludf.DUMMYFUNCTION("""COMPUTED_VALUE"""),"Maze")</f>
        <v>Maze</v>
      </c>
      <c r="C46" s="187">
        <f t="shared" si="1"/>
        <v>1</v>
      </c>
      <c r="D46" s="20" t="s">
        <v>2899</v>
      </c>
      <c r="E46" s="20">
        <v>2.0</v>
      </c>
    </row>
    <row r="47">
      <c r="A47" s="182" t="str">
        <f>IFERROR(__xludf.DUMMYFUNCTION("""COMPUTED_VALUE"""),"Damaged")</f>
        <v>Damaged</v>
      </c>
      <c r="B47" s="187" t="str">
        <f>IFERROR(__xludf.DUMMYFUNCTION("""COMPUTED_VALUE"""),"Master")</f>
        <v>Master</v>
      </c>
      <c r="C47" s="187">
        <f t="shared" si="1"/>
        <v>3</v>
      </c>
      <c r="D47" s="20" t="s">
        <v>2900</v>
      </c>
      <c r="E47" s="20">
        <v>2.0</v>
      </c>
    </row>
    <row r="48">
      <c r="A48" s="182" t="str">
        <f>IFERROR(__xludf.DUMMYFUNCTION("""COMPUTED_VALUE"""),"Automaton")</f>
        <v>Automaton</v>
      </c>
      <c r="B48" s="187" t="str">
        <f>IFERROR(__xludf.DUMMYFUNCTION("""COMPUTED_VALUE"""),"Ivoryscar")</f>
        <v>Ivoryscar</v>
      </c>
      <c r="C48" s="187">
        <f t="shared" si="1"/>
        <v>4</v>
      </c>
      <c r="D48" s="20" t="s">
        <v>2901</v>
      </c>
      <c r="E48" s="20">
        <v>2.0</v>
      </c>
    </row>
    <row r="49">
      <c r="A49" s="182"/>
      <c r="B49" s="187" t="str">
        <f>IFERROR(__xludf.DUMMYFUNCTION("""COMPUTED_VALUE"""),"Cursewing")</f>
        <v>Cursewing</v>
      </c>
      <c r="C49" s="187">
        <f t="shared" si="1"/>
        <v>1</v>
      </c>
      <c r="D49" s="20" t="s">
        <v>2902</v>
      </c>
      <c r="E49" s="20">
        <v>2.0</v>
      </c>
    </row>
    <row r="50">
      <c r="A50" s="182"/>
      <c r="B50" s="187" t="str">
        <f>IFERROR(__xludf.DUMMYFUNCTION("""COMPUTED_VALUE"""),"Magistrate")</f>
        <v>Magistrate</v>
      </c>
      <c r="C50" s="187">
        <f t="shared" si="1"/>
        <v>1</v>
      </c>
      <c r="D50" s="20" t="s">
        <v>2903</v>
      </c>
      <c r="E50" s="20">
        <v>2.0</v>
      </c>
    </row>
    <row r="51">
      <c r="A51" s="182"/>
      <c r="B51" s="187" t="str">
        <f>IFERROR(__xludf.DUMMYFUNCTION("""COMPUTED_VALUE"""),"Kylix")</f>
        <v>Kylix</v>
      </c>
      <c r="C51" s="187">
        <f t="shared" si="1"/>
        <v>1</v>
      </c>
      <c r="D51" s="20" t="s">
        <v>2904</v>
      </c>
      <c r="E51" s="20">
        <v>2.0</v>
      </c>
    </row>
    <row r="52">
      <c r="A52" s="182" t="str">
        <f>IFERROR(__xludf.DUMMYFUNCTION("""COMPUTED_VALUE"""),"Diviner")</f>
        <v>Diviner</v>
      </c>
      <c r="B52" s="187" t="str">
        <f>IFERROR(__xludf.DUMMYFUNCTION("""COMPUTED_VALUE"""),"Excess")</f>
        <v>Excess</v>
      </c>
      <c r="C52" s="187">
        <f t="shared" si="1"/>
        <v>1</v>
      </c>
      <c r="D52" s="20" t="s">
        <v>2905</v>
      </c>
      <c r="E52" s="20">
        <v>2.0</v>
      </c>
    </row>
    <row r="53">
      <c r="A53" s="182" t="str">
        <f>IFERROR(__xludf.DUMMYFUNCTION("""COMPUTED_VALUE"""),"of")</f>
        <v>of</v>
      </c>
      <c r="B53" s="187" t="str">
        <f>IFERROR(__xludf.DUMMYFUNCTION("""COMPUTED_VALUE"""),"Mystic")</f>
        <v>Mystic</v>
      </c>
      <c r="C53" s="187">
        <f t="shared" si="1"/>
        <v>1</v>
      </c>
      <c r="D53" s="20" t="s">
        <v>2906</v>
      </c>
      <c r="E53" s="20">
        <v>2.0</v>
      </c>
    </row>
    <row r="54">
      <c r="A54" s="182" t="str">
        <f>IFERROR(__xludf.DUMMYFUNCTION("""COMPUTED_VALUE"""),"Fates")</f>
        <v>Fates</v>
      </c>
      <c r="B54" s="187" t="str">
        <f>IFERROR(__xludf.DUMMYFUNCTION("""COMPUTED_VALUE"""),"Puzzle")</f>
        <v>Puzzle</v>
      </c>
      <c r="C54" s="187">
        <f t="shared" si="1"/>
        <v>1</v>
      </c>
      <c r="D54" s="20" t="s">
        <v>2907</v>
      </c>
      <c r="E54" s="20">
        <v>2.0</v>
      </c>
    </row>
    <row r="55">
      <c r="A55" s="182"/>
      <c r="B55" s="187" t="str">
        <f>IFERROR(__xludf.DUMMYFUNCTION("""COMPUTED_VALUE"""),"Box")</f>
        <v>Box</v>
      </c>
      <c r="C55" s="187">
        <f t="shared" si="1"/>
        <v>1</v>
      </c>
      <c r="D55" s="20" t="s">
        <v>2908</v>
      </c>
      <c r="E55" s="20">
        <v>2.0</v>
      </c>
    </row>
    <row r="56">
      <c r="A56" s="182"/>
      <c r="B56" s="187" t="str">
        <f>IFERROR(__xludf.DUMMYFUNCTION("""COMPUTED_VALUE"""),"Monolith")</f>
        <v>Monolith</v>
      </c>
      <c r="C56" s="187">
        <f t="shared" si="1"/>
        <v>1</v>
      </c>
      <c r="D56" s="20" t="s">
        <v>2909</v>
      </c>
      <c r="E56" s="20">
        <v>2.0</v>
      </c>
    </row>
    <row r="57">
      <c r="A57" s="182" t="str">
        <f>IFERROR(__xludf.DUMMYFUNCTION("""COMPUTED_VALUE"""),"Doma")</f>
        <v>Doma</v>
      </c>
      <c r="B57" s="187" t="str">
        <f>IFERROR(__xludf.DUMMYFUNCTION("""COMPUTED_VALUE"""),"Meditation")</f>
        <v>Meditation</v>
      </c>
      <c r="C57" s="187">
        <f t="shared" si="1"/>
        <v>1</v>
      </c>
      <c r="D57" s="20" t="s">
        <v>2910</v>
      </c>
      <c r="E57" s="20">
        <v>2.0</v>
      </c>
    </row>
    <row r="58">
      <c r="A58" s="182" t="str">
        <f>IFERROR(__xludf.DUMMYFUNCTION("""COMPUTED_VALUE"""),"Angel")</f>
        <v>Angel</v>
      </c>
      <c r="B58" s="187" t="str">
        <f>IFERROR(__xludf.DUMMYFUNCTION("""COMPUTED_VALUE"""),"Oasis")</f>
        <v>Oasis</v>
      </c>
      <c r="C58" s="187">
        <f t="shared" si="1"/>
        <v>1</v>
      </c>
      <c r="D58" s="20" t="s">
        <v>2832</v>
      </c>
      <c r="E58" s="20">
        <v>2.0</v>
      </c>
    </row>
    <row r="59">
      <c r="A59" s="182"/>
      <c r="B59" s="187" t="str">
        <f>IFERROR(__xludf.DUMMYFUNCTION("""COMPUTED_VALUE"""),"Sprite")</f>
        <v>Sprite</v>
      </c>
      <c r="C59" s="187">
        <f t="shared" si="1"/>
        <v>4</v>
      </c>
      <c r="D59" s="20" t="s">
        <v>2911</v>
      </c>
      <c r="E59" s="20">
        <v>2.0</v>
      </c>
    </row>
    <row r="60">
      <c r="A60" s="182"/>
      <c r="B60" s="187" t="str">
        <f>IFERROR(__xludf.DUMMYFUNCTION("""COMPUTED_VALUE"""),"Pharaoh's")</f>
        <v>Pharaoh's</v>
      </c>
      <c r="C60" s="187">
        <f t="shared" si="1"/>
        <v>1</v>
      </c>
      <c r="D60" s="20" t="s">
        <v>2912</v>
      </c>
      <c r="E60" s="20">
        <v>2.0</v>
      </c>
    </row>
    <row r="61">
      <c r="A61" s="182"/>
      <c r="B61" s="187" t="str">
        <f>IFERROR(__xludf.DUMMYFUNCTION("""COMPUTED_VALUE"""),"Bodyguard")</f>
        <v>Bodyguard</v>
      </c>
      <c r="C61" s="187">
        <f t="shared" si="1"/>
        <v>1</v>
      </c>
      <c r="D61" s="20" t="s">
        <v>2913</v>
      </c>
      <c r="E61" s="20">
        <v>2.0</v>
      </c>
    </row>
    <row r="62">
      <c r="A62" s="182" t="str">
        <f>IFERROR(__xludf.DUMMYFUNCTION("""COMPUTED_VALUE"""),"Dove")</f>
        <v>Dove</v>
      </c>
      <c r="B62" s="187" t="str">
        <f>IFERROR(__xludf.DUMMYFUNCTION("""COMPUTED_VALUE"""),"Scripture")</f>
        <v>Scripture</v>
      </c>
      <c r="C62" s="187">
        <f t="shared" si="1"/>
        <v>1</v>
      </c>
      <c r="D62" s="20" t="s">
        <v>2914</v>
      </c>
      <c r="E62" s="20">
        <v>2.0</v>
      </c>
    </row>
    <row r="63">
      <c r="A63" s="182" t="str">
        <f>IFERROR(__xludf.DUMMYFUNCTION("""COMPUTED_VALUE"""),"of")</f>
        <v>of</v>
      </c>
      <c r="B63" s="187" t="str">
        <f>IFERROR(__xludf.DUMMYFUNCTION("""COMPUTED_VALUE"""),"Monkey")</f>
        <v>Monkey</v>
      </c>
      <c r="C63" s="187">
        <f t="shared" si="1"/>
        <v>1</v>
      </c>
      <c r="D63" s="20" t="s">
        <v>2915</v>
      </c>
      <c r="E63" s="20">
        <v>2.0</v>
      </c>
    </row>
    <row r="64">
      <c r="A64" s="182" t="str">
        <f>IFERROR(__xludf.DUMMYFUNCTION("""COMPUTED_VALUE"""),"Serenity")</f>
        <v>Serenity</v>
      </c>
      <c r="B64" s="187" t="str">
        <f>IFERROR(__xludf.DUMMYFUNCTION("""COMPUTED_VALUE"""),"Pyramidion")</f>
        <v>Pyramidion</v>
      </c>
      <c r="C64" s="187">
        <f t="shared" si="1"/>
        <v>1</v>
      </c>
      <c r="D64" s="20" t="s">
        <v>2836</v>
      </c>
      <c r="E64" s="20">
        <v>2.0</v>
      </c>
    </row>
    <row r="65">
      <c r="A65" s="182"/>
      <c r="B65" s="187" t="str">
        <f>IFERROR(__xludf.DUMMYFUNCTION("""COMPUTED_VALUE"""),"Sekhem")</f>
        <v>Sekhem</v>
      </c>
      <c r="C65" s="187">
        <f t="shared" si="1"/>
        <v>1</v>
      </c>
      <c r="D65" s="20" t="s">
        <v>2916</v>
      </c>
      <c r="E65" s="20">
        <v>2.0</v>
      </c>
    </row>
    <row r="66">
      <c r="A66" s="182"/>
      <c r="B66" s="187" t="str">
        <f>IFERROR(__xludf.DUMMYFUNCTION("""COMPUTED_VALUE"""),"Chariot")</f>
        <v>Chariot</v>
      </c>
      <c r="C66" s="187">
        <f t="shared" si="1"/>
        <v>1</v>
      </c>
      <c r="D66" s="20" t="s">
        <v>2917</v>
      </c>
      <c r="E66" s="20">
        <v>2.0</v>
      </c>
    </row>
    <row r="67">
      <c r="A67" s="182" t="str">
        <f>IFERROR(__xludf.DUMMYFUNCTION("""COMPUTED_VALUE"""),"Dream")</f>
        <v>Dream</v>
      </c>
      <c r="B67" s="187" t="str">
        <f>IFERROR(__xludf.DUMMYFUNCTION("""COMPUTED_VALUE"""),"Obsidian")</f>
        <v>Obsidian</v>
      </c>
      <c r="C67" s="187">
        <f t="shared" si="1"/>
        <v>1</v>
      </c>
      <c r="D67" s="20" t="s">
        <v>2918</v>
      </c>
      <c r="E67" s="20">
        <v>2.0</v>
      </c>
    </row>
    <row r="68">
      <c r="A68" s="182" t="str">
        <f>IFERROR(__xludf.DUMMYFUNCTION("""COMPUTED_VALUE"""),"Traveler")</f>
        <v>Traveler</v>
      </c>
      <c r="B68" s="187" t="str">
        <f>IFERROR(__xludf.DUMMYFUNCTION("""COMPUTED_VALUE"""),"Scarab")</f>
        <v>Scarab</v>
      </c>
      <c r="C68" s="187">
        <f t="shared" si="1"/>
        <v>2</v>
      </c>
      <c r="D68" s="20" t="s">
        <v>2919</v>
      </c>
      <c r="E68" s="20">
        <v>2.0</v>
      </c>
    </row>
    <row r="69">
      <c r="A69" s="182"/>
      <c r="B69" s="187" t="str">
        <f>IFERROR(__xludf.DUMMYFUNCTION("""COMPUTED_VALUE"""),"Solarsteel")</f>
        <v>Solarsteel</v>
      </c>
      <c r="C69" s="187">
        <f t="shared" si="1"/>
        <v>1</v>
      </c>
      <c r="D69" s="20" t="s">
        <v>2920</v>
      </c>
      <c r="E69" s="20">
        <v>2.0</v>
      </c>
    </row>
    <row r="70">
      <c r="A70" s="182"/>
      <c r="B70" s="187" t="str">
        <f>IFERROR(__xludf.DUMMYFUNCTION("""COMPUTED_VALUE"""),"Prodigy")</f>
        <v>Prodigy</v>
      </c>
      <c r="C70" s="187">
        <f t="shared" si="1"/>
        <v>1</v>
      </c>
      <c r="D70" s="20" t="s">
        <v>2921</v>
      </c>
      <c r="E70" s="20">
        <v>2.0</v>
      </c>
    </row>
    <row r="71">
      <c r="A71" s="182"/>
      <c r="B71" s="187" t="str">
        <f>IFERROR(__xludf.DUMMYFUNCTION("""COMPUTED_VALUE"""),"Starforger")</f>
        <v>Starforger</v>
      </c>
      <c r="C71" s="187">
        <f t="shared" si="1"/>
        <v>1</v>
      </c>
      <c r="D71" s="20" t="s">
        <v>2922</v>
      </c>
      <c r="E71" s="20">
        <v>2.0</v>
      </c>
    </row>
    <row r="72">
      <c r="A72" s="182" t="str">
        <f>IFERROR(__xludf.DUMMYFUNCTION("""COMPUTED_VALUE"""),"Embalmed")</f>
        <v>Embalmed</v>
      </c>
      <c r="B72" s="187" t="str">
        <f>IFERROR(__xludf.DUMMYFUNCTION("""COMPUTED_VALUE"""),"Swiftblade")</f>
        <v>Swiftblade</v>
      </c>
      <c r="C72" s="187">
        <f t="shared" si="1"/>
        <v>1</v>
      </c>
      <c r="D72" s="20" t="s">
        <v>2923</v>
      </c>
      <c r="E72" s="20">
        <v>2.0</v>
      </c>
    </row>
    <row r="73">
      <c r="A73" s="182" t="str">
        <f>IFERROR(__xludf.DUMMYFUNCTION("""COMPUTED_VALUE"""),"Apophis")</f>
        <v>Apophis</v>
      </c>
      <c r="B73" s="187" t="str">
        <f>IFERROR(__xludf.DUMMYFUNCTION("""COMPUTED_VALUE"""),"Revenger")</f>
        <v>Revenger</v>
      </c>
      <c r="C73" s="187">
        <f t="shared" si="1"/>
        <v>1</v>
      </c>
      <c r="D73" s="20" t="s">
        <v>2924</v>
      </c>
      <c r="E73" s="20">
        <v>2.0</v>
      </c>
    </row>
    <row r="74">
      <c r="A74" s="182"/>
      <c r="B74" s="187" t="str">
        <f>IFERROR(__xludf.DUMMYFUNCTION("""COMPUTED_VALUE"""),"The")</f>
        <v>The</v>
      </c>
      <c r="C74" s="187">
        <f t="shared" si="1"/>
        <v>30</v>
      </c>
      <c r="D74" s="20" t="s">
        <v>2925</v>
      </c>
      <c r="E74" s="20">
        <v>2.0</v>
      </c>
    </row>
    <row r="75">
      <c r="A75" s="182"/>
      <c r="B75" s="187" t="str">
        <f>IFERROR(__xludf.DUMMYFUNCTION("""COMPUTED_VALUE"""),"Kitty")</f>
        <v>Kitty</v>
      </c>
      <c r="C75" s="187">
        <f t="shared" si="1"/>
        <v>1</v>
      </c>
      <c r="D75" s="20" t="s">
        <v>2926</v>
      </c>
      <c r="E75" s="20">
        <v>2.0</v>
      </c>
    </row>
    <row r="76">
      <c r="A76" s="182"/>
      <c r="B76" s="187" t="str">
        <f>IFERROR(__xludf.DUMMYFUNCTION("""COMPUTED_VALUE"""),"Thamiel")</f>
        <v>Thamiel</v>
      </c>
      <c r="C76" s="187">
        <f t="shared" si="1"/>
        <v>1</v>
      </c>
      <c r="D76" s="20" t="s">
        <v>2927</v>
      </c>
      <c r="E76" s="20">
        <v>2.0</v>
      </c>
    </row>
    <row r="77">
      <c r="A77" s="182" t="str">
        <f>IFERROR(__xludf.DUMMYFUNCTION("""COMPUTED_VALUE"""),"Feline")</f>
        <v>Feline</v>
      </c>
      <c r="B77" s="187" t="str">
        <f>IFERROR(__xludf.DUMMYFUNCTION("""COMPUTED_VALUE"""),"Thunderswarm")</f>
        <v>Thunderswarm</v>
      </c>
      <c r="C77" s="187">
        <f t="shared" si="1"/>
        <v>4</v>
      </c>
      <c r="D77" s="20" t="s">
        <v>2928</v>
      </c>
      <c r="E77" s="20">
        <v>2.0</v>
      </c>
    </row>
    <row r="78">
      <c r="A78" s="182" t="str">
        <f>IFERROR(__xludf.DUMMYFUNCTION("""COMPUTED_VALUE"""),"Ushabti")</f>
        <v>Ushabti</v>
      </c>
      <c r="B78" s="187" t="str">
        <f>IFERROR(__xludf.DUMMYFUNCTION("""COMPUTED_VALUE"""),"Skirmisher")</f>
        <v>Skirmisher</v>
      </c>
      <c r="C78" s="187">
        <f t="shared" si="1"/>
        <v>1</v>
      </c>
      <c r="D78" s="20" t="s">
        <v>2929</v>
      </c>
      <c r="E78" s="20">
        <v>2.0</v>
      </c>
    </row>
    <row r="79">
      <c r="A79" s="182"/>
      <c r="B79" s="187" t="str">
        <f>IFERROR(__xludf.DUMMYFUNCTION("""COMPUTED_VALUE"""),"Tranquil")</f>
        <v>Tranquil</v>
      </c>
      <c r="C79" s="187">
        <f t="shared" si="1"/>
        <v>3</v>
      </c>
      <c r="D79" s="20" t="s">
        <v>2930</v>
      </c>
      <c r="E79" s="20">
        <v>2.0</v>
      </c>
    </row>
    <row r="80">
      <c r="A80" s="182"/>
      <c r="B80" s="187" t="str">
        <f>IFERROR(__xludf.DUMMYFUNCTION("""COMPUTED_VALUE"""),"Herd")</f>
        <v>Herd</v>
      </c>
      <c r="C80" s="187">
        <f t="shared" si="1"/>
        <v>3</v>
      </c>
      <c r="D80" s="20" t="s">
        <v>2931</v>
      </c>
      <c r="E80" s="20">
        <v>2.0</v>
      </c>
    </row>
    <row r="81">
      <c r="A81" s="182"/>
      <c r="B81" s="187" t="str">
        <f>IFERROR(__xludf.DUMMYFUNCTION("""COMPUTED_VALUE"""),"Gem")</f>
        <v>Gem</v>
      </c>
      <c r="C81" s="187">
        <f t="shared" si="1"/>
        <v>2</v>
      </c>
      <c r="D81" s="20" t="s">
        <v>2932</v>
      </c>
      <c r="E81" s="20">
        <v>2.0</v>
      </c>
    </row>
    <row r="82">
      <c r="A82" s="182" t="str">
        <f>IFERROR(__xludf.DUMMYFUNCTION("""COMPUTED_VALUE"""),"Guardian")</f>
        <v>Guardian</v>
      </c>
      <c r="B82" s="187" t="str">
        <f>IFERROR(__xludf.DUMMYFUNCTION("""COMPUTED_VALUE"""),"Titan")</f>
        <v>Titan</v>
      </c>
      <c r="C82" s="187">
        <f t="shared" si="1"/>
        <v>2</v>
      </c>
      <c r="D82" s="20" t="s">
        <v>2933</v>
      </c>
      <c r="E82" s="20">
        <v>2.0</v>
      </c>
    </row>
    <row r="83">
      <c r="A83" s="182" t="str">
        <f>IFERROR(__xludf.DUMMYFUNCTION("""COMPUTED_VALUE"""),"of")</f>
        <v>of</v>
      </c>
      <c r="B83" s="187" t="str">
        <f>IFERROR(__xludf.DUMMYFUNCTION("""COMPUTED_VALUE"""),"Towering")</f>
        <v>Towering</v>
      </c>
      <c r="C83" s="187">
        <f t="shared" si="1"/>
        <v>1</v>
      </c>
      <c r="D83" s="20" t="s">
        <v>2934</v>
      </c>
      <c r="E83" s="20">
        <v>2.0</v>
      </c>
    </row>
    <row r="84">
      <c r="A84" s="182" t="str">
        <f>IFERROR(__xludf.DUMMYFUNCTION("""COMPUTED_VALUE"""),"the")</f>
        <v>the</v>
      </c>
      <c r="B84" s="187" t="str">
        <f>IFERROR(__xludf.DUMMYFUNCTION("""COMPUTED_VALUE"""),"Obelisk")</f>
        <v>Obelisk</v>
      </c>
      <c r="C84" s="187">
        <f t="shared" si="1"/>
        <v>2</v>
      </c>
      <c r="D84" s="20" t="s">
        <v>2935</v>
      </c>
      <c r="E84" s="20">
        <v>2.0</v>
      </c>
    </row>
    <row r="85">
      <c r="A85" s="182" t="str">
        <f>IFERROR(__xludf.DUMMYFUNCTION("""COMPUTED_VALUE"""),"Gates")</f>
        <v>Gates</v>
      </c>
      <c r="B85" s="187" t="str">
        <f>IFERROR(__xludf.DUMMYFUNCTION("""COMPUTED_VALUE"""),"Xi")</f>
        <v>Xi</v>
      </c>
      <c r="C85" s="187">
        <f t="shared" si="1"/>
        <v>1</v>
      </c>
      <c r="D85" s="20" t="s">
        <v>2936</v>
      </c>
      <c r="E85" s="20">
        <v>2.0</v>
      </c>
    </row>
    <row r="86">
      <c r="A86" s="182"/>
      <c r="B86" s="187" t="str">
        <f>IFERROR(__xludf.DUMMYFUNCTION("""COMPUTED_VALUE"""),"Pegasus")</f>
        <v>Pegasus</v>
      </c>
      <c r="C86" s="187">
        <f t="shared" si="1"/>
        <v>2</v>
      </c>
      <c r="D86" s="20" t="s">
        <v>2937</v>
      </c>
      <c r="E86" s="20">
        <v>2.0</v>
      </c>
    </row>
    <row r="87">
      <c r="A87" s="182" t="str">
        <f>IFERROR(__xludf.DUMMYFUNCTION("""COMPUTED_VALUE"""),"Guardian")</f>
        <v>Guardian</v>
      </c>
      <c r="B87" s="187" t="str">
        <f>IFERROR(__xludf.DUMMYFUNCTION("""COMPUTED_VALUE"""),"Winged")</f>
        <v>Winged</v>
      </c>
      <c r="C87" s="187">
        <f t="shared" si="1"/>
        <v>1</v>
      </c>
      <c r="D87" s="20" t="s">
        <v>2938</v>
      </c>
      <c r="E87" s="20">
        <v>2.0</v>
      </c>
    </row>
    <row r="88">
      <c r="A88" s="182" t="str">
        <f>IFERROR(__xludf.DUMMYFUNCTION("""COMPUTED_VALUE"""),"Angel")</f>
        <v>Angel</v>
      </c>
      <c r="B88" s="187" t="str">
        <f>IFERROR(__xludf.DUMMYFUNCTION("""COMPUTED_VALUE"""),"Ghostfire")</f>
        <v>Ghostfire</v>
      </c>
      <c r="C88" s="187">
        <f t="shared" si="1"/>
        <v>1</v>
      </c>
      <c r="D88" s="20" t="s">
        <v>2939</v>
      </c>
      <c r="E88" s="20">
        <v>2.0</v>
      </c>
    </row>
    <row r="89">
      <c r="A89" s="182"/>
      <c r="B89" s="187" t="str">
        <f>IFERROR(__xludf.DUMMYFUNCTION("""COMPUTED_VALUE"""),"Basilisk")</f>
        <v>Basilisk</v>
      </c>
      <c r="C89" s="187">
        <f t="shared" si="1"/>
        <v>2</v>
      </c>
      <c r="D89" s="20" t="s">
        <v>2940</v>
      </c>
      <c r="E89" s="20">
        <v>2.0</v>
      </c>
    </row>
    <row r="90">
      <c r="A90" s="182"/>
      <c r="B90" s="187" t="str">
        <f>IFERROR(__xludf.DUMMYFUNCTION("""COMPUTED_VALUE"""),"Yellow")</f>
        <v>Yellow</v>
      </c>
      <c r="C90" s="187">
        <f t="shared" si="1"/>
        <v>2</v>
      </c>
      <c r="D90" s="20" t="s">
        <v>2941</v>
      </c>
      <c r="E90" s="20">
        <v>2.0</v>
      </c>
    </row>
    <row r="91">
      <c r="A91" s="182"/>
      <c r="B91" s="187" t="str">
        <f>IFERROR(__xludf.DUMMYFUNCTION("""COMPUTED_VALUE"""),"Young")</f>
        <v>Young</v>
      </c>
      <c r="C91" s="187">
        <f t="shared" si="1"/>
        <v>2</v>
      </c>
      <c r="D91" s="20" t="s">
        <v>2942</v>
      </c>
      <c r="E91" s="20">
        <v>2.0</v>
      </c>
    </row>
    <row r="92">
      <c r="A92" s="182" t="str">
        <f>IFERROR(__xludf.DUMMYFUNCTION("""COMPUTED_VALUE"""),"Hallowed")</f>
        <v>Hallowed</v>
      </c>
      <c r="B92" s="187" t="str">
        <f>IFERROR(__xludf.DUMMYFUNCTION("""COMPUTED_VALUE"""),"Monk")</f>
        <v>Monk</v>
      </c>
      <c r="C92" s="187">
        <f t="shared" si="1"/>
        <v>1</v>
      </c>
      <c r="D92" s="20" t="s">
        <v>2943</v>
      </c>
      <c r="E92" s="20">
        <v>2.0</v>
      </c>
    </row>
    <row r="93">
      <c r="A93" s="182" t="str">
        <f>IFERROR(__xludf.DUMMYFUNCTION("""COMPUTED_VALUE"""),"Exorcist")</f>
        <v>Exorcist</v>
      </c>
      <c r="B93" s="187" t="str">
        <f>IFERROR(__xludf.DUMMYFUNCTION("""COMPUTED_VALUE"""),"Cartouche")</f>
        <v>Cartouche</v>
      </c>
      <c r="C93" s="187">
        <f t="shared" si="1"/>
        <v>1</v>
      </c>
      <c r="D93" s="20" t="s">
        <v>2944</v>
      </c>
      <c r="E93" s="20">
        <v>2.0</v>
      </c>
    </row>
    <row r="94">
      <c r="A94" s="182"/>
      <c r="B94" s="187" t="str">
        <f>IFERROR(__xludf.DUMMYFUNCTION("""COMPUTED_VALUE"""),"Luster")</f>
        <v>Luster</v>
      </c>
      <c r="C94" s="187">
        <f t="shared" si="1"/>
        <v>1</v>
      </c>
      <c r="D94" s="20" t="s">
        <v>2945</v>
      </c>
      <c r="E94" s="20">
        <v>2.0</v>
      </c>
    </row>
    <row r="95">
      <c r="A95" s="182"/>
      <c r="B95" s="187" t="str">
        <f>IFERROR(__xludf.DUMMYFUNCTION("""COMPUTED_VALUE"""),"Golden")</f>
        <v>Golden</v>
      </c>
      <c r="C95" s="187">
        <f t="shared" si="1"/>
        <v>1</v>
      </c>
      <c r="D95" s="20" t="s">
        <v>2946</v>
      </c>
      <c r="E95" s="20">
        <v>2.0</v>
      </c>
    </row>
    <row r="96">
      <c r="A96" s="182"/>
      <c r="B96" s="187" t="str">
        <f>IFERROR(__xludf.DUMMYFUNCTION("""COMPUTED_VALUE"""),"Phoenix")</f>
        <v>Phoenix</v>
      </c>
      <c r="C96" s="187">
        <f t="shared" si="1"/>
        <v>1</v>
      </c>
      <c r="D96" s="20" t="s">
        <v>2775</v>
      </c>
      <c r="E96" s="20">
        <v>2.0</v>
      </c>
    </row>
    <row r="97">
      <c r="A97" s="182" t="str">
        <f>IFERROR(__xludf.DUMMYFUNCTION("""COMPUTED_VALUE"""),"Harmonic")</f>
        <v>Harmonic</v>
      </c>
      <c r="B97" s="187" t="str">
        <f>IFERROR(__xludf.DUMMYFUNCTION("""COMPUTED_VALUE"""),"Hailstorm")</f>
        <v>Hailstorm</v>
      </c>
      <c r="C97" s="187">
        <f t="shared" si="1"/>
        <v>1</v>
      </c>
      <c r="D97" s="20" t="s">
        <v>2947</v>
      </c>
      <c r="E97" s="20">
        <v>2.0</v>
      </c>
    </row>
    <row r="98">
      <c r="A98" s="182" t="str">
        <f>IFERROR(__xludf.DUMMYFUNCTION("""COMPUTED_VALUE"""),"Echo")</f>
        <v>Echo</v>
      </c>
      <c r="B98" s="187" t="str">
        <f>IFERROR(__xludf.DUMMYFUNCTION("""COMPUTED_VALUE"""),"Seraph")</f>
        <v>Seraph</v>
      </c>
      <c r="C98" s="187">
        <f t="shared" si="1"/>
        <v>1</v>
      </c>
      <c r="D98" s="20" t="s">
        <v>2948</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2949</v>
      </c>
      <c r="E100" s="20">
        <v>1.0</v>
      </c>
    </row>
    <row r="101">
      <c r="A101" s="182"/>
      <c r="B101" s="187" t="str">
        <f>IFERROR(__xludf.DUMMYFUNCTION("""COMPUTED_VALUE"""),"Wrath")</f>
        <v>Wrath</v>
      </c>
      <c r="C101" s="187">
        <f t="shared" si="1"/>
        <v>1</v>
      </c>
      <c r="D101" s="20" t="s">
        <v>2950</v>
      </c>
      <c r="E101" s="20">
        <v>1.0</v>
      </c>
    </row>
    <row r="102">
      <c r="A102" s="182" t="str">
        <f>IFERROR(__xludf.DUMMYFUNCTION("""COMPUTED_VALUE"""),"Ibis")</f>
        <v>Ibis</v>
      </c>
      <c r="B102" s="187" t="str">
        <f>IFERROR(__xludf.DUMMYFUNCTION("""COMPUTED_VALUE"""),"Pharaoh")</f>
        <v>Pharaoh</v>
      </c>
      <c r="C102" s="187">
        <f t="shared" si="1"/>
        <v>1</v>
      </c>
      <c r="D102" s="20" t="s">
        <v>2951</v>
      </c>
      <c r="E102" s="20">
        <v>1.0</v>
      </c>
    </row>
    <row r="103">
      <c r="A103" s="182" t="str">
        <f>IFERROR(__xludf.DUMMYFUNCTION("""COMPUTED_VALUE"""),"Ushabti")</f>
        <v>Ushabti</v>
      </c>
      <c r="B103" s="187" t="str">
        <f>IFERROR(__xludf.DUMMYFUNCTION("""COMPUTED_VALUE"""),"Bringer")</f>
        <v>Bringer</v>
      </c>
      <c r="C103" s="187">
        <f t="shared" si="1"/>
        <v>3</v>
      </c>
      <c r="D103" s="20" t="s">
        <v>2952</v>
      </c>
      <c r="E103" s="20">
        <v>1.0</v>
      </c>
    </row>
    <row r="104">
      <c r="A104" s="182"/>
      <c r="B104" s="187" t="str">
        <f>IFERROR(__xludf.DUMMYFUNCTION("""COMPUTED_VALUE"""),"Good")</f>
        <v>Good</v>
      </c>
      <c r="C104" s="187">
        <f t="shared" si="1"/>
        <v>1</v>
      </c>
      <c r="D104" s="20" t="s">
        <v>2953</v>
      </c>
      <c r="E104" s="20">
        <v>1.0</v>
      </c>
    </row>
    <row r="105">
      <c r="A105" s="182"/>
      <c r="B105" s="187" t="str">
        <f>IFERROR(__xludf.DUMMYFUNCTION("""COMPUTED_VALUE"""),"News")</f>
        <v>News</v>
      </c>
      <c r="C105" s="187">
        <f t="shared" si="1"/>
        <v>1</v>
      </c>
      <c r="D105" s="20" t="s">
        <v>2954</v>
      </c>
      <c r="E105" s="20">
        <v>1.0</v>
      </c>
    </row>
    <row r="106">
      <c r="A106" s="182"/>
      <c r="B106" s="187" t="str">
        <f>IFERROR(__xludf.DUMMYFUNCTION("""COMPUTED_VALUE"""),"Lightning")</f>
        <v>Lightning</v>
      </c>
      <c r="C106" s="187">
        <f t="shared" si="1"/>
        <v>2</v>
      </c>
      <c r="D106" s="20" t="s">
        <v>2955</v>
      </c>
      <c r="E106" s="20">
        <v>1.0</v>
      </c>
    </row>
    <row r="107">
      <c r="A107" s="182" t="str">
        <f>IFERROR(__xludf.DUMMYFUNCTION("""COMPUTED_VALUE"""),"Herald")</f>
        <v>Herald</v>
      </c>
      <c r="B107" s="187" t="str">
        <f>IFERROR(__xludf.DUMMYFUNCTION("""COMPUTED_VALUE"""),"Rider")</f>
        <v>Rider</v>
      </c>
      <c r="C107" s="187">
        <f t="shared" si="1"/>
        <v>2</v>
      </c>
      <c r="D107" s="20" t="s">
        <v>2956</v>
      </c>
      <c r="E107" s="20">
        <v>1.0</v>
      </c>
    </row>
    <row r="108">
      <c r="A108" s="182" t="str">
        <f>IFERROR(__xludf.DUMMYFUNCTION("""COMPUTED_VALUE"""),"of")</f>
        <v>of</v>
      </c>
      <c r="B108" s="187" t="str">
        <f>IFERROR(__xludf.DUMMYFUNCTION("""COMPUTED_VALUE"""),"Desertwind")</f>
        <v>Desertwind</v>
      </c>
      <c r="C108" s="187">
        <f t="shared" si="1"/>
        <v>1</v>
      </c>
      <c r="D108" s="20" t="s">
        <v>2957</v>
      </c>
      <c r="E108" s="20">
        <v>1.0</v>
      </c>
    </row>
    <row r="109">
      <c r="A109" s="182" t="str">
        <f>IFERROR(__xludf.DUMMYFUNCTION("""COMPUTED_VALUE"""),"Eternal")</f>
        <v>Eternal</v>
      </c>
      <c r="B109" s="187" t="str">
        <f>IFERROR(__xludf.DUMMYFUNCTION("""COMPUTED_VALUE"""),"Relic")</f>
        <v>Relic</v>
      </c>
      <c r="C109" s="187">
        <f t="shared" si="1"/>
        <v>1</v>
      </c>
      <c r="D109" s="20" t="s">
        <v>2958</v>
      </c>
      <c r="E109" s="20">
        <v>1.0</v>
      </c>
    </row>
    <row r="110">
      <c r="A110" s="182" t="str">
        <f>IFERROR(__xludf.DUMMYFUNCTION("""COMPUTED_VALUE"""),"Grace")</f>
        <v>Grace</v>
      </c>
      <c r="B110" s="187" t="str">
        <f>IFERROR(__xludf.DUMMYFUNCTION("""COMPUTED_VALUE"""),"Hunter")</f>
        <v>Hunter</v>
      </c>
      <c r="C110" s="187">
        <f t="shared" si="1"/>
        <v>1</v>
      </c>
      <c r="D110" s="20" t="s">
        <v>2959</v>
      </c>
      <c r="E110" s="20">
        <v>1.0</v>
      </c>
    </row>
    <row r="111">
      <c r="A111" s="182"/>
      <c r="B111" s="187" t="str">
        <f>IFERROR(__xludf.DUMMYFUNCTION("""COMPUTED_VALUE"""),"Exemplar")</f>
        <v>Exemplar</v>
      </c>
      <c r="C111" s="187">
        <f t="shared" si="1"/>
        <v>1</v>
      </c>
      <c r="D111" s="20" t="s">
        <v>2960</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2961</v>
      </c>
      <c r="E113" s="20">
        <v>1.0</v>
      </c>
    </row>
    <row r="114">
      <c r="A114" s="182" t="str">
        <f>IFERROR(__xludf.DUMMYFUNCTION("""COMPUTED_VALUE"""),"Sphinx")</f>
        <v>Sphinx</v>
      </c>
      <c r="B114" s="187" t="str">
        <f>IFERROR(__xludf.DUMMYFUNCTION("""COMPUTED_VALUE"""),"Pomegrake")</f>
        <v>Pomegrake</v>
      </c>
      <c r="C114" s="187">
        <f t="shared" si="1"/>
        <v>1</v>
      </c>
      <c r="D114" s="20" t="s">
        <v>2962</v>
      </c>
      <c r="E114" s="20">
        <v>1.0</v>
      </c>
    </row>
    <row r="115">
      <c r="A115" s="182"/>
      <c r="B115" s="187" t="str">
        <f>IFERROR(__xludf.DUMMYFUNCTION("""COMPUTED_VALUE"""),"Embalmer")</f>
        <v>Embalmer</v>
      </c>
      <c r="C115" s="187">
        <f t="shared" si="1"/>
        <v>1</v>
      </c>
      <c r="D115" s="20" t="s">
        <v>2963</v>
      </c>
      <c r="E115" s="20">
        <v>1.0</v>
      </c>
    </row>
    <row r="116">
      <c r="A116" s="182"/>
      <c r="B116" s="187" t="str">
        <f>IFERROR(__xludf.DUMMYFUNCTION("""COMPUTED_VALUE"""),"Carver")</f>
        <v>Carver</v>
      </c>
      <c r="C116" s="187">
        <f t="shared" si="1"/>
        <v>2</v>
      </c>
      <c r="D116" s="20" t="s">
        <v>2964</v>
      </c>
      <c r="E116" s="20">
        <v>1.0</v>
      </c>
    </row>
    <row r="117">
      <c r="A117" s="182" t="str">
        <f>IFERROR(__xludf.DUMMYFUNCTION("""COMPUTED_VALUE"""),"Ivoryscar")</f>
        <v>Ivoryscar</v>
      </c>
      <c r="B117" s="187" t="str">
        <f>IFERROR(__xludf.DUMMYFUNCTION("""COMPUTED_VALUE"""),"Shattercrown")</f>
        <v>Shattercrown</v>
      </c>
      <c r="C117" s="187">
        <f t="shared" si="1"/>
        <v>1</v>
      </c>
      <c r="D117" s="20" t="s">
        <v>2965</v>
      </c>
      <c r="E117" s="20">
        <v>1.0</v>
      </c>
    </row>
    <row r="118">
      <c r="A118" s="182" t="str">
        <f>IFERROR(__xludf.DUMMYFUNCTION("""COMPUTED_VALUE"""),"Cursewing")</f>
        <v>Cursewing</v>
      </c>
      <c r="B118" s="187" t="str">
        <f>IFERROR(__xludf.DUMMYFUNCTION("""COMPUTED_VALUE"""),"Luminary")</f>
        <v>Luminary</v>
      </c>
      <c r="C118" s="187">
        <f t="shared" si="1"/>
        <v>1</v>
      </c>
      <c r="D118" s="20" t="s">
        <v>2966</v>
      </c>
      <c r="E118" s="20">
        <v>1.0</v>
      </c>
    </row>
    <row r="119">
      <c r="A119" s="182"/>
      <c r="B119" s="187" t="str">
        <f>IFERROR(__xludf.DUMMYFUNCTION("""COMPUTED_VALUE"""),"Shepard")</f>
        <v>Shepard</v>
      </c>
      <c r="C119" s="187">
        <f t="shared" si="1"/>
        <v>1</v>
      </c>
      <c r="D119" s="20" t="s">
        <v>2967</v>
      </c>
      <c r="E119" s="20">
        <v>1.0</v>
      </c>
    </row>
    <row r="120">
      <c r="A120" s="182"/>
      <c r="B120" s="187" t="str">
        <f>IFERROR(__xludf.DUMMYFUNCTION("""COMPUTED_VALUE"""),"Morning")</f>
        <v>Morning</v>
      </c>
      <c r="C120" s="187">
        <f t="shared" si="1"/>
        <v>1</v>
      </c>
      <c r="D120" s="20" t="s">
        <v>2968</v>
      </c>
      <c r="E120" s="20">
        <v>1.0</v>
      </c>
    </row>
    <row r="121">
      <c r="A121" s="182"/>
      <c r="B121" s="187" t="str">
        <f>IFERROR(__xludf.DUMMYFUNCTION("""COMPUTED_VALUE"""),"Dew")</f>
        <v>Dew</v>
      </c>
      <c r="C121" s="187">
        <f t="shared" si="1"/>
        <v>1</v>
      </c>
      <c r="D121" s="20" t="s">
        <v>2969</v>
      </c>
      <c r="E121" s="20">
        <v>1.0</v>
      </c>
    </row>
    <row r="122">
      <c r="A122" s="182" t="str">
        <f>IFERROR(__xludf.DUMMYFUNCTION("""COMPUTED_VALUE"""),"Ivoryscar")</f>
        <v>Ivoryscar</v>
      </c>
      <c r="B122" s="187" t="str">
        <f>IFERROR(__xludf.DUMMYFUNCTION("""COMPUTED_VALUE"""),"Arboreal")</f>
        <v>Arboreal</v>
      </c>
      <c r="C122" s="187">
        <f t="shared" si="1"/>
        <v>1</v>
      </c>
      <c r="D122" s="20" t="s">
        <v>2970</v>
      </c>
      <c r="E122" s="20">
        <v>1.0</v>
      </c>
    </row>
    <row r="123">
      <c r="A123" s="182" t="str">
        <f>IFERROR(__xludf.DUMMYFUNCTION("""COMPUTED_VALUE"""),"Magistrate")</f>
        <v>Magistrate</v>
      </c>
      <c r="B123" s="187" t="str">
        <f>IFERROR(__xludf.DUMMYFUNCTION("""COMPUTED_VALUE"""),"Messenger")</f>
        <v>Messenger</v>
      </c>
      <c r="C123" s="187">
        <f t="shared" si="1"/>
        <v>1</v>
      </c>
      <c r="D123" s="20" t="s">
        <v>2971</v>
      </c>
      <c r="E123" s="20">
        <v>1.0</v>
      </c>
    </row>
    <row r="124">
      <c r="A124" s="182"/>
      <c r="B124" s="187" t="str">
        <f>IFERROR(__xludf.DUMMYFUNCTION("""COMPUTED_VALUE"""),"Auric")</f>
        <v>Auric</v>
      </c>
      <c r="C124" s="187">
        <f t="shared" si="1"/>
        <v>1</v>
      </c>
      <c r="D124" s="20" t="s">
        <v>2972</v>
      </c>
      <c r="E124" s="20">
        <v>1.0</v>
      </c>
    </row>
    <row r="125">
      <c r="A125" s="182"/>
      <c r="B125" s="187" t="str">
        <f>IFERROR(__xludf.DUMMYFUNCTION("""COMPUTED_VALUE"""),"Ant")</f>
        <v>Ant</v>
      </c>
      <c r="C125" s="187">
        <f t="shared" si="1"/>
        <v>2</v>
      </c>
      <c r="D125" s="20" t="s">
        <v>2973</v>
      </c>
      <c r="E125" s="20">
        <v>1.0</v>
      </c>
    </row>
    <row r="126">
      <c r="A126" s="182"/>
      <c r="B126" s="187" t="str">
        <f>IFERROR(__xludf.DUMMYFUNCTION("""COMPUTED_VALUE"""),"Regent")</f>
        <v>Regent</v>
      </c>
      <c r="C126" s="187">
        <f t="shared" si="1"/>
        <v>1</v>
      </c>
      <c r="D126" s="20" t="s">
        <v>2974</v>
      </c>
      <c r="E126" s="20">
        <v>1.0</v>
      </c>
    </row>
    <row r="127">
      <c r="A127" s="182" t="str">
        <f>IFERROR(__xludf.DUMMYFUNCTION("""COMPUTED_VALUE"""),"Kylix")</f>
        <v>Kylix</v>
      </c>
      <c r="B127" s="187" t="str">
        <f>IFERROR(__xludf.DUMMYFUNCTION("""COMPUTED_VALUE"""),"Blessing")</f>
        <v>Blessing</v>
      </c>
      <c r="C127" s="187">
        <f t="shared" si="1"/>
        <v>1</v>
      </c>
      <c r="D127" s="20" t="s">
        <v>2975</v>
      </c>
      <c r="E127" s="20">
        <v>1.0</v>
      </c>
    </row>
    <row r="128">
      <c r="A128" s="182" t="str">
        <f>IFERROR(__xludf.DUMMYFUNCTION("""COMPUTED_VALUE"""),"of")</f>
        <v>of</v>
      </c>
      <c r="B128" s="187" t="str">
        <f>IFERROR(__xludf.DUMMYFUNCTION("""COMPUTED_VALUE"""),"Bestower")</f>
        <v>Bestower</v>
      </c>
      <c r="C128" s="187">
        <f t="shared" si="1"/>
        <v>1</v>
      </c>
      <c r="D128" s="20" t="s">
        <v>2976</v>
      </c>
      <c r="E128" s="20">
        <v>1.0</v>
      </c>
    </row>
    <row r="129">
      <c r="A129" s="182" t="str">
        <f>IFERROR(__xludf.DUMMYFUNCTION("""COMPUTED_VALUE"""),"Excess")</f>
        <v>Excess</v>
      </c>
      <c r="B129" s="187" t="str">
        <f>IFERROR(__xludf.DUMMYFUNCTION("""COMPUTED_VALUE"""),"Waypost")</f>
        <v>Waypost</v>
      </c>
      <c r="C129" s="187">
        <f t="shared" si="1"/>
        <v>1</v>
      </c>
      <c r="D129" s="20" t="s">
        <v>2977</v>
      </c>
      <c r="E129" s="20">
        <v>1.0</v>
      </c>
    </row>
    <row r="130">
      <c r="A130" s="182"/>
      <c r="B130" s="187" t="str">
        <f>IFERROR(__xludf.DUMMYFUNCTION("""COMPUTED_VALUE"""),"Crimson")</f>
        <v>Crimson</v>
      </c>
      <c r="C130" s="187">
        <f t="shared" si="1"/>
        <v>1</v>
      </c>
      <c r="D130" s="20" t="s">
        <v>2978</v>
      </c>
      <c r="E130" s="20">
        <v>1.0</v>
      </c>
    </row>
    <row r="131">
      <c r="A131" s="182"/>
      <c r="B131" s="187" t="str">
        <f>IFERROR(__xludf.DUMMYFUNCTION("""COMPUTED_VALUE"""),"Flamechick")</f>
        <v>Flamechick</v>
      </c>
      <c r="C131" s="187">
        <f t="shared" si="1"/>
        <v>1</v>
      </c>
      <c r="D131" s="20" t="s">
        <v>2979</v>
      </c>
      <c r="E131" s="20">
        <v>1.0</v>
      </c>
    </row>
    <row r="132">
      <c r="A132" s="182" t="str">
        <f>IFERROR(__xludf.DUMMYFUNCTION("""COMPUTED_VALUE"""),"Mystic")</f>
        <v>Mystic</v>
      </c>
      <c r="B132" s="187" t="str">
        <f>IFERROR(__xludf.DUMMYFUNCTION("""COMPUTED_VALUE"""),"Ascended")</f>
        <v>Ascended</v>
      </c>
      <c r="C132" s="187">
        <f t="shared" si="1"/>
        <v>1</v>
      </c>
      <c r="D132" s="20" t="s">
        <v>2980</v>
      </c>
      <c r="E132" s="20">
        <v>1.0</v>
      </c>
    </row>
    <row r="133">
      <c r="A133" s="182" t="str">
        <f>IFERROR(__xludf.DUMMYFUNCTION("""COMPUTED_VALUE"""),"Puzzle")</f>
        <v>Puzzle</v>
      </c>
      <c r="B133" s="187" t="str">
        <f>IFERROR(__xludf.DUMMYFUNCTION("""COMPUTED_VALUE"""),"One")</f>
        <v>One</v>
      </c>
      <c r="C133" s="187">
        <f t="shared" si="1"/>
        <v>2</v>
      </c>
      <c r="D133" s="20" t="s">
        <v>2981</v>
      </c>
      <c r="E133" s="20">
        <v>1.0</v>
      </c>
    </row>
    <row r="134">
      <c r="A134" s="182" t="str">
        <f>IFERROR(__xludf.DUMMYFUNCTION("""COMPUTED_VALUE"""),"Box")</f>
        <v>Box</v>
      </c>
      <c r="B134" s="187" t="str">
        <f>IFERROR(__xludf.DUMMYFUNCTION("""COMPUTED_VALUE"""),"Rubyskull")</f>
        <v>Rubyskull</v>
      </c>
      <c r="C134" s="187">
        <f t="shared" si="1"/>
        <v>1</v>
      </c>
      <c r="D134" s="20" t="s">
        <v>2982</v>
      </c>
      <c r="E134" s="20">
        <v>1.0</v>
      </c>
    </row>
    <row r="135">
      <c r="A135" s="182"/>
      <c r="B135" s="187" t="str">
        <f>IFERROR(__xludf.DUMMYFUNCTION("""COMPUTED_VALUE"""),"Blackwing")</f>
        <v>Blackwing</v>
      </c>
      <c r="C135" s="187">
        <f t="shared" si="1"/>
        <v>1</v>
      </c>
      <c r="D135" s="20" t="s">
        <v>2983</v>
      </c>
      <c r="E135" s="20">
        <v>1.0</v>
      </c>
    </row>
    <row r="136">
      <c r="A136" s="182"/>
      <c r="B136" s="187" t="str">
        <f>IFERROR(__xludf.DUMMYFUNCTION("""COMPUTED_VALUE"""),"Usurper")</f>
        <v>Usurper</v>
      </c>
      <c r="C136" s="187">
        <f t="shared" si="1"/>
        <v>1</v>
      </c>
      <c r="D136" s="20" t="s">
        <v>2984</v>
      </c>
      <c r="E136" s="20">
        <v>1.0</v>
      </c>
    </row>
    <row r="137">
      <c r="A137" s="182" t="str">
        <f>IFERROR(__xludf.DUMMYFUNCTION("""COMPUTED_VALUE"""),"Monolith")</f>
        <v>Monolith</v>
      </c>
      <c r="B137" s="187" t="str">
        <f>IFERROR(__xludf.DUMMYFUNCTION("""COMPUTED_VALUE"""),"Celestial")</f>
        <v>Celestial</v>
      </c>
      <c r="C137" s="187">
        <f t="shared" si="1"/>
        <v>1</v>
      </c>
      <c r="D137" s="20" t="s">
        <v>2985</v>
      </c>
      <c r="E137" s="20">
        <v>1.0</v>
      </c>
    </row>
    <row r="138">
      <c r="A138" s="182" t="str">
        <f>IFERROR(__xludf.DUMMYFUNCTION("""COMPUTED_VALUE"""),"of")</f>
        <v>of</v>
      </c>
      <c r="B138" s="187" t="str">
        <f>IFERROR(__xludf.DUMMYFUNCTION("""COMPUTED_VALUE"""),"Second")</f>
        <v>Second</v>
      </c>
      <c r="C138" s="187">
        <f t="shared" si="1"/>
        <v>1</v>
      </c>
      <c r="D138" s="20" t="s">
        <v>2986</v>
      </c>
      <c r="E138" s="20">
        <v>1.0</v>
      </c>
    </row>
    <row r="139">
      <c r="A139" s="182" t="str">
        <f>IFERROR(__xludf.DUMMYFUNCTION("""COMPUTED_VALUE"""),"Meditation")</f>
        <v>Meditation</v>
      </c>
      <c r="B139" s="187" t="str">
        <f>IFERROR(__xludf.DUMMYFUNCTION("""COMPUTED_VALUE"""),"Wing")</f>
        <v>Wing</v>
      </c>
      <c r="C139" s="187">
        <f t="shared" si="1"/>
        <v>1</v>
      </c>
      <c r="D139" s="20" t="s">
        <v>2987</v>
      </c>
      <c r="E139" s="20">
        <v>1.0</v>
      </c>
    </row>
    <row r="140">
      <c r="A140" s="182"/>
      <c r="B140" s="187" t="str">
        <f>IFERROR(__xludf.DUMMYFUNCTION("""COMPUTED_VALUE"""),"Fatebreaker")</f>
        <v>Fatebreaker</v>
      </c>
      <c r="C140" s="187">
        <f t="shared" si="1"/>
        <v>1</v>
      </c>
      <c r="D140" s="20" t="s">
        <v>2988</v>
      </c>
      <c r="E140" s="20">
        <v>1.0</v>
      </c>
    </row>
    <row r="141">
      <c r="A141" s="182"/>
      <c r="B141" s="187" t="str">
        <f>IFERROR(__xludf.DUMMYFUNCTION("""COMPUTED_VALUE"""),"Moon")</f>
        <v>Moon</v>
      </c>
      <c r="C141" s="187">
        <f t="shared" si="1"/>
        <v>2</v>
      </c>
      <c r="D141" s="20" t="s">
        <v>2989</v>
      </c>
      <c r="E141" s="20">
        <v>1.0</v>
      </c>
    </row>
    <row r="142">
      <c r="A142" s="182" t="str">
        <f>IFERROR(__xludf.DUMMYFUNCTION("""COMPUTED_VALUE"""),"Oasis")</f>
        <v>Oasis</v>
      </c>
      <c r="B142" s="187" t="str">
        <f>IFERROR(__xludf.DUMMYFUNCTION("""COMPUTED_VALUE"""),"Priestess")</f>
        <v>Priestess</v>
      </c>
      <c r="C142" s="187">
        <f t="shared" si="1"/>
        <v>1</v>
      </c>
      <c r="D142" s="20" t="s">
        <v>2990</v>
      </c>
      <c r="E142" s="20">
        <v>1.0</v>
      </c>
    </row>
    <row r="143">
      <c r="A143" s="182" t="str">
        <f>IFERROR(__xludf.DUMMYFUNCTION("""COMPUTED_VALUE"""),"Sprite")</f>
        <v>Sprite</v>
      </c>
      <c r="B143" s="187" t="str">
        <f>IFERROR(__xludf.DUMMYFUNCTION("""COMPUTED_VALUE"""),"Airstep")</f>
        <v>Airstep</v>
      </c>
      <c r="C143" s="187">
        <f t="shared" si="1"/>
        <v>1</v>
      </c>
      <c r="D143" s="20" t="s">
        <v>2991</v>
      </c>
      <c r="E143" s="20">
        <v>1.0</v>
      </c>
    </row>
    <row r="144">
      <c r="A144" s="182"/>
      <c r="B144" s="187" t="str">
        <f>IFERROR(__xludf.DUMMYFUNCTION("""COMPUTED_VALUE"""),"Sifu")</f>
        <v>Sifu</v>
      </c>
      <c r="C144" s="187">
        <f t="shared" si="1"/>
        <v>1</v>
      </c>
      <c r="D144" s="20" t="s">
        <v>2992</v>
      </c>
      <c r="E144" s="20">
        <v>1.0</v>
      </c>
    </row>
    <row r="145">
      <c r="A145" s="182"/>
      <c r="B145" s="187" t="str">
        <f>IFERROR(__xludf.DUMMYFUNCTION("""COMPUTED_VALUE"""),"Moonspear")</f>
        <v>Moonspear</v>
      </c>
      <c r="C145" s="187">
        <f t="shared" si="1"/>
        <v>4</v>
      </c>
      <c r="D145" s="20" t="s">
        <v>2993</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2994</v>
      </c>
      <c r="E147" s="20">
        <v>1.0</v>
      </c>
    </row>
    <row r="148">
      <c r="A148" s="182" t="str">
        <f>IFERROR(__xludf.DUMMYFUNCTION("""COMPUTED_VALUE"""),"Bodyguard")</f>
        <v>Bodyguard</v>
      </c>
      <c r="B148" s="187" t="str">
        <f>IFERROR(__xludf.DUMMYFUNCTION("""COMPUTED_VALUE"""),"Grandmaster")</f>
        <v>Grandmaster</v>
      </c>
      <c r="C148" s="187">
        <f t="shared" si="1"/>
        <v>1</v>
      </c>
      <c r="D148" s="20" t="s">
        <v>2995</v>
      </c>
      <c r="E148" s="20">
        <v>1.0</v>
      </c>
    </row>
    <row r="149">
      <c r="A149" s="182"/>
      <c r="B149" s="187" t="str">
        <f>IFERROR(__xludf.DUMMYFUNCTION("""COMPUTED_VALUE"""),"Auraborne")</f>
        <v>Auraborne</v>
      </c>
      <c r="C149" s="187">
        <f t="shared" si="1"/>
        <v>1</v>
      </c>
      <c r="D149" s="20" t="s">
        <v>2996</v>
      </c>
      <c r="E149" s="20">
        <v>1.0</v>
      </c>
    </row>
    <row r="150">
      <c r="A150" s="182"/>
      <c r="B150" s="187" t="str">
        <f>IFERROR(__xludf.DUMMYFUNCTION("""COMPUTED_VALUE"""),"Wyvern")</f>
        <v>Wyvern</v>
      </c>
      <c r="C150" s="187">
        <f t="shared" si="1"/>
        <v>3</v>
      </c>
      <c r="D150" s="20" t="s">
        <v>2997</v>
      </c>
      <c r="E150" s="20">
        <v>1.0</v>
      </c>
    </row>
    <row r="151">
      <c r="A151" s="182"/>
      <c r="B151" s="187" t="str">
        <f>IFERROR(__xludf.DUMMYFUNCTION("""COMPUTED_VALUE"""),"Blazecharm")</f>
        <v>Blazecharm</v>
      </c>
      <c r="C151" s="187">
        <f t="shared" si="1"/>
        <v>1</v>
      </c>
      <c r="D151" s="20" t="s">
        <v>2998</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2999</v>
      </c>
      <c r="E153" s="20">
        <v>1.0</v>
      </c>
    </row>
    <row r="154">
      <c r="A154" s="182"/>
      <c r="B154" s="187" t="str">
        <f>IFERROR(__xludf.DUMMYFUNCTION("""COMPUTED_VALUE"""),"Gearhulk")</f>
        <v>Gearhulk</v>
      </c>
      <c r="C154" s="187">
        <f t="shared" si="1"/>
        <v>1</v>
      </c>
      <c r="D154" s="20" t="s">
        <v>3000</v>
      </c>
      <c r="E154" s="20">
        <v>1.0</v>
      </c>
    </row>
    <row r="155">
      <c r="A155" s="182"/>
      <c r="B155" s="187" t="str">
        <f>IFERROR(__xludf.DUMMYFUNCTION("""COMPUTED_VALUE"""),"Boiling")</f>
        <v>Boiling</v>
      </c>
      <c r="C155" s="187">
        <f t="shared" si="1"/>
        <v>1</v>
      </c>
      <c r="D155" s="20" t="s">
        <v>3001</v>
      </c>
      <c r="E155" s="20">
        <v>1.0</v>
      </c>
    </row>
    <row r="156">
      <c r="A156" s="182"/>
      <c r="B156" s="187" t="str">
        <f>IFERROR(__xludf.DUMMYFUNCTION("""COMPUTED_VALUE"""),"Blood")</f>
        <v>Blood</v>
      </c>
      <c r="C156" s="187">
        <f t="shared" si="1"/>
        <v>2</v>
      </c>
      <c r="D156" s="20" t="s">
        <v>3002</v>
      </c>
      <c r="E156" s="20">
        <v>1.0</v>
      </c>
    </row>
    <row r="157">
      <c r="A157" s="182" t="str">
        <f>IFERROR(__xludf.DUMMYFUNCTION("""COMPUTED_VALUE"""),"Pyramidion")</f>
        <v>Pyramidion</v>
      </c>
      <c r="B157" s="187" t="str">
        <f>IFERROR(__xludf.DUMMYFUNCTION("""COMPUTED_VALUE"""),"Berserker")</f>
        <v>Berserker</v>
      </c>
      <c r="C157" s="187">
        <f t="shared" si="1"/>
        <v>1</v>
      </c>
      <c r="D157" s="20" t="s">
        <v>3003</v>
      </c>
      <c r="E157" s="20">
        <v>1.0</v>
      </c>
    </row>
    <row r="158">
      <c r="A158" s="182"/>
      <c r="B158" s="187" t="str">
        <f>IFERROR(__xludf.DUMMYFUNCTION("""COMPUTED_VALUE"""),"Goat")</f>
        <v>Goat</v>
      </c>
      <c r="C158" s="187">
        <f t="shared" si="1"/>
        <v>1</v>
      </c>
      <c r="D158" s="20" t="s">
        <v>3004</v>
      </c>
      <c r="E158" s="20">
        <v>1.0</v>
      </c>
    </row>
    <row r="159">
      <c r="A159" s="182"/>
      <c r="B159" s="187" t="str">
        <f>IFERROR(__xludf.DUMMYFUNCTION("""COMPUTED_VALUE"""),"Oracle")</f>
        <v>Oracle</v>
      </c>
      <c r="C159" s="187">
        <f t="shared" si="1"/>
        <v>2</v>
      </c>
      <c r="D159" s="20" t="s">
        <v>3005</v>
      </c>
      <c r="E159" s="20">
        <v>1.0</v>
      </c>
    </row>
    <row r="160">
      <c r="A160" s="182"/>
      <c r="B160" s="187" t="str">
        <f>IFERROR(__xludf.DUMMYFUNCTION("""COMPUTED_VALUE"""),"Sagehorn")</f>
        <v>Sagehorn</v>
      </c>
      <c r="C160" s="187">
        <f t="shared" si="1"/>
        <v>1</v>
      </c>
      <c r="D160" s="20" t="s">
        <v>3006</v>
      </c>
      <c r="E160" s="20">
        <v>1.0</v>
      </c>
    </row>
    <row r="161">
      <c r="A161" s="182"/>
      <c r="B161" s="187" t="str">
        <f>IFERROR(__xludf.DUMMYFUNCTION("""COMPUTED_VALUE"""),"Sunblessed")</f>
        <v>Sunblessed</v>
      </c>
      <c r="C161" s="187">
        <f t="shared" si="1"/>
        <v>1</v>
      </c>
      <c r="D161" s="20" t="s">
        <v>3007</v>
      </c>
      <c r="E161" s="20">
        <v>1.0</v>
      </c>
    </row>
    <row r="162">
      <c r="A162" s="182" t="str">
        <f>IFERROR(__xludf.DUMMYFUNCTION("""COMPUTED_VALUE"""),"Sekhem")</f>
        <v>Sekhem</v>
      </c>
      <c r="B162" s="187" t="str">
        <f>IFERROR(__xludf.DUMMYFUNCTION("""COMPUTED_VALUE"""),"Crocodile")</f>
        <v>Crocodile</v>
      </c>
      <c r="C162" s="187">
        <f t="shared" si="1"/>
        <v>1</v>
      </c>
      <c r="D162" s="20" t="s">
        <v>3008</v>
      </c>
      <c r="E162" s="20">
        <v>1.0</v>
      </c>
    </row>
    <row r="163">
      <c r="A163" s="182" t="str">
        <f>IFERROR(__xludf.DUMMYFUNCTION("""COMPUTED_VALUE"""),"Chariot")</f>
        <v>Chariot</v>
      </c>
      <c r="B163" s="187" t="str">
        <f>IFERROR(__xludf.DUMMYFUNCTION("""COMPUTED_VALUE"""),"Kois")</f>
        <v>Kois</v>
      </c>
      <c r="C163" s="187">
        <f t="shared" si="1"/>
        <v>1</v>
      </c>
      <c r="D163" s="20" t="s">
        <v>3009</v>
      </c>
      <c r="E163" s="20">
        <v>1.0</v>
      </c>
    </row>
    <row r="164">
      <c r="A164" s="182"/>
      <c r="B164" s="187" t="str">
        <f>IFERROR(__xludf.DUMMYFUNCTION("""COMPUTED_VALUE"""),"Duality")</f>
        <v>Duality</v>
      </c>
      <c r="C164" s="187">
        <f t="shared" si="1"/>
        <v>1</v>
      </c>
      <c r="D164" s="20" t="s">
        <v>3010</v>
      </c>
      <c r="E164" s="20">
        <v>1.0</v>
      </c>
    </row>
    <row r="165">
      <c r="A165" s="182"/>
      <c r="B165" s="187" t="str">
        <f>IFERROR(__xludf.DUMMYFUNCTION("""COMPUTED_VALUE"""),"Eclipsion")</f>
        <v>Eclipsion</v>
      </c>
      <c r="C165" s="187">
        <f t="shared" si="1"/>
        <v>1</v>
      </c>
      <c r="D165" s="20" t="s">
        <v>3011</v>
      </c>
      <c r="E165" s="20">
        <v>1.0</v>
      </c>
    </row>
    <row r="166">
      <c r="A166" s="182"/>
      <c r="B166" s="187" t="str">
        <f>IFERROR(__xludf.DUMMYFUNCTION("""COMPUTED_VALUE"""),"Fallen")</f>
        <v>Fallen</v>
      </c>
      <c r="C166" s="187">
        <f t="shared" si="1"/>
        <v>1</v>
      </c>
      <c r="D166" s="20" t="s">
        <v>3012</v>
      </c>
      <c r="E166" s="20">
        <v>1.0</v>
      </c>
    </row>
    <row r="167">
      <c r="A167" s="182" t="str">
        <f>IFERROR(__xludf.DUMMYFUNCTION("""COMPUTED_VALUE"""),"Obsidian")</f>
        <v>Obsidian</v>
      </c>
      <c r="B167" s="187" t="str">
        <f>IFERROR(__xludf.DUMMYFUNCTION("""COMPUTED_VALUE"""),"Diamond")</f>
        <v>Diamond</v>
      </c>
      <c r="C167" s="187">
        <f t="shared" si="1"/>
        <v>1</v>
      </c>
      <c r="D167" s="20" t="s">
        <v>3013</v>
      </c>
      <c r="E167" s="20">
        <v>1.0</v>
      </c>
    </row>
    <row r="168">
      <c r="A168" s="182" t="str">
        <f>IFERROR(__xludf.DUMMYFUNCTION("""COMPUTED_VALUE"""),"Scarab")</f>
        <v>Scarab</v>
      </c>
      <c r="B168" s="187" t="str">
        <f>IFERROR(__xludf.DUMMYFUNCTION("""COMPUTED_VALUE"""),"Phantom")</f>
        <v>Phantom</v>
      </c>
      <c r="C168" s="187">
        <f t="shared" si="1"/>
        <v>1</v>
      </c>
      <c r="D168" s="20" t="s">
        <v>3014</v>
      </c>
      <c r="E168" s="20">
        <v>1.0</v>
      </c>
    </row>
    <row r="169">
      <c r="A169" s="182"/>
      <c r="B169" s="187" t="str">
        <f>IFERROR(__xludf.DUMMYFUNCTION("""COMPUTED_VALUE"""),"Draconic")</f>
        <v>Draconic</v>
      </c>
      <c r="C169" s="187">
        <f t="shared" si="1"/>
        <v>1</v>
      </c>
      <c r="D169" s="20" t="s">
        <v>3015</v>
      </c>
      <c r="E169" s="20">
        <v>1.0</v>
      </c>
    </row>
    <row r="170">
      <c r="A170" s="182"/>
      <c r="B170" s="187" t="str">
        <f>IFERROR(__xludf.DUMMYFUNCTION("""COMPUTED_VALUE"""),"Highpriest")</f>
        <v>Highpriest</v>
      </c>
      <c r="C170" s="187">
        <f t="shared" si="1"/>
        <v>1</v>
      </c>
      <c r="D170" s="20" t="s">
        <v>3016</v>
      </c>
      <c r="E170" s="20">
        <v>1.0</v>
      </c>
    </row>
    <row r="171">
      <c r="A171" s="182"/>
      <c r="B171" s="187" t="str">
        <f>IFERROR(__xludf.DUMMYFUNCTION("""COMPUTED_VALUE"""),"Cavern")</f>
        <v>Cavern</v>
      </c>
      <c r="C171" s="187">
        <f t="shared" si="1"/>
        <v>1</v>
      </c>
      <c r="D171" s="20" t="s">
        <v>3017</v>
      </c>
      <c r="E171" s="20">
        <v>1.0</v>
      </c>
    </row>
    <row r="172">
      <c r="A172" s="182" t="str">
        <f>IFERROR(__xludf.DUMMYFUNCTION("""COMPUTED_VALUE"""),"Solarsteel")</f>
        <v>Solarsteel</v>
      </c>
      <c r="B172" s="187" t="str">
        <f>IFERROR(__xludf.DUMMYFUNCTION("""COMPUTED_VALUE"""),"Lindwurm")</f>
        <v>Lindwurm</v>
      </c>
      <c r="C172" s="187">
        <f t="shared" si="1"/>
        <v>1</v>
      </c>
      <c r="D172" s="20" t="s">
        <v>3018</v>
      </c>
      <c r="E172" s="20">
        <v>1.0</v>
      </c>
    </row>
    <row r="173">
      <c r="A173" s="182" t="str">
        <f>IFERROR(__xludf.DUMMYFUNCTION("""COMPUTED_VALUE"""),"Prodigy")</f>
        <v>Prodigy</v>
      </c>
      <c r="B173" s="187" t="str">
        <f>IFERROR(__xludf.DUMMYFUNCTION("""COMPUTED_VALUE"""),"Cheerful")</f>
        <v>Cheerful</v>
      </c>
      <c r="C173" s="187">
        <f t="shared" si="1"/>
        <v>1</v>
      </c>
      <c r="D173" s="20" t="s">
        <v>3019</v>
      </c>
      <c r="E173" s="20">
        <v>1.0</v>
      </c>
    </row>
    <row r="174">
      <c r="A174" s="182"/>
      <c r="B174" s="187" t="str">
        <f>IFERROR(__xludf.DUMMYFUNCTION("""COMPUTED_VALUE"""),"Pixies")</f>
        <v>Pixies</v>
      </c>
      <c r="C174" s="187">
        <f t="shared" si="1"/>
        <v>1</v>
      </c>
      <c r="D174" s="20" t="s">
        <v>3020</v>
      </c>
      <c r="E174" s="20">
        <v>1.0</v>
      </c>
    </row>
    <row r="175">
      <c r="A175" s="182"/>
      <c r="B175" s="187" t="str">
        <f>IFERROR(__xludf.DUMMYFUNCTION("""COMPUTED_VALUE"""),"Cinderguard")</f>
        <v>Cinderguard</v>
      </c>
      <c r="C175" s="187">
        <f t="shared" si="1"/>
        <v>5</v>
      </c>
      <c r="D175" s="20" t="s">
        <v>3021</v>
      </c>
      <c r="E175" s="20">
        <v>1.0</v>
      </c>
    </row>
    <row r="176">
      <c r="A176" s="182"/>
      <c r="B176" s="187" t="str">
        <f>IFERROR(__xludf.DUMMYFUNCTION("""COMPUTED_VALUE"""),"Scribe")</f>
        <v>Scribe</v>
      </c>
      <c r="C176" s="187">
        <f t="shared" si="1"/>
        <v>1</v>
      </c>
      <c r="D176" s="20" t="s">
        <v>3022</v>
      </c>
      <c r="E176" s="20">
        <v>1.0</v>
      </c>
    </row>
    <row r="177">
      <c r="A177" s="182" t="str">
        <f>IFERROR(__xludf.DUMMYFUNCTION("""COMPUTED_VALUE"""),"Starforger")</f>
        <v>Starforger</v>
      </c>
      <c r="B177" s="187" t="str">
        <f>IFERROR(__xludf.DUMMYFUNCTION("""COMPUTED_VALUE"""),"Daredevil")</f>
        <v>Daredevil</v>
      </c>
      <c r="C177" s="187">
        <f t="shared" si="1"/>
        <v>1</v>
      </c>
      <c r="D177" s="20" t="s">
        <v>3023</v>
      </c>
      <c r="E177" s="20">
        <v>1.0</v>
      </c>
    </row>
    <row r="178">
      <c r="A178" s="182"/>
      <c r="B178" s="187" t="str">
        <f>IFERROR(__xludf.DUMMYFUNCTION("""COMPUTED_VALUE"""),"Duo")</f>
        <v>Duo</v>
      </c>
      <c r="C178" s="187">
        <f t="shared" si="1"/>
        <v>1</v>
      </c>
      <c r="D178" s="20" t="s">
        <v>3024</v>
      </c>
      <c r="E178" s="20">
        <v>1.0</v>
      </c>
    </row>
    <row r="179">
      <c r="A179" s="182"/>
      <c r="B179" s="187" t="str">
        <f>IFERROR(__xludf.DUMMYFUNCTION("""COMPUTED_VALUE"""),"Beetle")</f>
        <v>Beetle</v>
      </c>
      <c r="C179" s="187">
        <f t="shared" si="1"/>
        <v>3</v>
      </c>
      <c r="D179" s="20" t="s">
        <v>3025</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3026</v>
      </c>
      <c r="E181" s="20">
        <v>1.0</v>
      </c>
    </row>
    <row r="182">
      <c r="A182" s="182" t="str">
        <f>IFERROR(__xludf.DUMMYFUNCTION("""COMPUTED_VALUE"""),"Swiftblade")</f>
        <v>Swiftblade</v>
      </c>
      <c r="B182" s="187" t="str">
        <f>IFERROR(__xludf.DUMMYFUNCTION("""COMPUTED_VALUE"""),"Floating")</f>
        <v>Floating</v>
      </c>
      <c r="C182" s="187">
        <f t="shared" si="1"/>
        <v>1</v>
      </c>
      <c r="D182" s="20" t="s">
        <v>3027</v>
      </c>
      <c r="E182" s="20">
        <v>1.0</v>
      </c>
    </row>
    <row r="183">
      <c r="A183" s="182" t="str">
        <f>IFERROR(__xludf.DUMMYFUNCTION("""COMPUTED_VALUE"""),"Revenger")</f>
        <v>Revenger</v>
      </c>
      <c r="B183" s="187" t="str">
        <f>IFERROR(__xludf.DUMMYFUNCTION("""COMPUTED_VALUE"""),"Djinn")</f>
        <v>Djinn</v>
      </c>
      <c r="C183" s="187">
        <f t="shared" si="1"/>
        <v>1</v>
      </c>
      <c r="D183" s="20" t="s">
        <v>3028</v>
      </c>
      <c r="E183" s="20">
        <v>1.0</v>
      </c>
    </row>
    <row r="184">
      <c r="A184" s="182"/>
      <c r="B184" s="187" t="str">
        <f>IFERROR(__xludf.DUMMYFUNCTION("""COMPUTED_VALUE"""),"Dewdrop")</f>
        <v>Dewdrop</v>
      </c>
      <c r="C184" s="187">
        <f t="shared" si="1"/>
        <v>1</v>
      </c>
      <c r="D184" s="20" t="s">
        <v>3029</v>
      </c>
      <c r="E184" s="20">
        <v>1.0</v>
      </c>
    </row>
    <row r="185">
      <c r="A185" s="182"/>
      <c r="B185" s="187" t="str">
        <f>IFERROR(__xludf.DUMMYFUNCTION("""COMPUTED_VALUE"""),"Dragon")</f>
        <v>Dragon</v>
      </c>
      <c r="C185" s="187">
        <f t="shared" si="1"/>
        <v>6</v>
      </c>
      <c r="D185" s="20" t="s">
        <v>3030</v>
      </c>
      <c r="E185" s="20">
        <v>1.0</v>
      </c>
    </row>
    <row r="186">
      <c r="A186" s="182"/>
      <c r="B186" s="187" t="str">
        <f>IFERROR(__xludf.DUMMYFUNCTION("""COMPUTED_VALUE"""),"Egg")</f>
        <v>Egg</v>
      </c>
      <c r="C186" s="187">
        <f t="shared" si="1"/>
        <v>1</v>
      </c>
      <c r="D186" s="20" t="s">
        <v>3031</v>
      </c>
      <c r="E186" s="20">
        <v>1.0</v>
      </c>
    </row>
    <row r="187">
      <c r="A187" s="182" t="str">
        <f>IFERROR(__xludf.DUMMYFUNCTION("""COMPUTED_VALUE"""),"The")</f>
        <v>The</v>
      </c>
      <c r="B187" s="187" t="str">
        <f>IFERROR(__xludf.DUMMYFUNCTION("""COMPUTED_VALUE"""),"Dustdance")</f>
        <v>Dustdance</v>
      </c>
      <c r="C187" s="187">
        <f t="shared" si="1"/>
        <v>1</v>
      </c>
      <c r="D187" s="20" t="s">
        <v>3032</v>
      </c>
      <c r="E187" s="20">
        <v>1.0</v>
      </c>
    </row>
    <row r="188">
      <c r="A188" s="182" t="str">
        <f>IFERROR(__xludf.DUMMYFUNCTION("""COMPUTED_VALUE"""),"Kitty")</f>
        <v>Kitty</v>
      </c>
      <c r="B188" s="187" t="str">
        <f>IFERROR(__xludf.DUMMYFUNCTION("""COMPUTED_VALUE"""),"Efreet")</f>
        <v>Efreet</v>
      </c>
      <c r="C188" s="187">
        <f t="shared" si="1"/>
        <v>1</v>
      </c>
      <c r="D188" s="20" t="s">
        <v>3033</v>
      </c>
      <c r="E188" s="20">
        <v>1.0</v>
      </c>
    </row>
    <row r="189">
      <c r="A189" s="182" t="str">
        <f>IFERROR(__xludf.DUMMYFUNCTION("""COMPUTED_VALUE"""),"of")</f>
        <v>of</v>
      </c>
      <c r="B189" s="187" t="str">
        <f>IFERROR(__xludf.DUMMYFUNCTION("""COMPUTED_VALUE"""),"Hermit")</f>
        <v>Hermit</v>
      </c>
      <c r="C189" s="187">
        <f t="shared" si="1"/>
        <v>3</v>
      </c>
      <c r="D189" s="20" t="s">
        <v>3034</v>
      </c>
      <c r="E189" s="20">
        <v>1.0</v>
      </c>
    </row>
    <row r="190">
      <c r="A190" s="182" t="str">
        <f>IFERROR(__xludf.DUMMYFUNCTION("""COMPUTED_VALUE"""),"Thamiel")</f>
        <v>Thamiel</v>
      </c>
      <c r="B190" s="187" t="str">
        <f>IFERROR(__xludf.DUMMYFUNCTION("""COMPUTED_VALUE"""),"Horizon")</f>
        <v>Horizon</v>
      </c>
      <c r="C190" s="187">
        <f t="shared" si="1"/>
        <v>1</v>
      </c>
      <c r="D190" s="20" t="s">
        <v>3035</v>
      </c>
      <c r="E190" s="20">
        <v>1.0</v>
      </c>
    </row>
    <row r="191">
      <c r="A191" s="182"/>
      <c r="B191" s="187" t="str">
        <f>IFERROR(__xludf.DUMMYFUNCTION("""COMPUTED_VALUE"""),"Roughlands")</f>
        <v>Roughlands</v>
      </c>
      <c r="C191" s="187">
        <f t="shared" si="1"/>
        <v>1</v>
      </c>
      <c r="D191" s="20" t="s">
        <v>3036</v>
      </c>
      <c r="E191" s="20">
        <v>1.0</v>
      </c>
    </row>
    <row r="192">
      <c r="A192" s="182" t="str">
        <f>IFERROR(__xludf.DUMMYFUNCTION("""COMPUTED_VALUE"""),"Thunderswarm")</f>
        <v>Thunderswarm</v>
      </c>
      <c r="B192" s="187" t="str">
        <f>IFERROR(__xludf.DUMMYFUNCTION("""COMPUTED_VALUE"""),"Scourge")</f>
        <v>Scourge</v>
      </c>
      <c r="C192" s="187">
        <f t="shared" si="1"/>
        <v>1</v>
      </c>
      <c r="D192" s="20" t="s">
        <v>3037</v>
      </c>
      <c r="E192" s="20">
        <v>1.0</v>
      </c>
    </row>
    <row r="193">
      <c r="A193" s="182" t="str">
        <f>IFERROR(__xludf.DUMMYFUNCTION("""COMPUTED_VALUE"""),"Skirmisher")</f>
        <v>Skirmisher</v>
      </c>
      <c r="B193" s="187" t="str">
        <f>IFERROR(__xludf.DUMMYFUNCTION("""COMPUTED_VALUE"""),"Mirrorworld")</f>
        <v>Mirrorworld</v>
      </c>
      <c r="C193" s="187">
        <f t="shared" si="1"/>
        <v>1</v>
      </c>
      <c r="D193" s="20" t="s">
        <v>3038</v>
      </c>
      <c r="E193" s="20">
        <v>1.0</v>
      </c>
    </row>
    <row r="194">
      <c r="A194" s="182"/>
      <c r="B194" s="187" t="str">
        <f>IFERROR(__xludf.DUMMYFUNCTION("""COMPUTED_VALUE"""),"Bloodseeker")</f>
        <v>Bloodseeker</v>
      </c>
      <c r="C194" s="187">
        <f t="shared" si="1"/>
        <v>1</v>
      </c>
      <c r="D194" s="20" t="s">
        <v>3039</v>
      </c>
      <c r="E194" s="20">
        <v>1.0</v>
      </c>
    </row>
    <row r="195">
      <c r="A195" s="182"/>
      <c r="B195" s="187" t="str">
        <f>IFERROR(__xludf.DUMMYFUNCTION("""COMPUTED_VALUE"""),"Mountain")</f>
        <v>Mountain</v>
      </c>
      <c r="C195" s="187">
        <f t="shared" si="1"/>
        <v>1</v>
      </c>
      <c r="D195" s="20" t="s">
        <v>3040</v>
      </c>
      <c r="E195" s="20">
        <v>1.0</v>
      </c>
    </row>
    <row r="196">
      <c r="A196" s="182"/>
      <c r="B196" s="187" t="str">
        <f>IFERROR(__xludf.DUMMYFUNCTION("""COMPUTED_VALUE"""),"Sage")</f>
        <v>Sage</v>
      </c>
      <c r="C196" s="187">
        <f t="shared" si="1"/>
        <v>1</v>
      </c>
      <c r="D196" s="20" t="s">
        <v>3041</v>
      </c>
      <c r="E196" s="20">
        <v>1.0</v>
      </c>
    </row>
    <row r="197">
      <c r="A197" s="182" t="str">
        <f>IFERROR(__xludf.DUMMYFUNCTION("""COMPUTED_VALUE"""),"Tranquil")</f>
        <v>Tranquil</v>
      </c>
      <c r="B197" s="187" t="str">
        <f>IFERROR(__xludf.DUMMYFUNCTION("""COMPUTED_VALUE"""),"Nimbus")</f>
        <v>Nimbus</v>
      </c>
      <c r="C197" s="187">
        <f t="shared" si="1"/>
        <v>1</v>
      </c>
      <c r="D197" s="20" t="s">
        <v>3042</v>
      </c>
      <c r="E197" s="20">
        <v>1.0</v>
      </c>
    </row>
    <row r="198">
      <c r="A198" s="182" t="str">
        <f>IFERROR(__xludf.DUMMYFUNCTION("""COMPUTED_VALUE"""),"Herd")</f>
        <v>Herd</v>
      </c>
      <c r="B198" s="187" t="str">
        <f>IFERROR(__xludf.DUMMYFUNCTION("""COMPUTED_VALUE"""),"Claw")</f>
        <v>Claw</v>
      </c>
      <c r="C198" s="187">
        <f t="shared" si="1"/>
        <v>2</v>
      </c>
      <c r="D198" s="20" t="s">
        <v>3043</v>
      </c>
      <c r="E198" s="20">
        <v>1.0</v>
      </c>
    </row>
    <row r="199">
      <c r="A199" s="182" t="str">
        <f>IFERROR(__xludf.DUMMYFUNCTION("""COMPUTED_VALUE"""),"Gem")</f>
        <v>Gem</v>
      </c>
      <c r="B199" s="187" t="str">
        <f>IFERROR(__xludf.DUMMYFUNCTION("""COMPUTED_VALUE"""),"Omen")</f>
        <v>Omen</v>
      </c>
      <c r="C199" s="187">
        <f t="shared" si="1"/>
        <v>1</v>
      </c>
      <c r="D199" s="20" t="s">
        <v>3044</v>
      </c>
      <c r="E199" s="20">
        <v>1.0</v>
      </c>
    </row>
    <row r="200">
      <c r="A200" s="182" t="str">
        <f>IFERROR(__xludf.DUMMYFUNCTION("""COMPUTED_VALUE"""),"Titan")</f>
        <v>Titan</v>
      </c>
      <c r="B200" s="187" t="str">
        <f>IFERROR(__xludf.DUMMYFUNCTION("""COMPUTED_VALUE"""),"Firefly")</f>
        <v>Firefly</v>
      </c>
      <c r="C200" s="187">
        <f t="shared" si="1"/>
        <v>1</v>
      </c>
      <c r="D200" s="20" t="s">
        <v>3045</v>
      </c>
      <c r="E200" s="20">
        <v>1.0</v>
      </c>
    </row>
    <row r="201">
      <c r="A201" s="182"/>
      <c r="B201" s="187" t="str">
        <f>IFERROR(__xludf.DUMMYFUNCTION("""COMPUTED_VALUE"""),"Pixie")</f>
        <v>Pixie</v>
      </c>
      <c r="C201" s="187">
        <f t="shared" si="1"/>
        <v>1</v>
      </c>
      <c r="D201" s="20" t="s">
        <v>3046</v>
      </c>
      <c r="E201" s="20">
        <v>1.0</v>
      </c>
    </row>
    <row r="202">
      <c r="A202" s="182" t="str">
        <f>IFERROR(__xludf.DUMMYFUNCTION("""COMPUTED_VALUE"""),"Towering")</f>
        <v>Towering</v>
      </c>
      <c r="B202" s="187" t="str">
        <f>IFERROR(__xludf.DUMMYFUNCTION("""COMPUTED_VALUE"""),"Summoner")</f>
        <v>Summoner</v>
      </c>
      <c r="C202" s="187">
        <f t="shared" si="1"/>
        <v>1</v>
      </c>
      <c r="D202" s="20" t="s">
        <v>3047</v>
      </c>
      <c r="E202" s="20">
        <v>1.0</v>
      </c>
    </row>
    <row r="203">
      <c r="A203" s="182" t="str">
        <f>IFERROR(__xludf.DUMMYFUNCTION("""COMPUTED_VALUE"""),"Obelisk")</f>
        <v>Obelisk</v>
      </c>
      <c r="B203" s="187" t="str">
        <f>IFERROR(__xludf.DUMMYFUNCTION("""COMPUTED_VALUE"""),"Pyretic")</f>
        <v>Pyretic</v>
      </c>
      <c r="C203" s="187">
        <f t="shared" si="1"/>
        <v>1</v>
      </c>
      <c r="D203" s="20" t="s">
        <v>3048</v>
      </c>
      <c r="E203" s="20">
        <v>1.0</v>
      </c>
    </row>
    <row r="204">
      <c r="A204" s="182" t="str">
        <f>IFERROR(__xludf.DUMMYFUNCTION("""COMPUTED_VALUE"""),"of")</f>
        <v>of</v>
      </c>
      <c r="B204" s="187" t="str">
        <f>IFERROR(__xludf.DUMMYFUNCTION("""COMPUTED_VALUE"""),"Pet")</f>
        <v>Pet</v>
      </c>
      <c r="C204" s="187">
        <f t="shared" si="1"/>
        <v>1</v>
      </c>
      <c r="D204" s="20" t="s">
        <v>3049</v>
      </c>
      <c r="E204" s="20">
        <v>1.0</v>
      </c>
    </row>
    <row r="205">
      <c r="A205" s="182" t="str">
        <f>IFERROR(__xludf.DUMMYFUNCTION("""COMPUTED_VALUE"""),"Xi")</f>
        <v>Xi</v>
      </c>
      <c r="B205" s="187" t="str">
        <f>IFERROR(__xludf.DUMMYFUNCTION("""COMPUTED_VALUE"""),"Shifting")</f>
        <v>Shifting</v>
      </c>
      <c r="C205" s="187">
        <f t="shared" si="1"/>
        <v>1</v>
      </c>
      <c r="D205" s="20" t="s">
        <v>3050</v>
      </c>
      <c r="E205" s="20">
        <v>1.0</v>
      </c>
    </row>
    <row r="206">
      <c r="A206" s="182"/>
      <c r="B206" s="187" t="str">
        <f>IFERROR(__xludf.DUMMYFUNCTION("""COMPUTED_VALUE"""),"Sands")</f>
        <v>Sands</v>
      </c>
      <c r="C206" s="187">
        <f t="shared" si="1"/>
        <v>1</v>
      </c>
      <c r="D206" s="20" t="s">
        <v>3051</v>
      </c>
      <c r="E206" s="20">
        <v>1.0</v>
      </c>
    </row>
    <row r="207">
      <c r="A207" s="182" t="str">
        <f>IFERROR(__xludf.DUMMYFUNCTION("""COMPUTED_VALUE"""),"Thunderswarm")</f>
        <v>Thunderswarm</v>
      </c>
      <c r="B207" s="187" t="str">
        <f>IFERROR(__xludf.DUMMYFUNCTION("""COMPUTED_VALUE"""),"Torii")</f>
        <v>Torii</v>
      </c>
      <c r="C207" s="187">
        <f t="shared" si="1"/>
        <v>1</v>
      </c>
      <c r="D207" s="20" t="s">
        <v>3052</v>
      </c>
      <c r="E207" s="20">
        <v>1.0</v>
      </c>
    </row>
    <row r="208">
      <c r="A208" s="182" t="str">
        <f>IFERROR(__xludf.DUMMYFUNCTION("""COMPUTED_VALUE"""),"Pegasus")</f>
        <v>Pegasus</v>
      </c>
      <c r="B208" s="187" t="str">
        <f>IFERROR(__xludf.DUMMYFUNCTION("""COMPUTED_VALUE"""),"Spirit")</f>
        <v>Spirit</v>
      </c>
      <c r="C208" s="187">
        <f t="shared" si="1"/>
        <v>1</v>
      </c>
      <c r="D208" s="20" t="s">
        <v>3053</v>
      </c>
      <c r="E208" s="20">
        <v>1.0</v>
      </c>
    </row>
    <row r="209">
      <c r="A209" s="182"/>
      <c r="B209" s="187" t="str">
        <f>IFERROR(__xludf.DUMMYFUNCTION("""COMPUTED_VALUE"""),"Red")</f>
        <v>Red</v>
      </c>
      <c r="C209" s="187">
        <f t="shared" si="1"/>
        <v>2</v>
      </c>
      <c r="D209" s="20" t="s">
        <v>3054</v>
      </c>
      <c r="E209" s="20">
        <v>1.0</v>
      </c>
    </row>
    <row r="210">
      <c r="A210" s="182"/>
      <c r="B210" s="187" t="str">
        <f>IFERROR(__xludf.DUMMYFUNCTION("""COMPUTED_VALUE"""),"Windkite")</f>
        <v>Windkite</v>
      </c>
      <c r="C210" s="187">
        <f t="shared" si="1"/>
        <v>1</v>
      </c>
      <c r="D210" s="20" t="s">
        <v>3055</v>
      </c>
      <c r="E210" s="20">
        <v>1.0</v>
      </c>
    </row>
    <row r="211">
      <c r="A211" s="182"/>
      <c r="B211" s="187" t="str">
        <f>IFERROR(__xludf.DUMMYFUNCTION("""COMPUTED_VALUE"""),"Acolyte")</f>
        <v>Acolyte</v>
      </c>
      <c r="C211" s="187">
        <f t="shared" si="1"/>
        <v>2</v>
      </c>
      <c r="D211" s="20" t="s">
        <v>3056</v>
      </c>
      <c r="E211" s="20">
        <v>1.0</v>
      </c>
    </row>
    <row r="212">
      <c r="A212" s="182" t="str">
        <f>IFERROR(__xludf.DUMMYFUNCTION("""COMPUTED_VALUE"""),"Winged")</f>
        <v>Winged</v>
      </c>
      <c r="B212" s="187" t="str">
        <f>IFERROR(__xludf.DUMMYFUNCTION("""COMPUTED_VALUE"""),"Sand")</f>
        <v>Sand</v>
      </c>
      <c r="C212" s="187">
        <f t="shared" si="1"/>
        <v>1</v>
      </c>
      <c r="D212" s="20" t="s">
        <v>3057</v>
      </c>
      <c r="E212" s="20">
        <v>1.0</v>
      </c>
    </row>
    <row r="213">
      <c r="A213" s="182" t="str">
        <f>IFERROR(__xludf.DUMMYFUNCTION("""COMPUTED_VALUE"""),"Ushabti")</f>
        <v>Ushabti</v>
      </c>
      <c r="B213" s="187" t="str">
        <f>IFERROR(__xludf.DUMMYFUNCTION("""COMPUTED_VALUE"""),"Witch")</f>
        <v>Witch</v>
      </c>
      <c r="C213" s="187">
        <f t="shared" si="1"/>
        <v>1</v>
      </c>
      <c r="D213" s="20" t="s">
        <v>3058</v>
      </c>
      <c r="E213" s="20">
        <v>1.0</v>
      </c>
    </row>
    <row r="214">
      <c r="A214" s="182"/>
      <c r="B214" s="187" t="str">
        <f>IFERROR(__xludf.DUMMYFUNCTION("""COMPUTED_VALUE"""),"Shardhorde")</f>
        <v>Shardhorde</v>
      </c>
      <c r="C214" s="187">
        <f t="shared" si="1"/>
        <v>3</v>
      </c>
      <c r="D214" s="20" t="s">
        <v>3059</v>
      </c>
      <c r="E214" s="20">
        <v>1.0</v>
      </c>
    </row>
    <row r="215">
      <c r="A215" s="182"/>
      <c r="B215" s="187" t="str">
        <f>IFERROR(__xludf.DUMMYFUNCTION("""COMPUTED_VALUE"""),"Galewhelp")</f>
        <v>Galewhelp</v>
      </c>
      <c r="C215" s="187">
        <f t="shared" si="1"/>
        <v>1</v>
      </c>
      <c r="D215" s="20" t="s">
        <v>3060</v>
      </c>
      <c r="E215" s="20">
        <v>1.0</v>
      </c>
    </row>
    <row r="216">
      <c r="A216" s="182"/>
      <c r="B216" s="187" t="str">
        <f>IFERROR(__xludf.DUMMYFUNCTION("""COMPUTED_VALUE"""),"Amberlock")</f>
        <v>Amberlock</v>
      </c>
      <c r="C216" s="187">
        <f t="shared" si="1"/>
        <v>1</v>
      </c>
      <c r="D216" s="20" t="s">
        <v>3061</v>
      </c>
      <c r="E216" s="20">
        <v>1.0</v>
      </c>
    </row>
    <row r="217">
      <c r="A217" s="182" t="str">
        <f>IFERROR(__xludf.DUMMYFUNCTION("""COMPUTED_VALUE"""),"Ghostfire")</f>
        <v>Ghostfire</v>
      </c>
      <c r="B217" s="187" t="str">
        <f>IFERROR(__xludf.DUMMYFUNCTION("""COMPUTED_VALUE"""),"Dragonling")</f>
        <v>Dragonling</v>
      </c>
      <c r="C217" s="187">
        <f t="shared" si="1"/>
        <v>1</v>
      </c>
      <c r="D217" s="20" t="s">
        <v>3062</v>
      </c>
      <c r="E217" s="20">
        <v>1.0</v>
      </c>
    </row>
    <row r="218">
      <c r="A218" s="182" t="str">
        <f>IFERROR(__xludf.DUMMYFUNCTION("""COMPUTED_VALUE"""),"Basilisk")</f>
        <v>Basilisk</v>
      </c>
      <c r="B218" s="187" t="str">
        <f>IFERROR(__xludf.DUMMYFUNCTION("""COMPUTED_VALUE"""),"Dragonfire")</f>
        <v>Dragonfire</v>
      </c>
      <c r="C218" s="187">
        <f t="shared" si="1"/>
        <v>1</v>
      </c>
      <c r="D218" s="20" t="s">
        <v>3063</v>
      </c>
      <c r="E218" s="20">
        <v>1.0</v>
      </c>
    </row>
    <row r="219">
      <c r="A219" s="182"/>
      <c r="B219" s="187" t="str">
        <f>IFERROR(__xludf.DUMMYFUNCTION("""COMPUTED_VALUE"""),"Warlock")</f>
        <v>Warlock</v>
      </c>
      <c r="C219" s="187">
        <f t="shared" si="1"/>
        <v>1</v>
      </c>
      <c r="D219" s="20" t="s">
        <v>3064</v>
      </c>
      <c r="E219" s="20">
        <v>1.0</v>
      </c>
    </row>
    <row r="220">
      <c r="A220" s="182"/>
      <c r="B220" s="187" t="str">
        <f>IFERROR(__xludf.DUMMYFUNCTION("""COMPUTED_VALUE"""),"Dragonwind")</f>
        <v>Dragonwind</v>
      </c>
      <c r="C220" s="187">
        <f t="shared" si="1"/>
        <v>1</v>
      </c>
      <c r="D220" s="20" t="s">
        <v>3065</v>
      </c>
      <c r="E220" s="20">
        <v>1.0</v>
      </c>
    </row>
    <row r="221">
      <c r="A221" s="182"/>
      <c r="B221" s="187" t="str">
        <f>IFERROR(__xludf.DUMMYFUNCTION("""COMPUTED_VALUE"""),"Harbinger")</f>
        <v>Harbinger</v>
      </c>
      <c r="C221" s="187">
        <f t="shared" si="1"/>
        <v>1</v>
      </c>
      <c r="D221" s="20" t="s">
        <v>3066</v>
      </c>
      <c r="E221" s="20">
        <v>1.0</v>
      </c>
    </row>
    <row r="222">
      <c r="A222" s="182" t="str">
        <f>IFERROR(__xludf.DUMMYFUNCTION("""COMPUTED_VALUE"""),"Yellow")</f>
        <v>Yellow</v>
      </c>
      <c r="B222" s="187" t="str">
        <f>IFERROR(__xludf.DUMMYFUNCTION("""COMPUTED_VALUE"""),"Sparkwielder")</f>
        <v>Sparkwielder</v>
      </c>
      <c r="C222" s="187">
        <f t="shared" si="1"/>
        <v>1</v>
      </c>
      <c r="D222" s="20" t="s">
        <v>3067</v>
      </c>
      <c r="E222" s="20">
        <v>1.0</v>
      </c>
    </row>
    <row r="223">
      <c r="A223" s="182" t="str">
        <f>IFERROR(__xludf.DUMMYFUNCTION("""COMPUTED_VALUE"""),"Crusader")</f>
        <v>Crusader</v>
      </c>
      <c r="B223" s="187" t="str">
        <f>IFERROR(__xludf.DUMMYFUNCTION("""COMPUTED_VALUE"""),"Gashopper")</f>
        <v>Gashopper</v>
      </c>
      <c r="C223" s="187">
        <f t="shared" si="1"/>
        <v>1</v>
      </c>
      <c r="D223" s="20" t="s">
        <v>3068</v>
      </c>
      <c r="E223" s="20">
        <v>1.0</v>
      </c>
    </row>
    <row r="224">
      <c r="A224" s="182"/>
      <c r="B224" s="187" t="str">
        <f>IFERROR(__xludf.DUMMYFUNCTION("""COMPUTED_VALUE"""),"Hailbringer")</f>
        <v>Hailbringer</v>
      </c>
      <c r="C224" s="187">
        <f t="shared" si="1"/>
        <v>1</v>
      </c>
      <c r="D224" s="20" t="s">
        <v>3069</v>
      </c>
      <c r="E224" s="20">
        <v>1.0</v>
      </c>
    </row>
    <row r="225">
      <c r="A225" s="182"/>
      <c r="B225" s="187" t="str">
        <f>IFERROR(__xludf.DUMMYFUNCTION("""COMPUTED_VALUE"""),"Stormlash")</f>
        <v>Stormlash</v>
      </c>
      <c r="C225" s="187">
        <f t="shared" si="1"/>
        <v>1</v>
      </c>
      <c r="D225" s="20" t="s">
        <v>3070</v>
      </c>
      <c r="E225" s="20">
        <v>1.0</v>
      </c>
    </row>
    <row r="226">
      <c r="A226" s="182"/>
      <c r="B226" s="187" t="str">
        <f>IFERROR(__xludf.DUMMYFUNCTION("""COMPUTED_VALUE"""),"Stormworn")</f>
        <v>Stormworn</v>
      </c>
      <c r="C226" s="187">
        <f t="shared" si="1"/>
        <v>1</v>
      </c>
      <c r="D226" s="20" t="s">
        <v>3071</v>
      </c>
      <c r="E226" s="20">
        <v>1.0</v>
      </c>
    </row>
    <row r="227">
      <c r="A227" s="182" t="str">
        <f>IFERROR(__xludf.DUMMYFUNCTION("""COMPUTED_VALUE"""),"Young")</f>
        <v>Young</v>
      </c>
      <c r="B227" s="187" t="str">
        <f>IFERROR(__xludf.DUMMYFUNCTION("""COMPUTED_VALUE"""),"Horn")</f>
        <v>Horn</v>
      </c>
      <c r="C227" s="187">
        <f t="shared" si="1"/>
        <v>1</v>
      </c>
      <c r="D227" s="20" t="s">
        <v>3072</v>
      </c>
      <c r="E227" s="20">
        <v>1.0</v>
      </c>
    </row>
    <row r="228">
      <c r="A228" s="182" t="str">
        <f>IFERROR(__xludf.DUMMYFUNCTION("""COMPUTED_VALUE"""),"Monk")</f>
        <v>Monk</v>
      </c>
      <c r="B228" s="187" t="str">
        <f>IFERROR(__xludf.DUMMYFUNCTION("""COMPUTED_VALUE"""),"Glinteye")</f>
        <v>Glinteye</v>
      </c>
      <c r="C228" s="187">
        <f t="shared" si="1"/>
        <v>1</v>
      </c>
      <c r="D228" s="20" t="s">
        <v>3073</v>
      </c>
      <c r="E228" s="20">
        <v>1.0</v>
      </c>
    </row>
    <row r="229">
      <c r="A229" s="182"/>
      <c r="B229" s="187" t="str">
        <f>IFERROR(__xludf.DUMMYFUNCTION("""COMPUTED_VALUE"""),"Hoarder")</f>
        <v>Hoarder</v>
      </c>
      <c r="C229" s="187">
        <f t="shared" si="1"/>
        <v>1</v>
      </c>
      <c r="D229" s="20" t="s">
        <v>3074</v>
      </c>
      <c r="E229" s="20">
        <v>1.0</v>
      </c>
    </row>
    <row r="230">
      <c r="A230" s="182"/>
      <c r="B230" s="187" t="str">
        <f>IFERROR(__xludf.DUMMYFUNCTION("""COMPUTED_VALUE"""),"Culling")</f>
        <v>Culling</v>
      </c>
      <c r="C230" s="187">
        <f t="shared" si="1"/>
        <v>1</v>
      </c>
      <c r="D230" s="20" t="s">
        <v>3075</v>
      </c>
      <c r="E230" s="20">
        <v>1.0</v>
      </c>
    </row>
    <row r="231">
      <c r="A231" s="182"/>
      <c r="B231" s="187" t="str">
        <f>IFERROR(__xludf.DUMMYFUNCTION("""COMPUTED_VALUE"""),"Thunderfox")</f>
        <v>Thunderfox</v>
      </c>
      <c r="C231" s="187">
        <f t="shared" si="1"/>
        <v>1</v>
      </c>
      <c r="D231" s="20" t="s">
        <v>3076</v>
      </c>
      <c r="E231" s="20">
        <v>1.0</v>
      </c>
    </row>
    <row r="232">
      <c r="A232" s="182" t="str">
        <f>IFERROR(__xludf.DUMMYFUNCTION("""COMPUTED_VALUE"""),"Cartouche")</f>
        <v>Cartouche</v>
      </c>
      <c r="B232" s="187" t="str">
        <f>IFERROR(__xludf.DUMMYFUNCTION("""COMPUTED_VALUE"""),"Raijin's")</f>
        <v>Raijin's</v>
      </c>
      <c r="C232" s="187">
        <f t="shared" si="1"/>
        <v>1</v>
      </c>
      <c r="D232" s="20" t="s">
        <v>3077</v>
      </c>
      <c r="E232" s="20">
        <v>1.0</v>
      </c>
    </row>
    <row r="233">
      <c r="A233" s="182" t="str">
        <f>IFERROR(__xludf.DUMMYFUNCTION("""COMPUTED_VALUE"""),"Luster")</f>
        <v>Luster</v>
      </c>
      <c r="B233" s="187" t="str">
        <f>IFERROR(__xludf.DUMMYFUNCTION("""COMPUTED_VALUE"""),"Familiar")</f>
        <v>Familiar</v>
      </c>
      <c r="C233" s="187">
        <f t="shared" si="1"/>
        <v>2</v>
      </c>
      <c r="D233" s="20" t="s">
        <v>3078</v>
      </c>
      <c r="E233" s="20">
        <v>1.0</v>
      </c>
    </row>
    <row r="234">
      <c r="A234" s="182"/>
      <c r="B234" s="187" t="str">
        <f>IFERROR(__xludf.DUMMYFUNCTION("""COMPUTED_VALUE"""),"Twin")</f>
        <v>Twin</v>
      </c>
      <c r="C234" s="187">
        <f t="shared" si="1"/>
        <v>2</v>
      </c>
      <c r="D234" s="20" t="s">
        <v>3079</v>
      </c>
      <c r="E234" s="20">
        <v>1.0</v>
      </c>
    </row>
    <row r="235">
      <c r="A235" s="182"/>
      <c r="B235" s="187" t="str">
        <f>IFERROR(__xludf.DUMMYFUNCTION("""COMPUTED_VALUE"""),"Thundertail")</f>
        <v>Thundertail</v>
      </c>
      <c r="C235" s="187">
        <f t="shared" si="1"/>
        <v>1</v>
      </c>
      <c r="D235" s="20" t="s">
        <v>3080</v>
      </c>
      <c r="E235" s="20">
        <v>1.0</v>
      </c>
    </row>
    <row r="236">
      <c r="A236" s="182"/>
      <c r="B236" s="187" t="str">
        <f>IFERROR(__xludf.DUMMYFUNCTION("""COMPUTED_VALUE"""),"Vengeful")</f>
        <v>Vengeful</v>
      </c>
      <c r="C236" s="187">
        <f t="shared" si="1"/>
        <v>1</v>
      </c>
      <c r="D236" s="20" t="s">
        <v>3081</v>
      </c>
      <c r="E236" s="20">
        <v>1.0</v>
      </c>
    </row>
    <row r="237">
      <c r="A237" s="182" t="str">
        <f>IFERROR(__xludf.DUMMYFUNCTION("""COMPUTED_VALUE"""),"Golden")</f>
        <v>Golden</v>
      </c>
      <c r="B237" s="187" t="str">
        <f>IFERROR(__xludf.DUMMYFUNCTION("""COMPUTED_VALUE"""),"Gust")</f>
        <v>Gust</v>
      </c>
      <c r="C237" s="187">
        <f t="shared" si="1"/>
        <v>1</v>
      </c>
      <c r="D237" s="20" t="s">
        <v>3082</v>
      </c>
      <c r="E237" s="20">
        <v>1.0</v>
      </c>
    </row>
    <row r="238">
      <c r="A238" s="182" t="str">
        <f>IFERROR(__xludf.DUMMYFUNCTION("""COMPUTED_VALUE"""),"Phoenix")</f>
        <v>Phoenix</v>
      </c>
      <c r="B238" s="187" t="str">
        <f>IFERROR(__xludf.DUMMYFUNCTION("""COMPUTED_VALUE"""),"Runecursed")</f>
        <v>Runecursed</v>
      </c>
      <c r="C238" s="187">
        <f t="shared" si="1"/>
        <v>1</v>
      </c>
      <c r="D238" s="20" t="s">
        <v>3083</v>
      </c>
      <c r="E238" s="20">
        <v>1.0</v>
      </c>
    </row>
    <row r="239">
      <c r="A239" s="182"/>
      <c r="B239" s="187" t="str">
        <f>IFERROR(__xludf.DUMMYFUNCTION("""COMPUTED_VALUE"""),"Skulloath")</f>
        <v>Skulloath</v>
      </c>
      <c r="C239" s="187">
        <f t="shared" si="1"/>
        <v>2</v>
      </c>
      <c r="D239" s="20" t="s">
        <v>3084</v>
      </c>
      <c r="E239" s="20">
        <v>1.0</v>
      </c>
    </row>
    <row r="240">
      <c r="A240" s="182"/>
      <c r="B240" s="187" t="str">
        <f>IFERROR(__xludf.DUMMYFUNCTION("""COMPUTED_VALUE"""),"Lootclaimer")</f>
        <v>Lootclaimer</v>
      </c>
      <c r="C240" s="187">
        <f t="shared" si="1"/>
        <v>1</v>
      </c>
      <c r="D240" s="20" t="s">
        <v>3085</v>
      </c>
      <c r="E240" s="20">
        <v>1.0</v>
      </c>
    </row>
    <row r="241">
      <c r="A241" s="182"/>
      <c r="B241" s="187" t="str">
        <f>IFERROR(__xludf.DUMMYFUNCTION("""COMPUTED_VALUE"""),"Spell")</f>
        <v>Spell</v>
      </c>
      <c r="C241" s="187">
        <f t="shared" si="1"/>
        <v>1</v>
      </c>
      <c r="D241" s="20" t="s">
        <v>3086</v>
      </c>
      <c r="E241" s="20">
        <v>1.0</v>
      </c>
    </row>
    <row r="242">
      <c r="A242" s="182" t="str">
        <f>IFERROR(__xludf.DUMMYFUNCTION("""COMPUTED_VALUE"""),"Hailstorm")</f>
        <v>Hailstorm</v>
      </c>
      <c r="B242" s="187" t="str">
        <f>IFERROR(__xludf.DUMMYFUNCTION("""COMPUTED_VALUE"""),"Cat")</f>
        <v>Cat</v>
      </c>
      <c r="C242" s="187">
        <f t="shared" si="1"/>
        <v>1</v>
      </c>
      <c r="D242" s="20" t="s">
        <v>3087</v>
      </c>
      <c r="E242" s="20">
        <v>1.0</v>
      </c>
    </row>
    <row r="243">
      <c r="A243" s="182" t="str">
        <f>IFERROR(__xludf.DUMMYFUNCTION("""COMPUTED_VALUE"""),"Seraph")</f>
        <v>Seraph</v>
      </c>
      <c r="B243" s="187" t="str">
        <f>IFERROR(__xludf.DUMMYFUNCTION("""COMPUTED_VALUE"""),"Vermillion")</f>
        <v>Vermillion</v>
      </c>
      <c r="C243" s="187">
        <f t="shared" si="1"/>
        <v>1</v>
      </c>
      <c r="D243" s="20" t="s">
        <v>3088</v>
      </c>
      <c r="E243" s="20">
        <v>1.0</v>
      </c>
    </row>
    <row r="244">
      <c r="A244" s="182"/>
      <c r="B244" s="187" t="str">
        <f>IFERROR(__xludf.DUMMYFUNCTION("""COMPUTED_VALUE"""),"Firebird")</f>
        <v>Firebird</v>
      </c>
      <c r="C244" s="187">
        <f t="shared" si="1"/>
        <v>1</v>
      </c>
      <c r="D244" s="20" t="s">
        <v>3089</v>
      </c>
      <c r="E244" s="20">
        <v>1.0</v>
      </c>
    </row>
    <row r="245">
      <c r="A245" s="182"/>
      <c r="B245" s="187" t="str">
        <f>IFERROR(__xludf.DUMMYFUNCTION("""COMPUTED_VALUE"""),"Oasisdweller")</f>
        <v>Oasisdweller</v>
      </c>
      <c r="C245" s="187">
        <f t="shared" si="1"/>
        <v>1</v>
      </c>
      <c r="D245" s="20" t="s">
        <v>3090</v>
      </c>
      <c r="E245" s="20">
        <v>1.0</v>
      </c>
    </row>
    <row r="246">
      <c r="A246" s="182"/>
      <c r="B246" s="187" t="str">
        <f>IFERROR(__xludf.DUMMYFUNCTION("""COMPUTED_VALUE"""),"Portalrunner")</f>
        <v>Portalrunner</v>
      </c>
      <c r="C246" s="187">
        <f t="shared" si="1"/>
        <v>1</v>
      </c>
      <c r="D246" s="20" t="s">
        <v>3091</v>
      </c>
      <c r="E246" s="20">
        <v>1.0</v>
      </c>
    </row>
    <row r="247">
      <c r="A247" s="182" t="str">
        <f>IFERROR(__xludf.DUMMYFUNCTION("""COMPUTED_VALUE"""),"Scittering")</f>
        <v>Scittering</v>
      </c>
      <c r="B247" s="187" t="str">
        <f>IFERROR(__xludf.DUMMYFUNCTION("""COMPUTED_VALUE"""),"Irregulars")</f>
        <v>Irregulars</v>
      </c>
      <c r="C247" s="187">
        <f t="shared" si="1"/>
        <v>1</v>
      </c>
      <c r="D247" s="20" t="s">
        <v>3092</v>
      </c>
      <c r="E247" s="20">
        <v>1.0</v>
      </c>
    </row>
    <row r="248">
      <c r="A248" s="182" t="str">
        <f>IFERROR(__xludf.DUMMYFUNCTION("""COMPUTED_VALUE"""),"Scorpion")</f>
        <v>Scorpion</v>
      </c>
      <c r="B248" s="187" t="str">
        <f>IFERROR(__xludf.DUMMYFUNCTION("""COMPUTED_VALUE"""),"Steelclaw")</f>
        <v>Steelclaw</v>
      </c>
      <c r="C248" s="187">
        <f t="shared" si="1"/>
        <v>1</v>
      </c>
      <c r="D248" s="20" t="s">
        <v>3093</v>
      </c>
      <c r="E248" s="20">
        <v>1.0</v>
      </c>
    </row>
    <row r="249">
      <c r="A249" s="182"/>
      <c r="B249" s="187" t="str">
        <f>IFERROR(__xludf.DUMMYFUNCTION("""COMPUTED_VALUE"""),"Veterans")</f>
        <v>Veterans</v>
      </c>
      <c r="C249" s="187">
        <f t="shared" si="1"/>
        <v>1</v>
      </c>
      <c r="D249" s="20" t="s">
        <v>3094</v>
      </c>
      <c r="E249" s="20">
        <v>1.0</v>
      </c>
    </row>
    <row r="250">
      <c r="A250" s="182"/>
      <c r="B250" s="187" t="str">
        <f>IFERROR(__xludf.DUMMYFUNCTION("""COMPUTED_VALUE"""),"Crazed")</f>
        <v>Crazed</v>
      </c>
      <c r="C250" s="187">
        <f t="shared" si="1"/>
        <v>2</v>
      </c>
      <c r="D250" s="20" t="s">
        <v>3095</v>
      </c>
      <c r="E250" s="20">
        <v>1.0</v>
      </c>
    </row>
    <row r="251">
      <c r="A251" s="182"/>
      <c r="B251" s="187" t="str">
        <f>IFERROR(__xludf.DUMMYFUNCTION("""COMPUTED_VALUE"""),"Galeweaver")</f>
        <v>Galeweaver</v>
      </c>
      <c r="C251" s="187">
        <f t="shared" si="1"/>
        <v>1</v>
      </c>
      <c r="D251" s="20" t="s">
        <v>3096</v>
      </c>
      <c r="E251" s="20">
        <v>1.0</v>
      </c>
    </row>
    <row r="252">
      <c r="A252" s="182" t="str">
        <f>IFERROR(__xludf.DUMMYFUNCTION("""COMPUTED_VALUE"""),"Wrath")</f>
        <v>Wrath</v>
      </c>
      <c r="B252" s="187" t="str">
        <f>IFERROR(__xludf.DUMMYFUNCTION("""COMPUTED_VALUE"""),"Lurking")</f>
        <v>Lurking</v>
      </c>
      <c r="C252" s="187">
        <f t="shared" si="1"/>
        <v>1</v>
      </c>
      <c r="D252" s="20" t="s">
        <v>3097</v>
      </c>
      <c r="E252" s="20">
        <v>1.0</v>
      </c>
    </row>
    <row r="253">
      <c r="A253" s="182" t="str">
        <f>IFERROR(__xludf.DUMMYFUNCTION("""COMPUTED_VALUE"""),"of")</f>
        <v>of</v>
      </c>
      <c r="B253" s="187" t="str">
        <f>IFERROR(__xludf.DUMMYFUNCTION("""COMPUTED_VALUE"""),"Canopystomper")</f>
        <v>Canopystomper</v>
      </c>
      <c r="C253" s="187">
        <f t="shared" si="1"/>
        <v>1</v>
      </c>
      <c r="D253" s="20" t="s">
        <v>3098</v>
      </c>
      <c r="E253" s="20">
        <v>1.0</v>
      </c>
    </row>
    <row r="254">
      <c r="A254" s="182" t="str">
        <f>IFERROR(__xludf.DUMMYFUNCTION("""COMPUTED_VALUE"""),"the")</f>
        <v>the</v>
      </c>
      <c r="B254" s="187" t="str">
        <f>IFERROR(__xludf.DUMMYFUNCTION("""COMPUTED_VALUE"""),"Resourceful")</f>
        <v>Resourceful</v>
      </c>
      <c r="C254" s="187">
        <f t="shared" si="1"/>
        <v>1</v>
      </c>
      <c r="D254" s="20" t="s">
        <v>3099</v>
      </c>
      <c r="E254" s="20">
        <v>1.0</v>
      </c>
    </row>
    <row r="255">
      <c r="A255" s="182" t="str">
        <f>IFERROR(__xludf.DUMMYFUNCTION("""COMPUTED_VALUE"""),"Pharaoh")</f>
        <v>Pharaoh</v>
      </c>
      <c r="B255" s="187" t="str">
        <f>IFERROR(__xludf.DUMMYFUNCTION("""COMPUTED_VALUE"""),"Poacher")</f>
        <v>Poacher</v>
      </c>
      <c r="C255" s="187">
        <f t="shared" si="1"/>
        <v>1</v>
      </c>
      <c r="D255" s="20" t="s">
        <v>3100</v>
      </c>
      <c r="E255" s="20">
        <v>1.0</v>
      </c>
    </row>
    <row r="256">
      <c r="A256" s="182"/>
      <c r="B256" s="187" t="str">
        <f>IFERROR(__xludf.DUMMYFUNCTION("""COMPUTED_VALUE"""),"Infernoblight")</f>
        <v>Infernoblight</v>
      </c>
      <c r="C256" s="187">
        <f t="shared" si="1"/>
        <v>1</v>
      </c>
      <c r="D256" s="20" t="s">
        <v>3101</v>
      </c>
      <c r="E256" s="20">
        <v>1.0</v>
      </c>
    </row>
    <row r="257">
      <c r="A257" s="182" t="str">
        <f>IFERROR(__xludf.DUMMYFUNCTION("""COMPUTED_VALUE"""),"Bringer")</f>
        <v>Bringer</v>
      </c>
      <c r="B257" s="187" t="str">
        <f>IFERROR(__xludf.DUMMYFUNCTION("""COMPUTED_VALUE"""),"Skyshrieker")</f>
        <v>Skyshrieker</v>
      </c>
      <c r="C257" s="187">
        <f t="shared" si="1"/>
        <v>1</v>
      </c>
      <c r="D257" s="20" t="s">
        <v>3102</v>
      </c>
      <c r="E257" s="20">
        <v>1.0</v>
      </c>
    </row>
    <row r="258">
      <c r="A258" s="182" t="str">
        <f>IFERROR(__xludf.DUMMYFUNCTION("""COMPUTED_VALUE"""),"of")</f>
        <v>of</v>
      </c>
      <c r="B258" s="187" t="str">
        <f>IFERROR(__xludf.DUMMYFUNCTION("""COMPUTED_VALUE"""),"Mistborn")</f>
        <v>Mistborn</v>
      </c>
      <c r="C258" s="187">
        <f t="shared" si="1"/>
        <v>1</v>
      </c>
      <c r="D258" s="20" t="s">
        <v>3103</v>
      </c>
      <c r="E258" s="20">
        <v>1.0</v>
      </c>
    </row>
    <row r="259">
      <c r="A259" s="182" t="str">
        <f>IFERROR(__xludf.DUMMYFUNCTION("""COMPUTED_VALUE"""),"Good")</f>
        <v>Good</v>
      </c>
      <c r="B259" s="187" t="str">
        <f>IFERROR(__xludf.DUMMYFUNCTION("""COMPUTED_VALUE"""),"Serpent")</f>
        <v>Serpent</v>
      </c>
      <c r="C259" s="187">
        <f t="shared" si="1"/>
        <v>1</v>
      </c>
      <c r="D259" s="20" t="s">
        <v>3104</v>
      </c>
      <c r="E259" s="20">
        <v>1.0</v>
      </c>
    </row>
    <row r="260">
      <c r="A260" s="182" t="str">
        <f>IFERROR(__xludf.DUMMYFUNCTION("""COMPUTED_VALUE"""),"News")</f>
        <v>News</v>
      </c>
      <c r="B260" s="187" t="str">
        <f>IFERROR(__xludf.DUMMYFUNCTION("""COMPUTED_VALUE"""),"Bad")</f>
        <v>Bad</v>
      </c>
      <c r="C260" s="187">
        <f t="shared" si="1"/>
        <v>1</v>
      </c>
      <c r="D260" s="20" t="s">
        <v>3105</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3106</v>
      </c>
      <c r="E262" s="20">
        <v>1.0</v>
      </c>
    </row>
    <row r="263">
      <c r="A263" s="182" t="str">
        <f>IFERROR(__xludf.DUMMYFUNCTION("""COMPUTED_VALUE"""),"Lightning")</f>
        <v>Lightning</v>
      </c>
      <c r="B263" s="187" t="str">
        <f>IFERROR(__xludf.DUMMYFUNCTION("""COMPUTED_VALUE"""),"Visitation")</f>
        <v>Visitation</v>
      </c>
      <c r="C263" s="187">
        <f t="shared" si="1"/>
        <v>1</v>
      </c>
      <c r="D263" s="20" t="s">
        <v>3107</v>
      </c>
      <c r="E263" s="20">
        <v>1.0</v>
      </c>
    </row>
    <row r="264">
      <c r="A264" s="182" t="str">
        <f>IFERROR(__xludf.DUMMYFUNCTION("""COMPUTED_VALUE"""),"Rider")</f>
        <v>Rider</v>
      </c>
      <c r="B264" s="187" t="str">
        <f>IFERROR(__xludf.DUMMYFUNCTION("""COMPUTED_VALUE"""),"Manticore")</f>
        <v>Manticore</v>
      </c>
      <c r="C264" s="187">
        <f t="shared" si="1"/>
        <v>1</v>
      </c>
      <c r="D264" s="20" t="s">
        <v>3108</v>
      </c>
      <c r="E264" s="20">
        <v>1.0</v>
      </c>
    </row>
    <row r="265">
      <c r="A265" s="182"/>
      <c r="B265" s="187" t="str">
        <f>IFERROR(__xludf.DUMMYFUNCTION("""COMPUTED_VALUE"""),"Featherfrost")</f>
        <v>Featherfrost</v>
      </c>
      <c r="C265" s="187">
        <f t="shared" si="1"/>
        <v>1</v>
      </c>
      <c r="D265" s="20" t="s">
        <v>3109</v>
      </c>
      <c r="E265" s="20">
        <v>1.0</v>
      </c>
    </row>
    <row r="266">
      <c r="A266" s="182"/>
      <c r="B266" s="187" t="str">
        <f>IFERROR(__xludf.DUMMYFUNCTION("""COMPUTED_VALUE"""),"Harpy")</f>
        <v>Harpy</v>
      </c>
      <c r="C266" s="187">
        <f t="shared" si="1"/>
        <v>1</v>
      </c>
      <c r="D266" s="20" t="s">
        <v>3110</v>
      </c>
      <c r="E266" s="20">
        <v>1.0</v>
      </c>
    </row>
    <row r="267">
      <c r="A267" s="182" t="str">
        <f>IFERROR(__xludf.DUMMYFUNCTION("""COMPUTED_VALUE"""),"Desertwind")</f>
        <v>Desertwind</v>
      </c>
      <c r="B267" s="187" t="str">
        <f>IFERROR(__xludf.DUMMYFUNCTION("""COMPUTED_VALUE"""),"Raging")</f>
        <v>Raging</v>
      </c>
      <c r="C267" s="187">
        <f t="shared" si="1"/>
        <v>1</v>
      </c>
      <c r="D267" s="20" t="s">
        <v>3111</v>
      </c>
      <c r="E267" s="20">
        <v>1.0</v>
      </c>
    </row>
    <row r="268">
      <c r="A268" s="182" t="str">
        <f>IFERROR(__xludf.DUMMYFUNCTION("""COMPUTED_VALUE"""),"Relic")</f>
        <v>Relic</v>
      </c>
      <c r="B268" s="187" t="str">
        <f>IFERROR(__xludf.DUMMYFUNCTION("""COMPUTED_VALUE"""),"Minotaur")</f>
        <v>Minotaur</v>
      </c>
      <c r="C268" s="187">
        <f t="shared" si="1"/>
        <v>1</v>
      </c>
      <c r="D268" s="20" t="s">
        <v>3112</v>
      </c>
      <c r="E268" s="20">
        <v>1.0</v>
      </c>
    </row>
    <row r="269">
      <c r="A269" s="182" t="str">
        <f>IFERROR(__xludf.DUMMYFUNCTION("""COMPUTED_VALUE"""),"Hunter")</f>
        <v>Hunter</v>
      </c>
      <c r="B269" s="187" t="str">
        <f>IFERROR(__xludf.DUMMYFUNCTION("""COMPUTED_VALUE"""),"Raijin")</f>
        <v>Raijin</v>
      </c>
      <c r="C269" s="187">
        <f t="shared" si="1"/>
        <v>1</v>
      </c>
      <c r="D269" s="20" t="s">
        <v>3113</v>
      </c>
      <c r="E269" s="20">
        <v>1.0</v>
      </c>
    </row>
    <row r="270">
      <c r="A270" s="182"/>
      <c r="B270" s="187" t="str">
        <f>IFERROR(__xludf.DUMMYFUNCTION("""COMPUTED_VALUE"""),"Venomshade")</f>
        <v>Venomshade</v>
      </c>
      <c r="C270" s="187">
        <f t="shared" si="1"/>
        <v>1</v>
      </c>
      <c r="D270" s="20" t="s">
        <v>3114</v>
      </c>
      <c r="E270" s="20">
        <v>1.0</v>
      </c>
    </row>
    <row r="271">
      <c r="A271" s="182"/>
      <c r="B271" s="187" t="str">
        <f>IFERROR(__xludf.DUMMYFUNCTION("""COMPUTED_VALUE"""),"Lamia")</f>
        <v>Lamia</v>
      </c>
      <c r="C271" s="187">
        <f t="shared" si="1"/>
        <v>1</v>
      </c>
      <c r="D271" s="20" t="s">
        <v>3115</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3116</v>
      </c>
      <c r="E276" s="20">
        <v>1.0</v>
      </c>
    </row>
    <row r="277">
      <c r="A277" s="182" t="str">
        <f>IFERROR(__xludf.DUMMYFUNCTION("""COMPUTED_VALUE"""),"Pomegrake")</f>
        <v>Pomegrake</v>
      </c>
      <c r="B277" s="187" t="str">
        <f>IFERROR(__xludf.DUMMYFUNCTION("""COMPUTED_VALUE"""),"Bastion")</f>
        <v>Bastion</v>
      </c>
      <c r="C277" s="187">
        <f t="shared" si="1"/>
        <v>1</v>
      </c>
      <c r="D277" s="20" t="s">
        <v>3117</v>
      </c>
      <c r="E277" s="20">
        <v>1.0</v>
      </c>
    </row>
    <row r="278">
      <c r="A278" s="182"/>
      <c r="B278" s="187" t="str">
        <f>IFERROR(__xludf.DUMMYFUNCTION("""COMPUTED_VALUE"""),"Architect")</f>
        <v>Architect</v>
      </c>
      <c r="C278" s="187">
        <f t="shared" si="1"/>
        <v>1</v>
      </c>
      <c r="D278" s="20" t="s">
        <v>3118</v>
      </c>
      <c r="E278" s="20">
        <v>1.0</v>
      </c>
    </row>
    <row r="279">
      <c r="A279" s="182"/>
      <c r="B279" s="187" t="str">
        <f>IFERROR(__xludf.DUMMYFUNCTION("""COMPUTED_VALUE"""),"Sovereign")</f>
        <v>Sovereign</v>
      </c>
      <c r="C279" s="187">
        <f t="shared" si="1"/>
        <v>3</v>
      </c>
      <c r="D279" s="20" t="s">
        <v>3119</v>
      </c>
      <c r="E279" s="20">
        <v>1.0</v>
      </c>
    </row>
    <row r="280">
      <c r="A280" s="182"/>
      <c r="B280" s="187" t="str">
        <f>IFERROR(__xludf.DUMMYFUNCTION("""COMPUTED_VALUE"""),"Spellwyrm")</f>
        <v>Spellwyrm</v>
      </c>
      <c r="C280" s="187">
        <f t="shared" si="1"/>
        <v>1</v>
      </c>
      <c r="D280" s="20" t="s">
        <v>3120</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3121</v>
      </c>
      <c r="E282" s="20">
        <v>1.0</v>
      </c>
    </row>
    <row r="283">
      <c r="A283" s="182" t="str">
        <f>IFERROR(__xludf.DUMMYFUNCTION("""COMPUTED_VALUE"""),"Embalmer")</f>
        <v>Embalmer</v>
      </c>
      <c r="B283" s="187" t="str">
        <f>IFERROR(__xludf.DUMMYFUNCTION("""COMPUTED_VALUE"""),"Blue")</f>
        <v>Blue</v>
      </c>
      <c r="C283" s="187">
        <f t="shared" si="1"/>
        <v>2</v>
      </c>
      <c r="D283" s="20" t="s">
        <v>3122</v>
      </c>
      <c r="E283" s="20">
        <v>1.0</v>
      </c>
    </row>
    <row r="284">
      <c r="A284" s="182"/>
      <c r="B284" s="187" t="str">
        <f>IFERROR(__xludf.DUMMYFUNCTION("""COMPUTED_VALUE"""),"Venom-Dew")</f>
        <v>Venom-Dew</v>
      </c>
      <c r="C284" s="187">
        <f t="shared" si="1"/>
        <v>1</v>
      </c>
      <c r="D284" s="20" t="s">
        <v>3123</v>
      </c>
      <c r="E284" s="20">
        <v>1.0</v>
      </c>
    </row>
    <row r="285">
      <c r="A285" s="182"/>
      <c r="B285" s="187" t="str">
        <f>IFERROR(__xludf.DUMMYFUNCTION("""COMPUTED_VALUE"""),"Golemsaurus")</f>
        <v>Golemsaurus</v>
      </c>
      <c r="C285" s="187">
        <f t="shared" si="1"/>
        <v>1</v>
      </c>
      <c r="D285" s="20" t="s">
        <v>3124</v>
      </c>
      <c r="E285" s="20">
        <v>1.0</v>
      </c>
    </row>
    <row r="286">
      <c r="A286" s="182"/>
      <c r="B286" s="187" t="str">
        <f>IFERROR(__xludf.DUMMYFUNCTION("""COMPUTED_VALUE"""),"Slumbering")</f>
        <v>Slumbering</v>
      </c>
      <c r="C286" s="187">
        <f t="shared" si="1"/>
        <v>2</v>
      </c>
      <c r="D286" s="20" t="s">
        <v>3125</v>
      </c>
      <c r="E286" s="20">
        <v>1.0</v>
      </c>
    </row>
    <row r="287">
      <c r="A287" s="182" t="str">
        <f>IFERROR(__xludf.DUMMYFUNCTION("""COMPUTED_VALUE"""),"Ushabti")</f>
        <v>Ushabti</v>
      </c>
      <c r="B287" s="187" t="str">
        <f>IFERROR(__xludf.DUMMYFUNCTION("""COMPUTED_VALUE"""),"Cavedrake")</f>
        <v>Cavedrake</v>
      </c>
      <c r="C287" s="187">
        <f t="shared" si="1"/>
        <v>1</v>
      </c>
      <c r="D287" s="20" t="s">
        <v>3126</v>
      </c>
      <c r="E287" s="20">
        <v>1.0</v>
      </c>
    </row>
    <row r="288">
      <c r="A288" s="182" t="str">
        <f>IFERROR(__xludf.DUMMYFUNCTION("""COMPUTED_VALUE"""),"Carver")</f>
        <v>Carver</v>
      </c>
      <c r="B288" s="187" t="str">
        <f>IFERROR(__xludf.DUMMYFUNCTION("""COMPUTED_VALUE"""),"Eagle")</f>
        <v>Eagle</v>
      </c>
      <c r="C288" s="187">
        <f t="shared" si="1"/>
        <v>1</v>
      </c>
      <c r="D288" s="20" t="s">
        <v>3127</v>
      </c>
      <c r="E288" s="20">
        <v>1.0</v>
      </c>
    </row>
    <row r="289">
      <c r="A289" s="182"/>
      <c r="B289" s="187" t="str">
        <f>IFERROR(__xludf.DUMMYFUNCTION("""COMPUTED_VALUE"""),"Legion")</f>
        <v>Legion</v>
      </c>
      <c r="C289" s="187">
        <f t="shared" si="1"/>
        <v>2</v>
      </c>
      <c r="D289" s="20" t="s">
        <v>3128</v>
      </c>
      <c r="E289" s="20">
        <v>1.0</v>
      </c>
    </row>
    <row r="290">
      <c r="A290" s="182"/>
      <c r="B290" s="187" t="str">
        <f>IFERROR(__xludf.DUMMYFUNCTION("""COMPUTED_VALUE"""),"Starfall")</f>
        <v>Starfall</v>
      </c>
      <c r="C290" s="187">
        <f t="shared" si="1"/>
        <v>1</v>
      </c>
      <c r="D290" s="20" t="s">
        <v>3129</v>
      </c>
      <c r="E290" s="20">
        <v>1.0</v>
      </c>
    </row>
    <row r="291">
      <c r="A291" s="182"/>
      <c r="B291" s="187" t="str">
        <f>IFERROR(__xludf.DUMMYFUNCTION("""COMPUTED_VALUE"""),"Shaman")</f>
        <v>Shaman</v>
      </c>
      <c r="C291" s="187">
        <f t="shared" si="1"/>
        <v>2</v>
      </c>
      <c r="D291" s="20" t="s">
        <v>3130</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3131</v>
      </c>
      <c r="E294" s="20">
        <v>1.0</v>
      </c>
    </row>
    <row r="295">
      <c r="A295" s="182"/>
      <c r="B295" s="187" t="str">
        <f>IFERROR(__xludf.DUMMYFUNCTION("""COMPUTED_VALUE"""),"Flamebearer")</f>
        <v>Flamebearer</v>
      </c>
      <c r="C295" s="187">
        <f t="shared" si="1"/>
        <v>1</v>
      </c>
      <c r="D295" s="20" t="s">
        <v>3132</v>
      </c>
      <c r="E295" s="20">
        <v>1.0</v>
      </c>
    </row>
    <row r="296">
      <c r="A296" s="182"/>
      <c r="B296" s="187" t="str">
        <f>IFERROR(__xludf.DUMMYFUNCTION("""COMPUTED_VALUE"""),"Tidecrasher")</f>
        <v>Tidecrasher</v>
      </c>
      <c r="C296" s="187">
        <f t="shared" si="1"/>
        <v>1</v>
      </c>
      <c r="D296" s="20" t="s">
        <v>3133</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3134</v>
      </c>
      <c r="E298" s="20">
        <v>1.0</v>
      </c>
    </row>
    <row r="299">
      <c r="A299" s="182" t="str">
        <f>IFERROR(__xludf.DUMMYFUNCTION("""COMPUTED_VALUE"""),"the")</f>
        <v>the</v>
      </c>
      <c r="B299" s="187" t="str">
        <f>IFERROR(__xludf.DUMMYFUNCTION("""COMPUTED_VALUE"""),"Eons-old")</f>
        <v>Eons-old</v>
      </c>
      <c r="C299" s="187">
        <f t="shared" si="1"/>
        <v>1</v>
      </c>
      <c r="D299" s="20" t="s">
        <v>3135</v>
      </c>
      <c r="E299" s="20">
        <v>1.0</v>
      </c>
    </row>
    <row r="300">
      <c r="A300" s="182" t="str">
        <f>IFERROR(__xludf.DUMMYFUNCTION("""COMPUTED_VALUE"""),"Morning")</f>
        <v>Morning</v>
      </c>
      <c r="B300" s="187" t="str">
        <f>IFERROR(__xludf.DUMMYFUNCTION("""COMPUTED_VALUE"""),"Crystalfang")</f>
        <v>Crystalfang</v>
      </c>
      <c r="C300" s="187">
        <f t="shared" si="1"/>
        <v>1</v>
      </c>
      <c r="D300" s="20" t="s">
        <v>3136</v>
      </c>
      <c r="E300" s="20">
        <v>1.0</v>
      </c>
    </row>
    <row r="301">
      <c r="A301" s="182" t="str">
        <f>IFERROR(__xludf.DUMMYFUNCTION("""COMPUTED_VALUE"""),"Dew")</f>
        <v>Dew</v>
      </c>
      <c r="B301" s="187" t="str">
        <f>IFERROR(__xludf.DUMMYFUNCTION("""COMPUTED_VALUE"""),"Makeshift")</f>
        <v>Makeshift</v>
      </c>
      <c r="C301" s="187">
        <f t="shared" si="1"/>
        <v>1</v>
      </c>
      <c r="D301" s="20" t="s">
        <v>3137</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3138</v>
      </c>
      <c r="E303" s="20">
        <v>1.0</v>
      </c>
    </row>
    <row r="304">
      <c r="A304" s="182"/>
      <c r="B304" s="187" t="str">
        <f>IFERROR(__xludf.DUMMYFUNCTION("""COMPUTED_VALUE"""),"Wraithknight")</f>
        <v>Wraithknight</v>
      </c>
      <c r="C304" s="187">
        <f t="shared" si="1"/>
        <v>1</v>
      </c>
      <c r="D304" s="20" t="s">
        <v>3139</v>
      </c>
      <c r="E304" s="20">
        <v>1.0</v>
      </c>
    </row>
    <row r="305">
      <c r="A305" s="182"/>
      <c r="B305" s="187" t="str">
        <f>IFERROR(__xludf.DUMMYFUNCTION("""COMPUTED_VALUE"""),"Mountblade")</f>
        <v>Mountblade</v>
      </c>
      <c r="C305" s="187">
        <f t="shared" si="1"/>
        <v>1</v>
      </c>
      <c r="D305" s="20" t="s">
        <v>3140</v>
      </c>
      <c r="E305" s="20">
        <v>1.0</v>
      </c>
    </row>
    <row r="306">
      <c r="A306" s="182"/>
      <c r="B306" s="187" t="str">
        <f>IFERROR(__xludf.DUMMYFUNCTION("""COMPUTED_VALUE"""),"Squire")</f>
        <v>Squire</v>
      </c>
      <c r="C306" s="187">
        <f t="shared" si="1"/>
        <v>1</v>
      </c>
      <c r="D306" s="20" t="s">
        <v>3141</v>
      </c>
      <c r="E306" s="20">
        <v>1.0</v>
      </c>
    </row>
    <row r="307">
      <c r="A307" s="182" t="str">
        <f>IFERROR(__xludf.DUMMYFUNCTION("""COMPUTED_VALUE"""),"Auric")</f>
        <v>Auric</v>
      </c>
      <c r="B307" s="187" t="str">
        <f>IFERROR(__xludf.DUMMYFUNCTION("""COMPUTED_VALUE"""),"Pyroclastic")</f>
        <v>Pyroclastic</v>
      </c>
      <c r="C307" s="187">
        <f t="shared" si="1"/>
        <v>1</v>
      </c>
      <c r="D307" s="20" t="s">
        <v>3142</v>
      </c>
      <c r="E307" s="20">
        <v>1.0</v>
      </c>
    </row>
    <row r="308">
      <c r="A308" s="182" t="str">
        <f>IFERROR(__xludf.DUMMYFUNCTION("""COMPUTED_VALUE"""),"Ant")</f>
        <v>Ant</v>
      </c>
      <c r="B308" s="187" t="str">
        <f>IFERROR(__xludf.DUMMYFUNCTION("""COMPUTED_VALUE"""),"Zombie")</f>
        <v>Zombie</v>
      </c>
      <c r="C308" s="187">
        <f t="shared" si="1"/>
        <v>1</v>
      </c>
      <c r="D308" s="20" t="s">
        <v>3143</v>
      </c>
      <c r="E308" s="20">
        <v>1.0</v>
      </c>
    </row>
    <row r="309">
      <c r="A309" s="182" t="str">
        <f>IFERROR(__xludf.DUMMYFUNCTION("""COMPUTED_VALUE"""),"Regent")</f>
        <v>Regent</v>
      </c>
      <c r="B309" s="187" t="str">
        <f>IFERROR(__xludf.DUMMYFUNCTION("""COMPUTED_VALUE"""),"Old")</f>
        <v>Old</v>
      </c>
      <c r="C309" s="187">
        <f t="shared" si="1"/>
        <v>2</v>
      </c>
      <c r="D309" s="20" t="s">
        <v>3144</v>
      </c>
      <c r="E309" s="20">
        <v>1.0</v>
      </c>
    </row>
    <row r="310">
      <c r="A310" s="182"/>
      <c r="B310" s="187" t="str">
        <f>IFERROR(__xludf.DUMMYFUNCTION("""COMPUTED_VALUE"""),"Fisherman")</f>
        <v>Fisherman</v>
      </c>
      <c r="C310" s="187">
        <f t="shared" si="1"/>
        <v>1</v>
      </c>
      <c r="D310" s="20" t="s">
        <v>3145</v>
      </c>
      <c r="E310" s="20">
        <v>1.0</v>
      </c>
    </row>
    <row r="311">
      <c r="A311" s="182"/>
      <c r="B311" s="187" t="str">
        <f>IFERROR(__xludf.DUMMYFUNCTION("""COMPUTED_VALUE"""),"Wasteland")</f>
        <v>Wasteland</v>
      </c>
      <c r="C311" s="187">
        <f t="shared" si="1"/>
        <v>2</v>
      </c>
      <c r="D311" s="20" t="s">
        <v>3146</v>
      </c>
      <c r="E311" s="20">
        <v>1.0</v>
      </c>
    </row>
    <row r="312">
      <c r="A312" s="182" t="str">
        <f>IFERROR(__xludf.DUMMYFUNCTION("""COMPUTED_VALUE"""),"Blessing")</f>
        <v>Blessing</v>
      </c>
      <c r="B312" s="187" t="str">
        <f>IFERROR(__xludf.DUMMYFUNCTION("""COMPUTED_VALUE"""),"Overlord")</f>
        <v>Overlord</v>
      </c>
      <c r="C312" s="187">
        <f t="shared" si="1"/>
        <v>2</v>
      </c>
      <c r="D312" s="20" t="s">
        <v>3147</v>
      </c>
      <c r="E312" s="20">
        <v>1.0</v>
      </c>
    </row>
    <row r="313">
      <c r="A313" s="182" t="str">
        <f>IFERROR(__xludf.DUMMYFUNCTION("""COMPUTED_VALUE"""),"Bestower")</f>
        <v>Bestower</v>
      </c>
      <c r="B313" s="187" t="str">
        <f>IFERROR(__xludf.DUMMYFUNCTION("""COMPUTED_VALUE"""),"Pinwheel")</f>
        <v>Pinwheel</v>
      </c>
      <c r="C313" s="187">
        <f t="shared" si="1"/>
        <v>1</v>
      </c>
      <c r="D313" s="20" t="s">
        <v>3148</v>
      </c>
      <c r="E313" s="20">
        <v>1.0</v>
      </c>
    </row>
    <row r="314">
      <c r="A314" s="182"/>
      <c r="B314" s="187" t="str">
        <f>IFERROR(__xludf.DUMMYFUNCTION("""COMPUTED_VALUE"""),"Illusionist")</f>
        <v>Illusionist</v>
      </c>
      <c r="C314" s="187">
        <f t="shared" si="1"/>
        <v>1</v>
      </c>
      <c r="D314" s="20" t="s">
        <v>3149</v>
      </c>
      <c r="E314" s="20">
        <v>1.0</v>
      </c>
    </row>
    <row r="315">
      <c r="A315" s="182"/>
      <c r="B315" s="187" t="str">
        <f>IFERROR(__xludf.DUMMYFUNCTION("""COMPUTED_VALUE"""),"Marauder")</f>
        <v>Marauder</v>
      </c>
      <c r="C315" s="187">
        <f t="shared" si="1"/>
        <v>1</v>
      </c>
      <c r="D315" s="20" t="s">
        <v>994</v>
      </c>
      <c r="E315" s="20">
        <v>1.0</v>
      </c>
    </row>
    <row r="316">
      <c r="A316" s="182"/>
      <c r="B316" s="187" t="str">
        <f>IFERROR(__xludf.DUMMYFUNCTION("""COMPUTED_VALUE"""),"Alchemist's")</f>
        <v>Alchemist's</v>
      </c>
      <c r="C316" s="187">
        <f t="shared" si="1"/>
        <v>1</v>
      </c>
      <c r="D316" s="20" t="s">
        <v>3150</v>
      </c>
      <c r="E316" s="20">
        <v>1.0</v>
      </c>
    </row>
    <row r="317">
      <c r="A317" s="182" t="str">
        <f>IFERROR(__xludf.DUMMYFUNCTION("""COMPUTED_VALUE"""),"Obelisk")</f>
        <v>Obelisk</v>
      </c>
      <c r="B317" s="187" t="str">
        <f>IFERROR(__xludf.DUMMYFUNCTION("""COMPUTED_VALUE"""),"Incense")</f>
        <v>Incense</v>
      </c>
      <c r="C317" s="187">
        <f t="shared" si="1"/>
        <v>1</v>
      </c>
      <c r="D317" s="20" t="s">
        <v>3151</v>
      </c>
      <c r="E317" s="20">
        <v>1.0</v>
      </c>
    </row>
    <row r="318">
      <c r="A318" s="182" t="str">
        <f>IFERROR(__xludf.DUMMYFUNCTION("""COMPUTED_VALUE"""),"Waypost")</f>
        <v>Waypost</v>
      </c>
      <c r="B318" s="187" t="str">
        <f>IFERROR(__xludf.DUMMYFUNCTION("""COMPUTED_VALUE"""),"Quadriga")</f>
        <v>Quadriga</v>
      </c>
      <c r="C318" s="187">
        <f t="shared" si="1"/>
        <v>1</v>
      </c>
      <c r="D318" s="20" t="s">
        <v>3152</v>
      </c>
      <c r="E318" s="20">
        <v>1.0</v>
      </c>
    </row>
    <row r="319">
      <c r="A319" s="182"/>
      <c r="B319" s="187" t="str">
        <f>IFERROR(__xludf.DUMMYFUNCTION("""COMPUTED_VALUE"""),"Triumph")</f>
        <v>Triumph</v>
      </c>
      <c r="C319" s="187">
        <f t="shared" si="1"/>
        <v>1</v>
      </c>
      <c r="D319" s="20" t="s">
        <v>3153</v>
      </c>
      <c r="E319" s="20">
        <v>1.0</v>
      </c>
    </row>
    <row r="320">
      <c r="A320" s="182"/>
      <c r="B320" s="187" t="str">
        <f>IFERROR(__xludf.DUMMYFUNCTION("""COMPUTED_VALUE"""),"Ambrosia")</f>
        <v>Ambrosia</v>
      </c>
      <c r="C320" s="187">
        <f t="shared" si="1"/>
        <v>1</v>
      </c>
      <c r="D320" s="20" t="s">
        <v>3154</v>
      </c>
      <c r="E320" s="20">
        <v>1.0</v>
      </c>
    </row>
    <row r="321">
      <c r="A321" s="182"/>
      <c r="B321" s="187" t="str">
        <f>IFERROR(__xludf.DUMMYFUNCTION("""COMPUTED_VALUE"""),"Bee")</f>
        <v>Bee</v>
      </c>
      <c r="C321" s="187">
        <f t="shared" si="1"/>
        <v>1</v>
      </c>
      <c r="D321" s="20" t="s">
        <v>3155</v>
      </c>
      <c r="E321" s="20">
        <v>1.0</v>
      </c>
    </row>
    <row r="322">
      <c r="A322" s="182" t="str">
        <f>IFERROR(__xludf.DUMMYFUNCTION("""COMPUTED_VALUE"""),"Crimson")</f>
        <v>Crimson</v>
      </c>
      <c r="B322" s="187" t="str">
        <f>IFERROR(__xludf.DUMMYFUNCTION("""COMPUTED_VALUE"""),"Recruiting")</f>
        <v>Recruiting</v>
      </c>
      <c r="C322" s="187">
        <f t="shared" si="1"/>
        <v>1</v>
      </c>
      <c r="D322" s="20" t="s">
        <v>3156</v>
      </c>
      <c r="E322" s="20">
        <v>1.0</v>
      </c>
    </row>
    <row r="323">
      <c r="A323" s="182" t="str">
        <f>IFERROR(__xludf.DUMMYFUNCTION("""COMPUTED_VALUE"""),"Flamechick")</f>
        <v>Flamechick</v>
      </c>
      <c r="B323" s="187" t="str">
        <f>IFERROR(__xludf.DUMMYFUNCTION("""COMPUTED_VALUE"""),"Officer")</f>
        <v>Officer</v>
      </c>
      <c r="C323" s="187">
        <f t="shared" si="1"/>
        <v>1</v>
      </c>
      <c r="D323" s="20" t="s">
        <v>3157</v>
      </c>
      <c r="E323" s="20">
        <v>1.0</v>
      </c>
    </row>
    <row r="324">
      <c r="A324" s="182"/>
      <c r="B324" s="187" t="str">
        <f>IFERROR(__xludf.DUMMYFUNCTION("""COMPUTED_VALUE"""),"Remnant")</f>
        <v>Remnant</v>
      </c>
      <c r="C324" s="187">
        <f t="shared" si="1"/>
        <v>1</v>
      </c>
      <c r="D324" s="20" t="s">
        <v>3158</v>
      </c>
      <c r="E324" s="20">
        <v>1.0</v>
      </c>
    </row>
    <row r="325">
      <c r="A325" s="182"/>
      <c r="B325" s="187" t="str">
        <f>IFERROR(__xludf.DUMMYFUNCTION("""COMPUTED_VALUE"""),"Quiet")</f>
        <v>Quiet</v>
      </c>
      <c r="C325" s="187">
        <f t="shared" si="1"/>
        <v>1</v>
      </c>
      <c r="D325" s="20" t="s">
        <v>3159</v>
      </c>
      <c r="E325" s="20">
        <v>1.0</v>
      </c>
    </row>
    <row r="326">
      <c r="A326" s="182"/>
      <c r="B326" s="187" t="str">
        <f>IFERROR(__xludf.DUMMYFUNCTION("""COMPUTED_VALUE"""),"Springs")</f>
        <v>Springs</v>
      </c>
      <c r="C326" s="187">
        <f t="shared" si="1"/>
        <v>2</v>
      </c>
      <c r="D326" s="20" t="s">
        <v>3160</v>
      </c>
      <c r="E326" s="20">
        <v>1.0</v>
      </c>
    </row>
    <row r="327">
      <c r="A327" s="182" t="str">
        <f>IFERROR(__xludf.DUMMYFUNCTION("""COMPUTED_VALUE"""),"The")</f>
        <v>The</v>
      </c>
      <c r="B327" s="187" t="str">
        <f>IFERROR(__xludf.DUMMYFUNCTION("""COMPUTED_VALUE"""),"Sandring")</f>
        <v>Sandring</v>
      </c>
      <c r="C327" s="187">
        <f t="shared" si="1"/>
        <v>1</v>
      </c>
      <c r="D327" s="20" t="s">
        <v>3161</v>
      </c>
      <c r="E327" s="20">
        <v>1.0</v>
      </c>
    </row>
    <row r="328">
      <c r="A328" s="182" t="str">
        <f>IFERROR(__xludf.DUMMYFUNCTION("""COMPUTED_VALUE"""),"Ascended")</f>
        <v>Ascended</v>
      </c>
      <c r="B328" s="187" t="str">
        <f>IFERROR(__xludf.DUMMYFUNCTION("""COMPUTED_VALUE"""),"Pridemane")</f>
        <v>Pridemane</v>
      </c>
      <c r="C328" s="187">
        <f t="shared" si="1"/>
        <v>1</v>
      </c>
      <c r="D328" s="20" t="s">
        <v>1079</v>
      </c>
      <c r="E328" s="20">
        <v>1.0</v>
      </c>
    </row>
    <row r="329">
      <c r="A329" s="182" t="str">
        <f>IFERROR(__xludf.DUMMYFUNCTION("""COMPUTED_VALUE"""),"One")</f>
        <v>One</v>
      </c>
      <c r="B329" s="187" t="str">
        <f>IFERROR(__xludf.DUMMYFUNCTION("""COMPUTED_VALUE"""),"Filthy")</f>
        <v>Filthy</v>
      </c>
      <c r="C329" s="187">
        <f t="shared" si="1"/>
        <v>1</v>
      </c>
      <c r="D329" s="20" t="s">
        <v>1089</v>
      </c>
      <c r="E329" s="20">
        <v>1.0</v>
      </c>
    </row>
    <row r="330">
      <c r="A330" s="182"/>
      <c r="B330" s="187" t="str">
        <f>IFERROR(__xludf.DUMMYFUNCTION("""COMPUTED_VALUE"""),"Peasant")</f>
        <v>Peasant</v>
      </c>
      <c r="C330" s="187">
        <f t="shared" si="1"/>
        <v>1</v>
      </c>
      <c r="D330" s="20" t="s">
        <v>3162</v>
      </c>
      <c r="E330" s="20">
        <v>1.0</v>
      </c>
    </row>
    <row r="331">
      <c r="A331" s="182"/>
      <c r="B331" s="187" t="str">
        <f>IFERROR(__xludf.DUMMYFUNCTION("""COMPUTED_VALUE"""),"Scapegoat")</f>
        <v>Scapegoat</v>
      </c>
      <c r="C331" s="187">
        <f t="shared" si="1"/>
        <v>1</v>
      </c>
      <c r="D331" s="20" t="s">
        <v>3163</v>
      </c>
      <c r="E331" s="20">
        <v>1.0</v>
      </c>
    </row>
    <row r="332">
      <c r="A332" s="182" t="str">
        <f>IFERROR(__xludf.DUMMYFUNCTION("""COMPUTED_VALUE"""),"Tranquil")</f>
        <v>Tranquil</v>
      </c>
      <c r="B332" s="187" t="str">
        <f>IFERROR(__xludf.DUMMYFUNCTION("""COMPUTED_VALUE"""),"Ironstride")</f>
        <v>Ironstride</v>
      </c>
      <c r="C332" s="187">
        <f t="shared" si="1"/>
        <v>1</v>
      </c>
      <c r="D332" s="20" t="s">
        <v>3164</v>
      </c>
      <c r="E332" s="20">
        <v>1.0</v>
      </c>
    </row>
    <row r="333">
      <c r="A333" s="182" t="str">
        <f>IFERROR(__xludf.DUMMYFUNCTION("""COMPUTED_VALUE"""),"Herd")</f>
        <v>Herd</v>
      </c>
      <c r="B333" s="187" t="str">
        <f>IFERROR(__xludf.DUMMYFUNCTION("""COMPUTED_VALUE"""),"Courser")</f>
        <v>Courser</v>
      </c>
      <c r="C333" s="187">
        <f t="shared" si="1"/>
        <v>1</v>
      </c>
      <c r="D333" s="20" t="s">
        <v>3165</v>
      </c>
      <c r="E333" s="20">
        <v>1.0</v>
      </c>
    </row>
    <row r="334">
      <c r="A334" s="182" t="str">
        <f>IFERROR(__xludf.DUMMYFUNCTION("""COMPUTED_VALUE"""),"Rubyskull")</f>
        <v>Rubyskull</v>
      </c>
      <c r="B334" s="187" t="str">
        <f>IFERROR(__xludf.DUMMYFUNCTION("""COMPUTED_VALUE"""),"Pocket")</f>
        <v>Pocket</v>
      </c>
      <c r="C334" s="187">
        <f t="shared" si="1"/>
        <v>1</v>
      </c>
      <c r="D334" s="20" t="s">
        <v>3166</v>
      </c>
      <c r="E334" s="20">
        <v>1.0</v>
      </c>
    </row>
    <row r="335">
      <c r="A335" s="182"/>
      <c r="B335" s="187" t="str">
        <f>IFERROR(__xludf.DUMMYFUNCTION("""COMPUTED_VALUE"""),"Prime")</f>
        <v>Prime</v>
      </c>
      <c r="C335" s="187">
        <f t="shared" si="1"/>
        <v>1</v>
      </c>
      <c r="D335" s="20" t="s">
        <v>3167</v>
      </c>
      <c r="E335" s="20">
        <v>1.0</v>
      </c>
    </row>
    <row r="336">
      <c r="A336" s="182"/>
      <c r="B336" s="187" t="str">
        <f>IFERROR(__xludf.DUMMYFUNCTION("""COMPUTED_VALUE"""),"Golem")</f>
        <v>Golem</v>
      </c>
      <c r="C336" s="187">
        <f t="shared" si="1"/>
        <v>2</v>
      </c>
      <c r="D336" s="20" t="s">
        <v>1162</v>
      </c>
      <c r="E336" s="20">
        <v>1.0</v>
      </c>
    </row>
    <row r="337">
      <c r="A337" s="182" t="str">
        <f>IFERROR(__xludf.DUMMYFUNCTION("""COMPUTED_VALUE"""),"Blackwing")</f>
        <v>Blackwing</v>
      </c>
      <c r="B337" s="187" t="str">
        <f>IFERROR(__xludf.DUMMYFUNCTION("""COMPUTED_VALUE"""),"Siegebreaker")</f>
        <v>Siegebreaker</v>
      </c>
      <c r="C337" s="187">
        <f t="shared" si="1"/>
        <v>1</v>
      </c>
      <c r="D337" s="20" t="s">
        <v>3168</v>
      </c>
      <c r="E337" s="20">
        <v>1.0</v>
      </c>
    </row>
    <row r="338">
      <c r="A338" s="182" t="str">
        <f>IFERROR(__xludf.DUMMYFUNCTION("""COMPUTED_VALUE"""),"Usurper")</f>
        <v>Usurper</v>
      </c>
      <c r="B338" s="187" t="str">
        <f>IFERROR(__xludf.DUMMYFUNCTION("""COMPUTED_VALUE"""),"Surly")</f>
        <v>Surly</v>
      </c>
      <c r="C338" s="187">
        <f t="shared" si="1"/>
        <v>1</v>
      </c>
      <c r="D338" s="20" t="s">
        <v>3169</v>
      </c>
      <c r="E338" s="20">
        <v>1.0</v>
      </c>
    </row>
    <row r="339">
      <c r="A339" s="182"/>
      <c r="B339" s="187" t="str">
        <f>IFERROR(__xludf.DUMMYFUNCTION("""COMPUTED_VALUE"""),"Donkey")</f>
        <v>Donkey</v>
      </c>
      <c r="C339" s="187">
        <f t="shared" si="1"/>
        <v>1</v>
      </c>
      <c r="D339" s="20" t="s">
        <v>3170</v>
      </c>
      <c r="E339" s="20">
        <v>1.0</v>
      </c>
    </row>
    <row r="340">
      <c r="A340" s="182"/>
      <c r="B340" s="187" t="str">
        <f>IFERROR(__xludf.DUMMYFUNCTION("""COMPUTED_VALUE"""),"Grand")</f>
        <v>Grand</v>
      </c>
      <c r="C340" s="187">
        <f t="shared" si="1"/>
        <v>1</v>
      </c>
      <c r="D340" s="20" t="s">
        <v>3171</v>
      </c>
      <c r="E340" s="20">
        <v>1.0</v>
      </c>
    </row>
    <row r="341">
      <c r="A341" s="182"/>
      <c r="B341" s="187" t="str">
        <f>IFERROR(__xludf.DUMMYFUNCTION("""COMPUTED_VALUE"""),"Ruiner")</f>
        <v>Ruiner</v>
      </c>
      <c r="C341" s="187">
        <f t="shared" si="1"/>
        <v>1</v>
      </c>
      <c r="D341" s="20" t="s">
        <v>3172</v>
      </c>
      <c r="E341" s="20">
        <v>1.0</v>
      </c>
    </row>
    <row r="342">
      <c r="A342" s="182" t="str">
        <f>IFERROR(__xludf.DUMMYFUNCTION("""COMPUTED_VALUE"""),"Thunderswarm")</f>
        <v>Thunderswarm</v>
      </c>
      <c r="B342" s="187" t="str">
        <f>IFERROR(__xludf.DUMMYFUNCTION("""COMPUTED_VALUE"""),"Snow")</f>
        <v>Snow</v>
      </c>
      <c r="C342" s="187">
        <f t="shared" si="1"/>
        <v>1</v>
      </c>
      <c r="D342" s="20" t="s">
        <v>3173</v>
      </c>
      <c r="E342" s="20">
        <v>1.0</v>
      </c>
    </row>
    <row r="343">
      <c r="A343" s="182" t="str">
        <f>IFERROR(__xludf.DUMMYFUNCTION("""COMPUTED_VALUE"""),"Celestial")</f>
        <v>Celestial</v>
      </c>
      <c r="B343" s="187" t="str">
        <f>IFERROR(__xludf.DUMMYFUNCTION("""COMPUTED_VALUE"""),"Crane")</f>
        <v>Crane</v>
      </c>
      <c r="C343" s="187">
        <f t="shared" si="1"/>
        <v>1</v>
      </c>
      <c r="D343" s="20" t="s">
        <v>3174</v>
      </c>
      <c r="E343" s="20">
        <v>1.0</v>
      </c>
    </row>
    <row r="344">
      <c r="A344" s="182"/>
      <c r="B344" s="187" t="str">
        <f>IFERROR(__xludf.DUMMYFUNCTION("""COMPUTED_VALUE"""),"Trading")</f>
        <v>Trading</v>
      </c>
      <c r="C344" s="187">
        <f t="shared" si="1"/>
        <v>1</v>
      </c>
      <c r="D344" s="20" t="s">
        <v>3175</v>
      </c>
      <c r="E344" s="20">
        <v>1.0</v>
      </c>
    </row>
    <row r="345">
      <c r="A345" s="182"/>
      <c r="B345" s="187" t="str">
        <f>IFERROR(__xludf.DUMMYFUNCTION("""COMPUTED_VALUE"""),"Post")</f>
        <v>Post</v>
      </c>
      <c r="C345" s="187">
        <f t="shared" si="1"/>
        <v>1</v>
      </c>
      <c r="D345" s="20" t="s">
        <v>3176</v>
      </c>
      <c r="E345" s="20">
        <v>1.0</v>
      </c>
    </row>
    <row r="346">
      <c r="A346" s="182"/>
      <c r="B346" s="187" t="str">
        <f>IFERROR(__xludf.DUMMYFUNCTION("""COMPUTED_VALUE"""),"Camel")</f>
        <v>Camel</v>
      </c>
      <c r="C346" s="187">
        <f t="shared" si="1"/>
        <v>2</v>
      </c>
      <c r="D346" s="20" t="s">
        <v>3177</v>
      </c>
      <c r="E346" s="20">
        <v>1.0</v>
      </c>
    </row>
    <row r="347">
      <c r="A347" s="182" t="str">
        <f>IFERROR(__xludf.DUMMYFUNCTION("""COMPUTED_VALUE"""),"The")</f>
        <v>The</v>
      </c>
      <c r="B347" s="187" t="str">
        <f>IFERROR(__xludf.DUMMYFUNCTION("""COMPUTED_VALUE"""),"Stormforged")</f>
        <v>Stormforged</v>
      </c>
      <c r="C347" s="187">
        <f t="shared" si="1"/>
        <v>1</v>
      </c>
      <c r="D347" s="20" t="s">
        <v>3178</v>
      </c>
      <c r="E347" s="20">
        <v>1.0</v>
      </c>
    </row>
    <row r="348">
      <c r="A348" s="182" t="str">
        <f>IFERROR(__xludf.DUMMYFUNCTION("""COMPUTED_VALUE"""),"Second")</f>
        <v>Second</v>
      </c>
      <c r="B348" s="187" t="str">
        <f>IFERROR(__xludf.DUMMYFUNCTION("""COMPUTED_VALUE"""),"Recruit")</f>
        <v>Recruit</v>
      </c>
      <c r="C348" s="187">
        <f t="shared" si="1"/>
        <v>1</v>
      </c>
      <c r="D348" s="20" t="s">
        <v>3179</v>
      </c>
      <c r="E348" s="20">
        <v>1.0</v>
      </c>
    </row>
    <row r="349">
      <c r="A349" s="182" t="str">
        <f>IFERROR(__xludf.DUMMYFUNCTION("""COMPUTED_VALUE"""),"Wing")</f>
        <v>Wing</v>
      </c>
      <c r="B349" s="187" t="str">
        <f>IFERROR(__xludf.DUMMYFUNCTION("""COMPUTED_VALUE"""),"Supply")</f>
        <v>Supply</v>
      </c>
      <c r="C349" s="187">
        <f t="shared" si="1"/>
        <v>1</v>
      </c>
      <c r="D349" s="20" t="s">
        <v>3180</v>
      </c>
      <c r="E349" s="20">
        <v>1.0</v>
      </c>
    </row>
    <row r="350">
      <c r="A350" s="182"/>
      <c r="B350" s="187" t="str">
        <f>IFERROR(__xludf.DUMMYFUNCTION("""COMPUTED_VALUE"""),"Trusty")</f>
        <v>Trusty</v>
      </c>
      <c r="C350" s="187">
        <f t="shared" si="1"/>
        <v>1</v>
      </c>
      <c r="D350" s="20" t="s">
        <v>3181</v>
      </c>
      <c r="E350" s="20">
        <v>1.0</v>
      </c>
    </row>
    <row r="351">
      <c r="A351" s="182"/>
      <c r="B351" s="187" t="str">
        <f>IFERROR(__xludf.DUMMYFUNCTION("""COMPUTED_VALUE"""),"Companion")</f>
        <v>Companion</v>
      </c>
      <c r="C351" s="187">
        <f t="shared" si="1"/>
        <v>1</v>
      </c>
      <c r="D351" s="20" t="s">
        <v>3182</v>
      </c>
      <c r="E351" s="20">
        <v>1.0</v>
      </c>
    </row>
    <row r="352">
      <c r="A352" s="182" t="str">
        <f>IFERROR(__xludf.DUMMYFUNCTION("""COMPUTED_VALUE"""),"Ivoryscar")</f>
        <v>Ivoryscar</v>
      </c>
      <c r="B352" s="187" t="str">
        <f>IFERROR(__xludf.DUMMYFUNCTION("""COMPUTED_VALUE"""),"Bloodfleet")</f>
        <v>Bloodfleet</v>
      </c>
      <c r="C352" s="187">
        <f t="shared" si="1"/>
        <v>2</v>
      </c>
      <c r="D352" s="20" t="s">
        <v>3183</v>
      </c>
      <c r="E352" s="20">
        <v>1.0</v>
      </c>
    </row>
    <row r="353">
      <c r="A353" s="182" t="str">
        <f>IFERROR(__xludf.DUMMYFUNCTION("""COMPUTED_VALUE"""),"Fatebreaker")</f>
        <v>Fatebreaker</v>
      </c>
      <c r="B353" s="187" t="str">
        <f>IFERROR(__xludf.DUMMYFUNCTION("""COMPUTED_VALUE"""),"Raider")</f>
        <v>Raider</v>
      </c>
      <c r="C353" s="187">
        <f t="shared" si="1"/>
        <v>2</v>
      </c>
      <c r="D353" s="20" t="s">
        <v>3184</v>
      </c>
      <c r="E353" s="20">
        <v>1.0</v>
      </c>
    </row>
    <row r="354">
      <c r="A354" s="182"/>
      <c r="B354" s="187" t="str">
        <f>IFERROR(__xludf.DUMMYFUNCTION("""COMPUTED_VALUE"""),"Caring")</f>
        <v>Caring</v>
      </c>
      <c r="C354" s="187">
        <f t="shared" si="1"/>
        <v>2</v>
      </c>
      <c r="D354" s="20" t="s">
        <v>3185</v>
      </c>
      <c r="E354" s="20">
        <v>1.0</v>
      </c>
    </row>
    <row r="355">
      <c r="A355" s="182"/>
      <c r="B355" s="187" t="str">
        <f>IFERROR(__xludf.DUMMYFUNCTION("""COMPUTED_VALUE"""),"Mother")</f>
        <v>Mother</v>
      </c>
      <c r="C355" s="187">
        <f t="shared" si="1"/>
        <v>1</v>
      </c>
      <c r="D355" s="20" t="s">
        <v>3186</v>
      </c>
      <c r="E355" s="20">
        <v>1.0</v>
      </c>
    </row>
    <row r="356">
      <c r="A356" s="182"/>
      <c r="B356" s="187" t="str">
        <f>IFERROR(__xludf.DUMMYFUNCTION("""COMPUTED_VALUE"""),"Wayward")</f>
        <v>Wayward</v>
      </c>
      <c r="C356" s="187">
        <f t="shared" si="1"/>
        <v>1</v>
      </c>
      <c r="D356" s="20" t="s">
        <v>3187</v>
      </c>
      <c r="E356" s="20">
        <v>1.0</v>
      </c>
    </row>
    <row r="357">
      <c r="A357" s="182" t="str">
        <f>IFERROR(__xludf.DUMMYFUNCTION("""COMPUTED_VALUE"""),"Moon")</f>
        <v>Moon</v>
      </c>
      <c r="B357" s="187" t="str">
        <f>IFERROR(__xludf.DUMMYFUNCTION("""COMPUTED_VALUE"""),"Battle")</f>
        <v>Battle</v>
      </c>
      <c r="C357" s="187">
        <f t="shared" si="1"/>
        <v>1</v>
      </c>
      <c r="D357" s="20" t="s">
        <v>3188</v>
      </c>
      <c r="E357" s="20">
        <v>1.0</v>
      </c>
    </row>
    <row r="358">
      <c r="A358" s="182" t="str">
        <f>IFERROR(__xludf.DUMMYFUNCTION("""COMPUTED_VALUE"""),"Priestess")</f>
        <v>Priestess</v>
      </c>
      <c r="B358" s="187" t="str">
        <f>IFERROR(__xludf.DUMMYFUNCTION("""COMPUTED_VALUE"""),"Dreadnought")</f>
        <v>Dreadnought</v>
      </c>
      <c r="C358" s="187">
        <f t="shared" si="1"/>
        <v>1</v>
      </c>
      <c r="D358" s="20" t="s">
        <v>3189</v>
      </c>
      <c r="E358" s="20">
        <v>1.0</v>
      </c>
    </row>
    <row r="359">
      <c r="A359" s="182"/>
      <c r="B359" s="187" t="str">
        <f>IFERROR(__xludf.DUMMYFUNCTION("""COMPUTED_VALUE"""),"Dojo")</f>
        <v>Dojo</v>
      </c>
      <c r="C359" s="187">
        <f t="shared" si="1"/>
        <v>1</v>
      </c>
      <c r="D359" s="20" t="s">
        <v>3190</v>
      </c>
      <c r="E359" s="20">
        <v>1.0</v>
      </c>
    </row>
    <row r="360">
      <c r="A360" s="182"/>
      <c r="B360" s="187" t="str">
        <f>IFERROR(__xludf.DUMMYFUNCTION("""COMPUTED_VALUE"""),"Drill")</f>
        <v>Drill</v>
      </c>
      <c r="C360" s="187">
        <f t="shared" si="1"/>
        <v>1</v>
      </c>
      <c r="D360" s="20" t="s">
        <v>3191</v>
      </c>
      <c r="E360" s="20">
        <v>1.0</v>
      </c>
    </row>
    <row r="361">
      <c r="A361" s="182"/>
      <c r="B361" s="187" t="str">
        <f>IFERROR(__xludf.DUMMYFUNCTION("""COMPUTED_VALUE"""),"Instructor")</f>
        <v>Instructor</v>
      </c>
      <c r="C361" s="187">
        <f t="shared" si="1"/>
        <v>1</v>
      </c>
      <c r="D361" s="20" t="s">
        <v>3192</v>
      </c>
      <c r="E361" s="20">
        <v>1.0</v>
      </c>
    </row>
    <row r="362">
      <c r="A362" s="182" t="str">
        <f>IFERROR(__xludf.DUMMYFUNCTION("""COMPUTED_VALUE"""),"Airstep")</f>
        <v>Airstep</v>
      </c>
      <c r="B362" s="187" t="str">
        <f>IFERROR(__xludf.DUMMYFUNCTION("""COMPUTED_VALUE"""),"Rune")</f>
        <v>Rune</v>
      </c>
      <c r="C362" s="187">
        <f t="shared" si="1"/>
        <v>1</v>
      </c>
      <c r="D362" s="20" t="s">
        <v>3193</v>
      </c>
      <c r="E362" s="20">
        <v>1.0</v>
      </c>
    </row>
    <row r="363">
      <c r="A363" s="182" t="str">
        <f>IFERROR(__xludf.DUMMYFUNCTION("""COMPUTED_VALUE"""),"Sifu")</f>
        <v>Sifu</v>
      </c>
      <c r="B363" s="187" t="str">
        <f>IFERROR(__xludf.DUMMYFUNCTION("""COMPUTED_VALUE"""),"Whisperer")</f>
        <v>Whisperer</v>
      </c>
      <c r="C363" s="187">
        <f t="shared" si="1"/>
        <v>1</v>
      </c>
      <c r="D363" s="20" t="s">
        <v>3194</v>
      </c>
      <c r="E363" s="20">
        <v>1.0</v>
      </c>
    </row>
    <row r="364">
      <c r="A364" s="182"/>
      <c r="B364" s="187" t="str">
        <f>IFERROR(__xludf.DUMMYFUNCTION("""COMPUTED_VALUE"""),"Ironclad")</f>
        <v>Ironclad</v>
      </c>
      <c r="C364" s="187">
        <f t="shared" si="1"/>
        <v>1</v>
      </c>
      <c r="D364" s="20" t="s">
        <v>3195</v>
      </c>
      <c r="E364" s="20">
        <v>1.0</v>
      </c>
    </row>
    <row r="365">
      <c r="A365" s="182"/>
      <c r="B365" s="187" t="str">
        <f>IFERROR(__xludf.DUMMYFUNCTION("""COMPUTED_VALUE"""),"Jailwalker")</f>
        <v>Jailwalker</v>
      </c>
      <c r="C365" s="187">
        <f t="shared" si="1"/>
        <v>1</v>
      </c>
      <c r="D365" s="20" t="s">
        <v>3196</v>
      </c>
      <c r="E365" s="20">
        <v>1.0</v>
      </c>
    </row>
    <row r="366">
      <c r="A366" s="182"/>
      <c r="B366" s="187" t="str">
        <f>IFERROR(__xludf.DUMMYFUNCTION("""COMPUTED_VALUE"""),"Holy")</f>
        <v>Holy</v>
      </c>
      <c r="C366" s="187">
        <f t="shared" si="1"/>
        <v>1</v>
      </c>
      <c r="D366" s="20" t="s">
        <v>3197</v>
      </c>
      <c r="E366" s="20">
        <v>1.0</v>
      </c>
    </row>
    <row r="367">
      <c r="A367" s="182" t="str">
        <f>IFERROR(__xludf.DUMMYFUNCTION("""COMPUTED_VALUE"""),"Moonspear")</f>
        <v>Moonspear</v>
      </c>
      <c r="B367" s="187" t="str">
        <f>IFERROR(__xludf.DUMMYFUNCTION("""COMPUTED_VALUE"""),"Chicken")</f>
        <v>Chicken</v>
      </c>
      <c r="C367" s="187">
        <f t="shared" si="1"/>
        <v>1</v>
      </c>
      <c r="D367" s="20" t="s">
        <v>1306</v>
      </c>
      <c r="E367" s="20">
        <v>1.0</v>
      </c>
    </row>
    <row r="368">
      <c r="A368" s="182" t="str">
        <f>IFERROR(__xludf.DUMMYFUNCTION("""COMPUTED_VALUE"""),"Paladin")</f>
        <v>Paladin</v>
      </c>
      <c r="B368" s="187" t="str">
        <f>IFERROR(__xludf.DUMMYFUNCTION("""COMPUTED_VALUE"""),"Life")</f>
        <v>Life</v>
      </c>
      <c r="C368" s="187">
        <f t="shared" si="1"/>
        <v>1</v>
      </c>
      <c r="D368" s="20" t="s">
        <v>3198</v>
      </c>
      <c r="E368" s="20">
        <v>1.0</v>
      </c>
    </row>
    <row r="369">
      <c r="A369" s="182"/>
      <c r="B369" s="187" t="str">
        <f>IFERROR(__xludf.DUMMYFUNCTION("""COMPUTED_VALUE"""),"Tree")</f>
        <v>Tree</v>
      </c>
      <c r="C369" s="187">
        <f t="shared" si="1"/>
        <v>2</v>
      </c>
      <c r="D369" s="20" t="s">
        <v>3199</v>
      </c>
      <c r="E369" s="20">
        <v>1.0</v>
      </c>
    </row>
    <row r="370">
      <c r="A370" s="182"/>
      <c r="B370" s="187" t="str">
        <f>IFERROR(__xludf.DUMMYFUNCTION("""COMPUTED_VALUE"""),"Rampart")</f>
        <v>Rampart</v>
      </c>
      <c r="C370" s="187">
        <f t="shared" si="1"/>
        <v>1</v>
      </c>
      <c r="D370" s="20" t="s">
        <v>3200</v>
      </c>
      <c r="E370" s="20">
        <v>1.0</v>
      </c>
    </row>
    <row r="371">
      <c r="A371" s="182"/>
      <c r="B371" s="187" t="str">
        <f>IFERROR(__xludf.DUMMYFUNCTION("""COMPUTED_VALUE"""),"Shellback")</f>
        <v>Shellback</v>
      </c>
      <c r="C371" s="187">
        <f t="shared" si="1"/>
        <v>1</v>
      </c>
      <c r="D371" s="20" t="s">
        <v>3201</v>
      </c>
      <c r="E371" s="20">
        <v>1.0</v>
      </c>
    </row>
    <row r="372">
      <c r="A372" s="182" t="str">
        <f>IFERROR(__xludf.DUMMYFUNCTION("""COMPUTED_VALUE"""),"Arcanum")</f>
        <v>Arcanum</v>
      </c>
      <c r="B372" s="187" t="str">
        <f>IFERROR(__xludf.DUMMYFUNCTION("""COMPUTED_VALUE"""),"Zodiac")</f>
        <v>Zodiac</v>
      </c>
      <c r="C372" s="187">
        <f t="shared" si="1"/>
        <v>1</v>
      </c>
      <c r="D372" s="20" t="s">
        <v>1340</v>
      </c>
      <c r="E372" s="20">
        <v>1.0</v>
      </c>
    </row>
    <row r="373">
      <c r="A373" s="182" t="str">
        <f>IFERROR(__xludf.DUMMYFUNCTION("""COMPUTED_VALUE"""),"Grandmaster")</f>
        <v>Grandmaster</v>
      </c>
      <c r="B373" s="187" t="str">
        <f>IFERROR(__xludf.DUMMYFUNCTION("""COMPUTED_VALUE"""),"Samurai")</f>
        <v>Samurai</v>
      </c>
      <c r="C373" s="187">
        <f t="shared" si="1"/>
        <v>1</v>
      </c>
      <c r="D373" s="20" t="s">
        <v>3202</v>
      </c>
      <c r="E373" s="20">
        <v>1.0</v>
      </c>
    </row>
    <row r="374">
      <c r="A374" s="182"/>
      <c r="B374" s="187" t="str">
        <f>IFERROR(__xludf.DUMMYFUNCTION("""COMPUTED_VALUE"""),"Scalehide")</f>
        <v>Scalehide</v>
      </c>
      <c r="C374" s="187">
        <f t="shared" si="1"/>
        <v>1</v>
      </c>
      <c r="D374" s="20" t="s">
        <v>3203</v>
      </c>
      <c r="E374" s="20">
        <v>1.0</v>
      </c>
    </row>
    <row r="375">
      <c r="A375" s="182"/>
      <c r="B375" s="187" t="str">
        <f>IFERROR(__xludf.DUMMYFUNCTION("""COMPUTED_VALUE"""),"Trapper")</f>
        <v>Trapper</v>
      </c>
      <c r="C375" s="187">
        <f t="shared" si="1"/>
        <v>1</v>
      </c>
      <c r="D375" s="20" t="s">
        <v>3204</v>
      </c>
      <c r="E375" s="20">
        <v>1.0</v>
      </c>
    </row>
    <row r="376">
      <c r="A376" s="182"/>
      <c r="B376" s="187" t="str">
        <f>IFERROR(__xludf.DUMMYFUNCTION("""COMPUTED_VALUE"""),"Crescent")</f>
        <v>Crescent</v>
      </c>
      <c r="C376" s="187">
        <f t="shared" si="1"/>
        <v>1</v>
      </c>
      <c r="D376" s="20" t="s">
        <v>3205</v>
      </c>
      <c r="E376" s="20">
        <v>1.0</v>
      </c>
    </row>
    <row r="377">
      <c r="A377" s="182" t="str">
        <f>IFERROR(__xludf.DUMMYFUNCTION("""COMPUTED_VALUE"""),"Auraborne")</f>
        <v>Auraborne</v>
      </c>
      <c r="B377" s="187" t="str">
        <f>IFERROR(__xludf.DUMMYFUNCTION("""COMPUTED_VALUE"""),"Trapmaster")</f>
        <v>Trapmaster</v>
      </c>
      <c r="C377" s="187">
        <f t="shared" si="1"/>
        <v>1</v>
      </c>
      <c r="D377" s="20" t="s">
        <v>3206</v>
      </c>
      <c r="E377" s="20">
        <v>1.0</v>
      </c>
    </row>
    <row r="378">
      <c r="A378" s="182" t="str">
        <f>IFERROR(__xludf.DUMMYFUNCTION("""COMPUTED_VALUE"""),"Wyvern")</f>
        <v>Wyvern</v>
      </c>
      <c r="B378" s="187" t="str">
        <f>IFERROR(__xludf.DUMMYFUNCTION("""COMPUTED_VALUE"""),"Gemcrazed")</f>
        <v>Gemcrazed</v>
      </c>
      <c r="C378" s="187">
        <f t="shared" si="1"/>
        <v>1</v>
      </c>
      <c r="D378" s="20" t="s">
        <v>3207</v>
      </c>
      <c r="E378" s="20">
        <v>1.0</v>
      </c>
    </row>
    <row r="379">
      <c r="A379" s="182"/>
      <c r="B379" s="187" t="str">
        <f>IFERROR(__xludf.DUMMYFUNCTION("""COMPUTED_VALUE"""),"Clown")</f>
        <v>Clown</v>
      </c>
      <c r="C379" s="187">
        <f t="shared" si="1"/>
        <v>1</v>
      </c>
      <c r="D379" s="20" t="s">
        <v>3208</v>
      </c>
      <c r="E379" s="20">
        <v>1.0</v>
      </c>
    </row>
    <row r="380">
      <c r="A380" s="182"/>
      <c r="B380" s="187" t="str">
        <f>IFERROR(__xludf.DUMMYFUNCTION("""COMPUTED_VALUE"""),"Augur")</f>
        <v>Augur</v>
      </c>
      <c r="C380" s="187">
        <f t="shared" si="1"/>
        <v>1</v>
      </c>
      <c r="D380" s="20" t="s">
        <v>3209</v>
      </c>
      <c r="E380" s="20">
        <v>1.0</v>
      </c>
    </row>
    <row r="381">
      <c r="A381" s="182"/>
      <c r="B381" s="187" t="str">
        <f>IFERROR(__xludf.DUMMYFUNCTION("""COMPUTED_VALUE"""),"Sanguine")</f>
        <v>Sanguine</v>
      </c>
      <c r="C381" s="187">
        <f t="shared" si="1"/>
        <v>2</v>
      </c>
      <c r="D381" s="20" t="s">
        <v>3210</v>
      </c>
      <c r="E381" s="20">
        <v>1.0</v>
      </c>
    </row>
    <row r="382">
      <c r="A382" s="182" t="str">
        <f>IFERROR(__xludf.DUMMYFUNCTION("""COMPUTED_VALUE"""),"Blazecharm")</f>
        <v>Blazecharm</v>
      </c>
      <c r="B382" s="187" t="str">
        <f>IFERROR(__xludf.DUMMYFUNCTION("""COMPUTED_VALUE"""),"Student")</f>
        <v>Student</v>
      </c>
      <c r="C382" s="187">
        <f t="shared" si="1"/>
        <v>1</v>
      </c>
      <c r="D382" s="20" t="s">
        <v>3211</v>
      </c>
      <c r="E382" s="20">
        <v>1.0</v>
      </c>
    </row>
    <row r="383">
      <c r="A383" s="182" t="str">
        <f>IFERROR(__xludf.DUMMYFUNCTION("""COMPUTED_VALUE"""),"Kitsune")</f>
        <v>Kitsune</v>
      </c>
      <c r="B383" s="187" t="str">
        <f>IFERROR(__xludf.DUMMYFUNCTION("""COMPUTED_VALUE"""),"Shade")</f>
        <v>Shade</v>
      </c>
      <c r="C383" s="187">
        <f t="shared" si="1"/>
        <v>1</v>
      </c>
      <c r="D383" s="20" t="s">
        <v>3212</v>
      </c>
      <c r="E383" s="20">
        <v>1.0</v>
      </c>
    </row>
    <row r="384">
      <c r="A384" s="182"/>
      <c r="B384" s="187" t="str">
        <f>IFERROR(__xludf.DUMMYFUNCTION("""COMPUTED_VALUE"""),"in")</f>
        <v>in</v>
      </c>
      <c r="C384" s="187">
        <f t="shared" si="1"/>
        <v>1</v>
      </c>
      <c r="D384" s="20" t="s">
        <v>3213</v>
      </c>
      <c r="E384" s="20">
        <v>1.0</v>
      </c>
    </row>
    <row r="385">
      <c r="A385" s="182"/>
      <c r="B385" s="187" t="str">
        <f>IFERROR(__xludf.DUMMYFUNCTION("""COMPUTED_VALUE"""),"Alley")</f>
        <v>Alley</v>
      </c>
      <c r="C385" s="187">
        <f t="shared" si="1"/>
        <v>1</v>
      </c>
      <c r="D385" s="20" t="s">
        <v>3214</v>
      </c>
      <c r="E385" s="20">
        <v>1.0</v>
      </c>
    </row>
    <row r="386">
      <c r="A386" s="182"/>
      <c r="B386" s="187" t="str">
        <f>IFERROR(__xludf.DUMMYFUNCTION("""COMPUTED_VALUE"""),"Vindictive")</f>
        <v>Vindictive</v>
      </c>
      <c r="C386" s="187">
        <f t="shared" si="1"/>
        <v>1</v>
      </c>
      <c r="D386" s="20" t="s">
        <v>3215</v>
      </c>
      <c r="E386" s="20">
        <v>1.0</v>
      </c>
    </row>
    <row r="387">
      <c r="A387" s="182" t="str">
        <f>IFERROR(__xludf.DUMMYFUNCTION("""COMPUTED_VALUE"""),"Glowing")</f>
        <v>Glowing</v>
      </c>
      <c r="B387" s="187" t="str">
        <f>IFERROR(__xludf.DUMMYFUNCTION("""COMPUTED_VALUE"""),"Forsaken")</f>
        <v>Forsaken</v>
      </c>
      <c r="C387" s="187">
        <f t="shared" si="1"/>
        <v>5</v>
      </c>
      <c r="D387" s="20" t="s">
        <v>3216</v>
      </c>
      <c r="E387" s="20">
        <v>1.0</v>
      </c>
    </row>
    <row r="388">
      <c r="A388" s="182" t="str">
        <f>IFERROR(__xludf.DUMMYFUNCTION("""COMPUTED_VALUE"""),"Gearhulk")</f>
        <v>Gearhulk</v>
      </c>
      <c r="B388" s="187" t="str">
        <f>IFERROR(__xludf.DUMMYFUNCTION("""COMPUTED_VALUE"""),"Willing")</f>
        <v>Willing</v>
      </c>
      <c r="C388" s="187">
        <f t="shared" si="1"/>
        <v>1</v>
      </c>
      <c r="D388" s="20" t="s">
        <v>3217</v>
      </c>
      <c r="E388" s="20">
        <v>1.0</v>
      </c>
    </row>
    <row r="389">
      <c r="A389" s="182"/>
      <c r="B389" s="187" t="str">
        <f>IFERROR(__xludf.DUMMYFUNCTION("""COMPUTED_VALUE"""),"Sacrifice")</f>
        <v>Sacrifice</v>
      </c>
      <c r="C389" s="187">
        <f t="shared" si="1"/>
        <v>1</v>
      </c>
      <c r="D389" s="20" t="s">
        <v>3218</v>
      </c>
      <c r="E389" s="20">
        <v>1.0</v>
      </c>
    </row>
    <row r="390">
      <c r="A390" s="182"/>
      <c r="B390" s="187" t="str">
        <f>IFERROR(__xludf.DUMMYFUNCTION("""COMPUTED_VALUE"""),"Harpooneer")</f>
        <v>Harpooneer</v>
      </c>
      <c r="C390" s="187">
        <f t="shared" si="1"/>
        <v>1</v>
      </c>
      <c r="D390" s="20" t="s">
        <v>3219</v>
      </c>
      <c r="E390" s="20">
        <v>1.0</v>
      </c>
    </row>
    <row r="391">
      <c r="A391" s="182"/>
      <c r="B391" s="187" t="str">
        <f>IFERROR(__xludf.DUMMYFUNCTION("""COMPUTED_VALUE"""),"Gold")</f>
        <v>Gold</v>
      </c>
      <c r="C391" s="187">
        <f t="shared" si="1"/>
        <v>1</v>
      </c>
      <c r="D391" s="20" t="s">
        <v>3220</v>
      </c>
      <c r="E391" s="20">
        <v>1.0</v>
      </c>
    </row>
    <row r="392">
      <c r="A392" s="182" t="str">
        <f>IFERROR(__xludf.DUMMYFUNCTION("""COMPUTED_VALUE"""),"Boiling")</f>
        <v>Boiling</v>
      </c>
      <c r="B392" s="187" t="str">
        <f>IFERROR(__xludf.DUMMYFUNCTION("""COMPUTED_VALUE"""),"Colibri")</f>
        <v>Colibri</v>
      </c>
      <c r="C392" s="187">
        <f t="shared" si="1"/>
        <v>1</v>
      </c>
      <c r="D392" s="20" t="s">
        <v>3221</v>
      </c>
      <c r="E392" s="20">
        <v>1.0</v>
      </c>
    </row>
    <row r="393">
      <c r="A393" s="182" t="str">
        <f>IFERROR(__xludf.DUMMYFUNCTION("""COMPUTED_VALUE"""),"Blood")</f>
        <v>Blood</v>
      </c>
      <c r="B393" s="187" t="str">
        <f>IFERROR(__xludf.DUMMYFUNCTION("""COMPUTED_VALUE"""),"Greedy")</f>
        <v>Greedy</v>
      </c>
      <c r="C393" s="187">
        <f t="shared" si="1"/>
        <v>1</v>
      </c>
      <c r="D393" s="20" t="s">
        <v>3222</v>
      </c>
      <c r="E393" s="20">
        <v>1.0</v>
      </c>
    </row>
    <row r="394">
      <c r="A394" s="182" t="str">
        <f>IFERROR(__xludf.DUMMYFUNCTION("""COMPUTED_VALUE"""),"Berserker")</f>
        <v>Berserker</v>
      </c>
      <c r="B394" s="187" t="str">
        <f>IFERROR(__xludf.DUMMYFUNCTION("""COMPUTED_VALUE"""),"Senator")</f>
        <v>Senator</v>
      </c>
      <c r="C394" s="187">
        <f t="shared" si="1"/>
        <v>1</v>
      </c>
      <c r="D394" s="20" t="s">
        <v>3223</v>
      </c>
      <c r="E394" s="20">
        <v>1.0</v>
      </c>
    </row>
    <row r="395">
      <c r="A395" s="182"/>
      <c r="B395" s="187" t="str">
        <f>IFERROR(__xludf.DUMMYFUNCTION("""COMPUTED_VALUE"""),"Armordillo")</f>
        <v>Armordillo</v>
      </c>
      <c r="C395" s="187">
        <f t="shared" si="1"/>
        <v>1</v>
      </c>
      <c r="D395" s="20" t="s">
        <v>3224</v>
      </c>
      <c r="E395" s="20">
        <v>1.0</v>
      </c>
    </row>
    <row r="396">
      <c r="A396" s="182"/>
      <c r="B396" s="187" t="str">
        <f>IFERROR(__xludf.DUMMYFUNCTION("""COMPUTED_VALUE"""),"Paragon")</f>
        <v>Paragon</v>
      </c>
      <c r="C396" s="187">
        <f t="shared" si="1"/>
        <v>1</v>
      </c>
      <c r="D396" s="20" t="s">
        <v>3225</v>
      </c>
      <c r="E396" s="20">
        <v>1.0</v>
      </c>
    </row>
    <row r="397">
      <c r="A397" s="182" t="str">
        <f>IFERROR(__xludf.DUMMYFUNCTION("""COMPUTED_VALUE"""),"Goat")</f>
        <v>Goat</v>
      </c>
      <c r="B397" s="187" t="str">
        <f>IFERROR(__xludf.DUMMYFUNCTION("""COMPUTED_VALUE"""),"Conquest")</f>
        <v>Conquest</v>
      </c>
      <c r="C397" s="187">
        <f t="shared" si="1"/>
        <v>1</v>
      </c>
      <c r="D397" s="20" t="s">
        <v>3226</v>
      </c>
      <c r="E397" s="20">
        <v>1.0</v>
      </c>
    </row>
    <row r="398">
      <c r="A398" s="182" t="str">
        <f>IFERROR(__xludf.DUMMYFUNCTION("""COMPUTED_VALUE"""),"Oracle")</f>
        <v>Oracle</v>
      </c>
      <c r="B398" s="187" t="str">
        <f>IFERROR(__xludf.DUMMYFUNCTION("""COMPUTED_VALUE"""),"Tilling")</f>
        <v>Tilling</v>
      </c>
      <c r="C398" s="187">
        <f t="shared" si="1"/>
        <v>1</v>
      </c>
      <c r="D398" s="20" t="s">
        <v>3227</v>
      </c>
      <c r="E398" s="20">
        <v>1.0</v>
      </c>
    </row>
    <row r="399">
      <c r="A399" s="182"/>
      <c r="B399" s="187" t="str">
        <f>IFERROR(__xludf.DUMMYFUNCTION("""COMPUTED_VALUE"""),"Yoke")</f>
        <v>Yoke</v>
      </c>
      <c r="C399" s="187">
        <f t="shared" si="1"/>
        <v>1</v>
      </c>
      <c r="D399" s="20" t="s">
        <v>3228</v>
      </c>
      <c r="E399" s="20">
        <v>1.0</v>
      </c>
    </row>
    <row r="400">
      <c r="A400" s="182"/>
      <c r="B400" s="187" t="str">
        <f>IFERROR(__xludf.DUMMYFUNCTION("""COMPUTED_VALUE"""),"Beast")</f>
        <v>Beast</v>
      </c>
      <c r="C400" s="187">
        <f t="shared" si="1"/>
        <v>1</v>
      </c>
      <c r="D400" s="20" t="s">
        <v>3229</v>
      </c>
      <c r="E400" s="20">
        <v>1.0</v>
      </c>
    </row>
    <row r="401">
      <c r="A401" s="182"/>
      <c r="B401" s="187" t="str">
        <f>IFERROR(__xludf.DUMMYFUNCTION("""COMPUTED_VALUE"""),"Blossombeast")</f>
        <v>Blossombeast</v>
      </c>
      <c r="C401" s="187">
        <f t="shared" si="1"/>
        <v>1</v>
      </c>
      <c r="D401" s="20" t="s">
        <v>3230</v>
      </c>
      <c r="E401" s="20">
        <v>1.0</v>
      </c>
    </row>
    <row r="402">
      <c r="A402" s="182" t="str">
        <f>IFERROR(__xludf.DUMMYFUNCTION("""COMPUTED_VALUE"""),"Tranquil")</f>
        <v>Tranquil</v>
      </c>
      <c r="B402" s="187" t="str">
        <f>IFERROR(__xludf.DUMMYFUNCTION("""COMPUTED_VALUE"""),"Bug")</f>
        <v>Bug</v>
      </c>
      <c r="C402" s="187">
        <f t="shared" si="1"/>
        <v>2</v>
      </c>
      <c r="D402" s="20" t="s">
        <v>3231</v>
      </c>
      <c r="E402" s="20">
        <v>1.0</v>
      </c>
    </row>
    <row r="403">
      <c r="A403" s="182" t="str">
        <f>IFERROR(__xludf.DUMMYFUNCTION("""COMPUTED_VALUE"""),"Herd")</f>
        <v>Herd</v>
      </c>
      <c r="B403" s="187" t="str">
        <f>IFERROR(__xludf.DUMMYFUNCTION("""COMPUTED_VALUE"""),"Curator")</f>
        <v>Curator</v>
      </c>
      <c r="C403" s="187">
        <f t="shared" si="1"/>
        <v>1</v>
      </c>
      <c r="D403" s="20" t="s">
        <v>3232</v>
      </c>
      <c r="E403" s="20">
        <v>1.0</v>
      </c>
    </row>
    <row r="404">
      <c r="A404" s="182" t="str">
        <f>IFERROR(__xludf.DUMMYFUNCTION("""COMPUTED_VALUE"""),"Sagehorn")</f>
        <v>Sagehorn</v>
      </c>
      <c r="B404" s="187" t="str">
        <f>IFERROR(__xludf.DUMMYFUNCTION("""COMPUTED_VALUE"""),"Buzzing")</f>
        <v>Buzzing</v>
      </c>
      <c r="C404" s="187">
        <f t="shared" si="1"/>
        <v>1</v>
      </c>
      <c r="D404" s="20" t="s">
        <v>3233</v>
      </c>
      <c r="E404" s="20">
        <v>1.0</v>
      </c>
    </row>
    <row r="405">
      <c r="A405" s="182"/>
      <c r="B405" s="187" t="str">
        <f>IFERROR(__xludf.DUMMYFUNCTION("""COMPUTED_VALUE"""),"Hivetitan")</f>
        <v>Hivetitan</v>
      </c>
      <c r="C405" s="187">
        <f t="shared" si="1"/>
        <v>1</v>
      </c>
      <c r="D405" s="20" t="s">
        <v>3234</v>
      </c>
      <c r="E405" s="20">
        <v>1.0</v>
      </c>
    </row>
    <row r="406">
      <c r="A406" s="182"/>
      <c r="B406" s="187" t="str">
        <f>IFERROR(__xludf.DUMMYFUNCTION("""COMPUTED_VALUE"""),"Caleidoscope")</f>
        <v>Caleidoscope</v>
      </c>
      <c r="C406" s="187">
        <f t="shared" si="1"/>
        <v>1</v>
      </c>
      <c r="D406" s="20" t="s">
        <v>3235</v>
      </c>
      <c r="E406" s="20">
        <v>1.0</v>
      </c>
    </row>
    <row r="407">
      <c r="A407" s="182" t="str">
        <f>IFERROR(__xludf.DUMMYFUNCTION("""COMPUTED_VALUE"""),"Sunblessed")</f>
        <v>Sunblessed</v>
      </c>
      <c r="B407" s="187" t="str">
        <f>IFERROR(__xludf.DUMMYFUNCTION("""COMPUTED_VALUE"""),"Spider")</f>
        <v>Spider</v>
      </c>
      <c r="C407" s="187">
        <f t="shared" si="1"/>
        <v>1</v>
      </c>
      <c r="D407" s="20" t="s">
        <v>1480</v>
      </c>
      <c r="E407" s="20">
        <v>1.0</v>
      </c>
    </row>
    <row r="408">
      <c r="A408" s="182" t="str">
        <f>IFERROR(__xludf.DUMMYFUNCTION("""COMPUTED_VALUE"""),"Crocodile")</f>
        <v>Crocodile</v>
      </c>
      <c r="B408" s="187" t="str">
        <f>IFERROR(__xludf.DUMMYFUNCTION("""COMPUTED_VALUE"""),"Emberblade")</f>
        <v>Emberblade</v>
      </c>
      <c r="C408" s="187">
        <f t="shared" si="1"/>
        <v>1</v>
      </c>
      <c r="D408" s="20" t="s">
        <v>3236</v>
      </c>
      <c r="E408" s="20">
        <v>1.0</v>
      </c>
    </row>
    <row r="409">
      <c r="A409" s="182"/>
      <c r="B409" s="187" t="str">
        <f>IFERROR(__xludf.DUMMYFUNCTION("""COMPUTED_VALUE"""),"Senatorial")</f>
        <v>Senatorial</v>
      </c>
      <c r="C409" s="187">
        <f t="shared" si="1"/>
        <v>1</v>
      </c>
      <c r="D409" s="20" t="s">
        <v>3237</v>
      </c>
      <c r="E409" s="20">
        <v>1.0</v>
      </c>
    </row>
    <row r="410">
      <c r="A410" s="182"/>
      <c r="B410" s="187" t="str">
        <f>IFERROR(__xludf.DUMMYFUNCTION("""COMPUTED_VALUE"""),"Phalanx")</f>
        <v>Phalanx</v>
      </c>
      <c r="C410" s="187">
        <f t="shared" si="1"/>
        <v>1</v>
      </c>
      <c r="D410" s="20" t="s">
        <v>3238</v>
      </c>
      <c r="E410" s="20">
        <v>1.0</v>
      </c>
    </row>
    <row r="411">
      <c r="A411" s="182"/>
      <c r="B411" s="187" t="str">
        <f>IFERROR(__xludf.DUMMYFUNCTION("""COMPUTED_VALUE"""),"Ferromancer")</f>
        <v>Ferromancer</v>
      </c>
      <c r="C411" s="187">
        <f t="shared" si="1"/>
        <v>1</v>
      </c>
      <c r="D411" s="20" t="s">
        <v>3239</v>
      </c>
      <c r="E411" s="20">
        <v>1.0</v>
      </c>
    </row>
    <row r="412">
      <c r="A412" s="182" t="str">
        <f>IFERROR(__xludf.DUMMYFUNCTION("""COMPUTED_VALUE"""),"Kois")</f>
        <v>Kois</v>
      </c>
      <c r="B412" s="187" t="str">
        <f>IFERROR(__xludf.DUMMYFUNCTION("""COMPUTED_VALUE"""),"Frontier")</f>
        <v>Frontier</v>
      </c>
      <c r="C412" s="187">
        <f t="shared" si="1"/>
        <v>1</v>
      </c>
      <c r="D412" s="20" t="s">
        <v>3240</v>
      </c>
      <c r="E412" s="20">
        <v>1.0</v>
      </c>
    </row>
    <row r="413">
      <c r="A413" s="182" t="str">
        <f>IFERROR(__xludf.DUMMYFUNCTION("""COMPUTED_VALUE"""),"of")</f>
        <v>of</v>
      </c>
      <c r="B413" s="187" t="str">
        <f>IFERROR(__xludf.DUMMYFUNCTION("""COMPUTED_VALUE"""),"Centurion")</f>
        <v>Centurion</v>
      </c>
      <c r="C413" s="187">
        <f t="shared" si="1"/>
        <v>1</v>
      </c>
      <c r="D413" s="20" t="s">
        <v>3241</v>
      </c>
      <c r="E413" s="20">
        <v>1.0</v>
      </c>
    </row>
    <row r="414">
      <c r="A414" s="182" t="str">
        <f>IFERROR(__xludf.DUMMYFUNCTION("""COMPUTED_VALUE"""),"Duality")</f>
        <v>Duality</v>
      </c>
      <c r="B414" s="187" t="str">
        <f>IFERROR(__xludf.DUMMYFUNCTION("""COMPUTED_VALUE"""),"Saboteur")</f>
        <v>Saboteur</v>
      </c>
      <c r="C414" s="187">
        <f t="shared" si="1"/>
        <v>1</v>
      </c>
      <c r="D414" s="20" t="s">
        <v>3242</v>
      </c>
      <c r="E414" s="20">
        <v>1.0</v>
      </c>
    </row>
    <row r="415">
      <c r="A415" s="182"/>
      <c r="B415" s="187" t="str">
        <f>IFERROR(__xludf.DUMMYFUNCTION("""COMPUTED_VALUE"""),"Rustblood")</f>
        <v>Rustblood</v>
      </c>
      <c r="C415" s="187">
        <f t="shared" si="1"/>
        <v>1</v>
      </c>
      <c r="D415" s="20" t="s">
        <v>3243</v>
      </c>
      <c r="E415" s="20">
        <v>1.0</v>
      </c>
    </row>
    <row r="416">
      <c r="A416" s="182"/>
      <c r="B416" s="187" t="str">
        <f>IFERROR(__xludf.DUMMYFUNCTION("""COMPUTED_VALUE"""),"Fairgrove")</f>
        <v>Fairgrove</v>
      </c>
      <c r="C416" s="187">
        <f t="shared" si="1"/>
        <v>1</v>
      </c>
      <c r="D416" s="20" t="s">
        <v>3244</v>
      </c>
      <c r="E416" s="20">
        <v>1.0</v>
      </c>
    </row>
    <row r="417">
      <c r="A417" s="182" t="str">
        <f>IFERROR(__xludf.DUMMYFUNCTION("""COMPUTED_VALUE"""),"Ivoryscar")</f>
        <v>Ivoryscar</v>
      </c>
      <c r="B417" s="187" t="str">
        <f>IFERROR(__xludf.DUMMYFUNCTION("""COMPUTED_VALUE"""),"Dryad")</f>
        <v>Dryad</v>
      </c>
      <c r="C417" s="187">
        <f t="shared" si="1"/>
        <v>1</v>
      </c>
      <c r="D417" s="20" t="s">
        <v>3245</v>
      </c>
      <c r="E417" s="20">
        <v>1.0</v>
      </c>
    </row>
    <row r="418">
      <c r="A418" s="182" t="str">
        <f>IFERROR(__xludf.DUMMYFUNCTION("""COMPUTED_VALUE"""),"Eclipsion")</f>
        <v>Eclipsion</v>
      </c>
      <c r="B418" s="187" t="str">
        <f>IFERROR(__xludf.DUMMYFUNCTION("""COMPUTED_VALUE"""),"Fairy")</f>
        <v>Fairy</v>
      </c>
      <c r="C418" s="187">
        <f t="shared" si="1"/>
        <v>1</v>
      </c>
      <c r="D418" s="20" t="s">
        <v>3246</v>
      </c>
      <c r="E418" s="20">
        <v>1.0</v>
      </c>
    </row>
    <row r="419">
      <c r="A419" s="182"/>
      <c r="B419" s="187" t="str">
        <f>IFERROR(__xludf.DUMMYFUNCTION("""COMPUTED_VALUE"""),"Fountain")</f>
        <v>Fountain</v>
      </c>
      <c r="C419" s="187">
        <f t="shared" si="1"/>
        <v>1</v>
      </c>
      <c r="D419" s="20" t="s">
        <v>3247</v>
      </c>
      <c r="E419" s="20">
        <v>1.0</v>
      </c>
    </row>
    <row r="420">
      <c r="A420" s="182"/>
      <c r="B420" s="187" t="str">
        <f>IFERROR(__xludf.DUMMYFUNCTION("""COMPUTED_VALUE"""),"Harvest")</f>
        <v>Harvest</v>
      </c>
      <c r="C420" s="187">
        <f t="shared" si="1"/>
        <v>1</v>
      </c>
      <c r="D420" s="20" t="s">
        <v>3248</v>
      </c>
      <c r="E420" s="20">
        <v>1.0</v>
      </c>
    </row>
    <row r="421">
      <c r="A421" s="182"/>
      <c r="B421" s="187" t="str">
        <f>IFERROR(__xludf.DUMMYFUNCTION("""COMPUTED_VALUE"""),"Sanctifier")</f>
        <v>Sanctifier</v>
      </c>
      <c r="C421" s="187">
        <f t="shared" si="1"/>
        <v>1</v>
      </c>
      <c r="D421" s="20" t="s">
        <v>3249</v>
      </c>
      <c r="E421" s="20">
        <v>1.0</v>
      </c>
    </row>
    <row r="422">
      <c r="A422" s="182" t="str">
        <f>IFERROR(__xludf.DUMMYFUNCTION("""COMPUTED_VALUE"""),"Fallen")</f>
        <v>Fallen</v>
      </c>
      <c r="B422" s="187" t="str">
        <f>IFERROR(__xludf.DUMMYFUNCTION("""COMPUTED_VALUE"""),"Goliath")</f>
        <v>Goliath</v>
      </c>
      <c r="C422" s="187">
        <f t="shared" si="1"/>
        <v>1</v>
      </c>
      <c r="D422" s="20" t="s">
        <v>3250</v>
      </c>
      <c r="E422" s="20">
        <v>1.0</v>
      </c>
    </row>
    <row r="423">
      <c r="A423" s="182" t="str">
        <f>IFERROR(__xludf.DUMMYFUNCTION("""COMPUTED_VALUE"""),"Angel")</f>
        <v>Angel</v>
      </c>
      <c r="B423" s="187" t="str">
        <f>IFERROR(__xludf.DUMMYFUNCTION("""COMPUTED_VALUE"""),"Green")</f>
        <v>Green</v>
      </c>
      <c r="C423" s="187">
        <f t="shared" si="1"/>
        <v>2</v>
      </c>
      <c r="D423" s="20" t="s">
        <v>1548</v>
      </c>
      <c r="E423" s="20">
        <v>1.0</v>
      </c>
    </row>
    <row r="424">
      <c r="A424" s="182"/>
      <c r="B424" s="187" t="str">
        <f>IFERROR(__xludf.DUMMYFUNCTION("""COMPUTED_VALUE"""),"Grizzly")</f>
        <v>Grizzly</v>
      </c>
      <c r="C424" s="187">
        <f t="shared" si="1"/>
        <v>1</v>
      </c>
      <c r="D424" s="20" t="s">
        <v>3251</v>
      </c>
      <c r="E424" s="20">
        <v>1.0</v>
      </c>
    </row>
    <row r="425">
      <c r="A425" s="182"/>
      <c r="B425" s="187" t="str">
        <f>IFERROR(__xludf.DUMMYFUNCTION("""COMPUTED_VALUE"""),"Trap")</f>
        <v>Trap</v>
      </c>
      <c r="C425" s="187">
        <f t="shared" si="1"/>
        <v>1</v>
      </c>
      <c r="D425" s="20" t="s">
        <v>3252</v>
      </c>
      <c r="E425" s="20">
        <v>1.0</v>
      </c>
    </row>
    <row r="426">
      <c r="A426" s="182"/>
      <c r="B426" s="187" t="str">
        <f>IFERROR(__xludf.DUMMYFUNCTION("""COMPUTED_VALUE"""),"Volatile")</f>
        <v>Volatile</v>
      </c>
      <c r="C426" s="187">
        <f t="shared" si="1"/>
        <v>1</v>
      </c>
      <c r="D426" s="20" t="s">
        <v>3253</v>
      </c>
      <c r="E426" s="20">
        <v>1.0</v>
      </c>
    </row>
    <row r="427">
      <c r="A427" s="182" t="str">
        <f>IFERROR(__xludf.DUMMYFUNCTION("""COMPUTED_VALUE"""),"Diamond")</f>
        <v>Diamond</v>
      </c>
      <c r="B427" s="187" t="str">
        <f>IFERROR(__xludf.DUMMYFUNCTION("""COMPUTED_VALUE"""),"Battlemage")</f>
        <v>Battlemage</v>
      </c>
      <c r="C427" s="187">
        <f t="shared" si="1"/>
        <v>1</v>
      </c>
      <c r="D427" s="20" t="s">
        <v>3254</v>
      </c>
      <c r="E427" s="20">
        <v>1.0</v>
      </c>
    </row>
    <row r="428">
      <c r="A428" s="182" t="str">
        <f>IFERROR(__xludf.DUMMYFUNCTION("""COMPUTED_VALUE"""),"Phantom")</f>
        <v>Phantom</v>
      </c>
      <c r="B428" s="187" t="str">
        <f>IFERROR(__xludf.DUMMYFUNCTION("""COMPUTED_VALUE"""),"Ordinary")</f>
        <v>Ordinary</v>
      </c>
      <c r="C428" s="187">
        <f t="shared" si="1"/>
        <v>1</v>
      </c>
      <c r="D428" s="20" t="s">
        <v>3255</v>
      </c>
      <c r="E428" s="20">
        <v>1.0</v>
      </c>
    </row>
    <row r="429">
      <c r="A429" s="182"/>
      <c r="B429" s="187" t="str">
        <f>IFERROR(__xludf.DUMMYFUNCTION("""COMPUTED_VALUE"""),"Flower")</f>
        <v>Flower</v>
      </c>
      <c r="C429" s="187">
        <f t="shared" si="1"/>
        <v>1</v>
      </c>
      <c r="D429" s="20" t="s">
        <v>1571</v>
      </c>
      <c r="E429" s="20">
        <v>1.0</v>
      </c>
    </row>
    <row r="430">
      <c r="A430" s="182"/>
      <c r="B430" s="187" t="str">
        <f>IFERROR(__xludf.DUMMYFUNCTION("""COMPUTED_VALUE"""),"Pot")</f>
        <v>Pot</v>
      </c>
      <c r="C430" s="187">
        <f t="shared" si="1"/>
        <v>1</v>
      </c>
      <c r="D430" s="20" t="s">
        <v>3256</v>
      </c>
      <c r="E430" s="20">
        <v>1.0</v>
      </c>
    </row>
    <row r="431">
      <c r="A431" s="182"/>
      <c r="B431" s="187" t="str">
        <f>IFERROR(__xludf.DUMMYFUNCTION("""COMPUTED_VALUE"""),"Ancient")</f>
        <v>Ancient</v>
      </c>
      <c r="C431" s="187">
        <f t="shared" si="1"/>
        <v>3</v>
      </c>
      <c r="D431" s="20" t="s">
        <v>3257</v>
      </c>
      <c r="E431" s="20">
        <v>1.0</v>
      </c>
    </row>
    <row r="432">
      <c r="A432" s="182" t="str">
        <f>IFERROR(__xludf.DUMMYFUNCTION("""COMPUTED_VALUE"""),"Draconic")</f>
        <v>Draconic</v>
      </c>
      <c r="B432" s="187" t="str">
        <f>IFERROR(__xludf.DUMMYFUNCTION("""COMPUTED_VALUE"""),"Scholar")</f>
        <v>Scholar</v>
      </c>
      <c r="C432" s="187">
        <f t="shared" si="1"/>
        <v>1</v>
      </c>
      <c r="D432" s="20" t="s">
        <v>3258</v>
      </c>
      <c r="E432" s="20">
        <v>1.0</v>
      </c>
    </row>
    <row r="433">
      <c r="A433" s="182" t="str">
        <f>IFERROR(__xludf.DUMMYFUNCTION("""COMPUTED_VALUE"""),"Highpriest")</f>
        <v>Highpriest</v>
      </c>
      <c r="B433" s="187" t="str">
        <f>IFERROR(__xludf.DUMMYFUNCTION("""COMPUTED_VALUE"""),"Little")</f>
        <v>Little</v>
      </c>
      <c r="C433" s="187">
        <f t="shared" si="1"/>
        <v>1</v>
      </c>
      <c r="D433" s="20" t="s">
        <v>3259</v>
      </c>
      <c r="E433" s="20">
        <v>1.0</v>
      </c>
    </row>
    <row r="434">
      <c r="A434" s="182"/>
      <c r="B434" s="187" t="str">
        <f>IFERROR(__xludf.DUMMYFUNCTION("""COMPUTED_VALUE"""),"Lamb")</f>
        <v>Lamb</v>
      </c>
      <c r="C434" s="187">
        <f t="shared" si="1"/>
        <v>1</v>
      </c>
      <c r="D434" s="20" t="s">
        <v>3260</v>
      </c>
      <c r="E434" s="20">
        <v>1.0</v>
      </c>
    </row>
    <row r="435">
      <c r="A435" s="182"/>
      <c r="B435" s="187" t="str">
        <f>IFERROR(__xludf.DUMMYFUNCTION("""COMPUTED_VALUE"""),"Weaponized")</f>
        <v>Weaponized</v>
      </c>
      <c r="C435" s="187">
        <f t="shared" si="1"/>
        <v>1</v>
      </c>
      <c r="D435" s="20" t="s">
        <v>3261</v>
      </c>
      <c r="E435" s="20">
        <v>1.0</v>
      </c>
    </row>
    <row r="436">
      <c r="A436" s="182"/>
      <c r="B436" s="187" t="str">
        <f>IFERROR(__xludf.DUMMYFUNCTION("""COMPUTED_VALUE"""),"Pest")</f>
        <v>Pest</v>
      </c>
      <c r="C436" s="187">
        <f t="shared" si="1"/>
        <v>1</v>
      </c>
      <c r="D436" s="20" t="s">
        <v>3262</v>
      </c>
      <c r="E436" s="20">
        <v>1.0</v>
      </c>
    </row>
    <row r="437">
      <c r="A437" s="182" t="str">
        <f>IFERROR(__xludf.DUMMYFUNCTION("""COMPUTED_VALUE"""),"Cavern")</f>
        <v>Cavern</v>
      </c>
      <c r="B437" s="187" t="str">
        <f>IFERROR(__xludf.DUMMYFUNCTION("""COMPUTED_VALUE"""),"Beastcaster")</f>
        <v>Beastcaster</v>
      </c>
      <c r="C437" s="187">
        <f t="shared" si="1"/>
        <v>1</v>
      </c>
      <c r="D437" s="20" t="s">
        <v>3263</v>
      </c>
      <c r="E437" s="20">
        <v>1.0</v>
      </c>
    </row>
    <row r="438">
      <c r="A438" s="182" t="str">
        <f>IFERROR(__xludf.DUMMYFUNCTION("""COMPUTED_VALUE"""),"Lindwurm")</f>
        <v>Lindwurm</v>
      </c>
      <c r="B438" s="187" t="str">
        <f>IFERROR(__xludf.DUMMYFUNCTION("""COMPUTED_VALUE"""),"Trained")</f>
        <v>Trained</v>
      </c>
      <c r="C438" s="187">
        <f t="shared" si="1"/>
        <v>1</v>
      </c>
      <c r="D438" s="20" t="s">
        <v>1605</v>
      </c>
      <c r="E438" s="20">
        <v>1.0</v>
      </c>
    </row>
    <row r="439">
      <c r="A439" s="182"/>
      <c r="B439" s="187" t="str">
        <f>IFERROR(__xludf.DUMMYFUNCTION("""COMPUTED_VALUE"""),"War")</f>
        <v>War</v>
      </c>
      <c r="C439" s="187">
        <f t="shared" si="1"/>
        <v>1</v>
      </c>
      <c r="D439" s="20" t="s">
        <v>3264</v>
      </c>
      <c r="E439" s="20">
        <v>1.0</v>
      </c>
    </row>
    <row r="440">
      <c r="A440" s="182"/>
      <c r="B440" s="187" t="str">
        <f>IFERROR(__xludf.DUMMYFUNCTION("""COMPUTED_VALUE"""),"Elephant")</f>
        <v>Elephant</v>
      </c>
      <c r="C440" s="187">
        <f t="shared" si="1"/>
        <v>1</v>
      </c>
      <c r="D440" s="20" t="s">
        <v>3265</v>
      </c>
      <c r="E440" s="20">
        <v>1.0</v>
      </c>
    </row>
    <row r="441">
      <c r="A441" s="182"/>
      <c r="B441" s="187" t="str">
        <f>IFERROR(__xludf.DUMMYFUNCTION("""COMPUTED_VALUE"""),"Starborne")</f>
        <v>Starborne</v>
      </c>
      <c r="C441" s="187">
        <f t="shared" si="1"/>
        <v>1</v>
      </c>
      <c r="D441" s="20" t="s">
        <v>3266</v>
      </c>
      <c r="E441" s="20">
        <v>1.0</v>
      </c>
    </row>
    <row r="442">
      <c r="A442" s="182" t="str">
        <f>IFERROR(__xludf.DUMMYFUNCTION("""COMPUTED_VALUE"""),"Cheerful")</f>
        <v>Cheerful</v>
      </c>
      <c r="B442" s="187" t="str">
        <f>IFERROR(__xludf.DUMMYFUNCTION("""COMPUTED_VALUE"""),"Kyudo")</f>
        <v>Kyudo</v>
      </c>
      <c r="C442" s="187">
        <f t="shared" si="1"/>
        <v>1</v>
      </c>
      <c r="D442" s="20" t="s">
        <v>1634</v>
      </c>
      <c r="E442" s="20">
        <v>1.0</v>
      </c>
    </row>
    <row r="443">
      <c r="A443" s="182" t="str">
        <f>IFERROR(__xludf.DUMMYFUNCTION("""COMPUTED_VALUE"""),"Pixies")</f>
        <v>Pixies</v>
      </c>
      <c r="B443" s="187" t="str">
        <f>IFERROR(__xludf.DUMMYFUNCTION("""COMPUTED_VALUE"""),"Chalice")</f>
        <v>Chalice</v>
      </c>
      <c r="C443" s="187">
        <f t="shared" si="1"/>
        <v>1</v>
      </c>
      <c r="D443" s="20" t="s">
        <v>3267</v>
      </c>
      <c r="E443" s="20">
        <v>1.0</v>
      </c>
    </row>
    <row r="444">
      <c r="A444" s="182"/>
      <c r="B444" s="187" t="str">
        <f>IFERROR(__xludf.DUMMYFUNCTION("""COMPUTED_VALUE"""),"Bloodbrewer")</f>
        <v>Bloodbrewer</v>
      </c>
      <c r="C444" s="187">
        <f t="shared" si="1"/>
        <v>1</v>
      </c>
      <c r="D444" s="20" t="s">
        <v>3268</v>
      </c>
      <c r="E444" s="20">
        <v>1.0</v>
      </c>
    </row>
    <row r="445">
      <c r="A445" s="182"/>
      <c r="B445" s="187" t="str">
        <f>IFERROR(__xludf.DUMMYFUNCTION("""COMPUTED_VALUE"""),"Packhunting")</f>
        <v>Packhunting</v>
      </c>
      <c r="C445" s="187">
        <f t="shared" si="1"/>
        <v>1</v>
      </c>
      <c r="D445" s="20" t="s">
        <v>3269</v>
      </c>
      <c r="E445" s="20">
        <v>1.0</v>
      </c>
    </row>
    <row r="446">
      <c r="A446" s="182"/>
      <c r="B446" s="187" t="str">
        <f>IFERROR(__xludf.DUMMYFUNCTION("""COMPUTED_VALUE"""),"Crystalbeast")</f>
        <v>Crystalbeast</v>
      </c>
      <c r="C446" s="187">
        <f t="shared" si="1"/>
        <v>1</v>
      </c>
      <c r="D446" s="20" t="s">
        <v>3270</v>
      </c>
      <c r="E446" s="20">
        <v>1.0</v>
      </c>
    </row>
    <row r="447">
      <c r="A447" s="182" t="str">
        <f>IFERROR(__xludf.DUMMYFUNCTION("""COMPUTED_VALUE"""),"Cinderguard")</f>
        <v>Cinderguard</v>
      </c>
      <c r="B447" s="187" t="str">
        <f>IFERROR(__xludf.DUMMYFUNCTION("""COMPUTED_VALUE"""),"Pebble")</f>
        <v>Pebble</v>
      </c>
      <c r="C447" s="187">
        <f t="shared" si="1"/>
        <v>1</v>
      </c>
      <c r="D447" s="20" t="s">
        <v>3271</v>
      </c>
      <c r="E447" s="20">
        <v>1.0</v>
      </c>
    </row>
    <row r="448">
      <c r="A448" s="182" t="str">
        <f>IFERROR(__xludf.DUMMYFUNCTION("""COMPUTED_VALUE"""),"Scribe")</f>
        <v>Scribe</v>
      </c>
      <c r="B448" s="187" t="str">
        <f>IFERROR(__xludf.DUMMYFUNCTION("""COMPUTED_VALUE"""),"Gekko")</f>
        <v>Gekko</v>
      </c>
      <c r="C448" s="187">
        <f t="shared" si="1"/>
        <v>1</v>
      </c>
      <c r="D448" s="20" t="s">
        <v>3272</v>
      </c>
      <c r="E448" s="20">
        <v>1.0</v>
      </c>
    </row>
    <row r="449">
      <c r="A449" s="182"/>
      <c r="B449" s="187" t="str">
        <f>IFERROR(__xludf.DUMMYFUNCTION("""COMPUTED_VALUE"""),"Platinum")</f>
        <v>Platinum</v>
      </c>
      <c r="C449" s="187">
        <f t="shared" si="1"/>
        <v>1</v>
      </c>
      <c r="D449" s="20" t="s">
        <v>3273</v>
      </c>
      <c r="E449" s="20">
        <v>1.0</v>
      </c>
    </row>
    <row r="450">
      <c r="A450" s="182"/>
      <c r="B450" s="187" t="str">
        <f>IFERROR(__xludf.DUMMYFUNCTION("""COMPUTED_VALUE"""),"Ladybug")</f>
        <v>Ladybug</v>
      </c>
      <c r="C450" s="187">
        <f t="shared" si="1"/>
        <v>1</v>
      </c>
      <c r="D450" s="20" t="s">
        <v>3274</v>
      </c>
      <c r="E450" s="20">
        <v>1.0</v>
      </c>
    </row>
    <row r="451">
      <c r="A451" s="182"/>
      <c r="B451" s="187" t="str">
        <f>IFERROR(__xludf.DUMMYFUNCTION("""COMPUTED_VALUE"""),"Necromancer")</f>
        <v>Necromancer</v>
      </c>
      <c r="C451" s="187">
        <f t="shared" si="1"/>
        <v>1</v>
      </c>
      <c r="D451" s="20" t="s">
        <v>3275</v>
      </c>
      <c r="E451" s="20">
        <v>1.0</v>
      </c>
    </row>
    <row r="452">
      <c r="A452" s="182" t="str">
        <f>IFERROR(__xludf.DUMMYFUNCTION("""COMPUTED_VALUE"""),"Daredevil")</f>
        <v>Daredevil</v>
      </c>
      <c r="B452" s="187" t="str">
        <f>IFERROR(__xludf.DUMMYFUNCTION("""COMPUTED_VALUE"""),"Pollen")</f>
        <v>Pollen</v>
      </c>
      <c r="C452" s="187">
        <f t="shared" si="1"/>
        <v>1</v>
      </c>
      <c r="D452" s="20" t="s">
        <v>3276</v>
      </c>
      <c r="E452" s="20">
        <v>1.0</v>
      </c>
    </row>
    <row r="453">
      <c r="A453" s="182" t="str">
        <f>IFERROR(__xludf.DUMMYFUNCTION("""COMPUTED_VALUE"""),"Duo")</f>
        <v>Duo</v>
      </c>
      <c r="B453" s="187" t="str">
        <f>IFERROR(__xludf.DUMMYFUNCTION("""COMPUTED_VALUE"""),"Buzz")</f>
        <v>Buzz</v>
      </c>
      <c r="C453" s="187">
        <f t="shared" si="1"/>
        <v>1</v>
      </c>
      <c r="D453" s="20" t="s">
        <v>3277</v>
      </c>
      <c r="E453" s="20">
        <v>1.0</v>
      </c>
    </row>
    <row r="454">
      <c r="A454" s="182"/>
      <c r="B454" s="187" t="str">
        <f>IFERROR(__xludf.DUMMYFUNCTION("""COMPUTED_VALUE"""),"Primal")</f>
        <v>Primal</v>
      </c>
      <c r="C454" s="187">
        <f t="shared" si="1"/>
        <v>1</v>
      </c>
      <c r="D454" s="20" t="s">
        <v>3278</v>
      </c>
      <c r="E454" s="20">
        <v>1.0</v>
      </c>
    </row>
    <row r="455">
      <c r="A455" s="182"/>
      <c r="B455" s="187" t="str">
        <f>IFERROR(__xludf.DUMMYFUNCTION("""COMPUTED_VALUE"""),"Horde")</f>
        <v>Horde</v>
      </c>
      <c r="C455" s="187">
        <f t="shared" si="1"/>
        <v>1</v>
      </c>
      <c r="D455" s="20" t="s">
        <v>3279</v>
      </c>
      <c r="E455" s="20">
        <v>1.0</v>
      </c>
    </row>
    <row r="456">
      <c r="A456" s="182"/>
      <c r="B456" s="187" t="str">
        <f>IFERROR(__xludf.DUMMYFUNCTION("""COMPUTED_VALUE"""),"Prowling")</f>
        <v>Prowling</v>
      </c>
      <c r="C456" s="187">
        <f t="shared" si="1"/>
        <v>1</v>
      </c>
      <c r="D456" s="20" t="s">
        <v>3280</v>
      </c>
      <c r="E456" s="20">
        <v>1.0</v>
      </c>
    </row>
    <row r="457">
      <c r="A457" s="182" t="str">
        <f>IFERROR(__xludf.DUMMYFUNCTION("""COMPUTED_VALUE"""),"Echo")</f>
        <v>Echo</v>
      </c>
      <c r="B457" s="187" t="str">
        <f>IFERROR(__xludf.DUMMYFUNCTION("""COMPUTED_VALUE"""),"Puma")</f>
        <v>Puma</v>
      </c>
      <c r="C457" s="187">
        <f t="shared" si="1"/>
        <v>1</v>
      </c>
      <c r="D457" s="20" t="s">
        <v>3281</v>
      </c>
      <c r="E457" s="20">
        <v>1.0</v>
      </c>
    </row>
    <row r="458">
      <c r="A458" s="182" t="str">
        <f>IFERROR(__xludf.DUMMYFUNCTION("""COMPUTED_VALUE"""),"Beetle")</f>
        <v>Beetle</v>
      </c>
      <c r="B458" s="187" t="str">
        <f>IFERROR(__xludf.DUMMYFUNCTION("""COMPUTED_VALUE"""),"Crystal")</f>
        <v>Crystal</v>
      </c>
      <c r="C458" s="187">
        <f t="shared" si="1"/>
        <v>2</v>
      </c>
      <c r="D458" s="20" t="s">
        <v>3282</v>
      </c>
      <c r="E458" s="20">
        <v>1.0</v>
      </c>
    </row>
    <row r="459">
      <c r="A459" s="182"/>
      <c r="B459" s="187" t="str">
        <f>IFERROR(__xludf.DUMMYFUNCTION("""COMPUTED_VALUE"""),"Catacombs")</f>
        <v>Catacombs</v>
      </c>
      <c r="C459" s="187">
        <f t="shared" si="1"/>
        <v>1</v>
      </c>
      <c r="D459" s="20" t="s">
        <v>3283</v>
      </c>
      <c r="E459" s="20">
        <v>1.0</v>
      </c>
    </row>
    <row r="460">
      <c r="A460" s="182"/>
      <c r="B460" s="187" t="str">
        <f>IFERROR(__xludf.DUMMYFUNCTION("""COMPUTED_VALUE"""),"Aristocrat")</f>
        <v>Aristocrat</v>
      </c>
      <c r="C460" s="187">
        <f t="shared" si="1"/>
        <v>1</v>
      </c>
      <c r="D460" s="20" t="s">
        <v>3284</v>
      </c>
      <c r="E460" s="20">
        <v>1.0</v>
      </c>
    </row>
    <row r="461">
      <c r="A461" s="182"/>
      <c r="B461" s="187" t="str">
        <f>IFERROR(__xludf.DUMMYFUNCTION("""COMPUTED_VALUE"""),"Roar")</f>
        <v>Roar</v>
      </c>
      <c r="C461" s="187">
        <f t="shared" si="1"/>
        <v>1</v>
      </c>
      <c r="D461" s="20" t="s">
        <v>3285</v>
      </c>
      <c r="E461" s="20">
        <v>1.0</v>
      </c>
    </row>
    <row r="462">
      <c r="A462" s="182" t="str">
        <f>IFERROR(__xludf.DUMMYFUNCTION("""COMPUTED_VALUE"""),"Ember")</f>
        <v>Ember</v>
      </c>
      <c r="B462" s="187" t="str">
        <f>IFERROR(__xludf.DUMMYFUNCTION("""COMPUTED_VALUE"""),"from")</f>
        <v>from</v>
      </c>
      <c r="C462" s="187">
        <f t="shared" si="1"/>
        <v>2</v>
      </c>
      <c r="D462" s="20" t="s">
        <v>1702</v>
      </c>
      <c r="E462" s="20">
        <v>1.0</v>
      </c>
    </row>
    <row r="463">
      <c r="A463" s="182" t="str">
        <f>IFERROR(__xludf.DUMMYFUNCTION("""COMPUTED_VALUE"""),"Whelp")</f>
        <v>Whelp</v>
      </c>
      <c r="B463" s="187" t="str">
        <f>IFERROR(__xludf.DUMMYFUNCTION("""COMPUTED_VALUE"""),"Past")</f>
        <v>Past</v>
      </c>
      <c r="C463" s="187">
        <f t="shared" si="1"/>
        <v>1</v>
      </c>
      <c r="D463" s="20" t="s">
        <v>3286</v>
      </c>
      <c r="E463" s="20">
        <v>1.0</v>
      </c>
    </row>
    <row r="464">
      <c r="A464" s="182"/>
      <c r="B464" s="187" t="str">
        <f>IFERROR(__xludf.DUMMYFUNCTION("""COMPUTED_VALUE"""),"Rootseed")</f>
        <v>Rootseed</v>
      </c>
      <c r="C464" s="187">
        <f t="shared" si="1"/>
        <v>1</v>
      </c>
      <c r="D464" s="20" t="s">
        <v>3287</v>
      </c>
      <c r="E464" s="20">
        <v>1.0</v>
      </c>
    </row>
    <row r="465">
      <c r="A465" s="182"/>
      <c r="B465" s="187" t="str">
        <f>IFERROR(__xludf.DUMMYFUNCTION("""COMPUTED_VALUE"""),"Snapscale")</f>
        <v>Snapscale</v>
      </c>
      <c r="C465" s="187">
        <f t="shared" si="1"/>
        <v>1</v>
      </c>
      <c r="D465" s="20" t="s">
        <v>3288</v>
      </c>
      <c r="E465" s="20">
        <v>1.0</v>
      </c>
    </row>
    <row r="466">
      <c r="A466" s="182"/>
      <c r="B466" s="187" t="str">
        <f>IFERROR(__xludf.DUMMYFUNCTION("""COMPUTED_VALUE"""),"Alpha")</f>
        <v>Alpha</v>
      </c>
      <c r="C466" s="187">
        <f t="shared" si="1"/>
        <v>1</v>
      </c>
      <c r="D466" s="20" t="s">
        <v>3289</v>
      </c>
      <c r="E466" s="20">
        <v>1.0</v>
      </c>
    </row>
    <row r="467">
      <c r="A467" s="182" t="str">
        <f>IFERROR(__xludf.DUMMYFUNCTION("""COMPUTED_VALUE"""),"Floating")</f>
        <v>Floating</v>
      </c>
      <c r="B467" s="187" t="str">
        <f>IFERROR(__xludf.DUMMYFUNCTION("""COMPUTED_VALUE"""),"Stampede")</f>
        <v>Stampede</v>
      </c>
      <c r="C467" s="187">
        <f t="shared" si="1"/>
        <v>1</v>
      </c>
      <c r="D467" s="20" t="s">
        <v>3290</v>
      </c>
      <c r="E467" s="20">
        <v>1.0</v>
      </c>
    </row>
    <row r="468">
      <c r="A468" s="182" t="str">
        <f>IFERROR(__xludf.DUMMYFUNCTION("""COMPUTED_VALUE"""),"Djinn")</f>
        <v>Djinn</v>
      </c>
      <c r="B468" s="187" t="str">
        <f>IFERROR(__xludf.DUMMYFUNCTION("""COMPUTED_VALUE"""),"Amethyst")</f>
        <v>Amethyst</v>
      </c>
      <c r="C468" s="187">
        <f t="shared" si="1"/>
        <v>1</v>
      </c>
      <c r="D468" s="20" t="s">
        <v>3291</v>
      </c>
      <c r="E468" s="20">
        <v>1.0</v>
      </c>
    </row>
    <row r="469">
      <c r="A469" s="182"/>
      <c r="B469" s="187" t="str">
        <f>IFERROR(__xludf.DUMMYFUNCTION("""COMPUTED_VALUE"""),"Argosaurus")</f>
        <v>Argosaurus</v>
      </c>
      <c r="C469" s="187">
        <f t="shared" si="1"/>
        <v>1</v>
      </c>
      <c r="D469" s="20" t="s">
        <v>3292</v>
      </c>
      <c r="E469" s="20">
        <v>1.0</v>
      </c>
    </row>
    <row r="470">
      <c r="A470" s="182"/>
      <c r="B470" s="187" t="str">
        <f>IFERROR(__xludf.DUMMYFUNCTION("""COMPUTED_VALUE"""),"Astral")</f>
        <v>Astral</v>
      </c>
      <c r="C470" s="187">
        <f t="shared" si="1"/>
        <v>1</v>
      </c>
      <c r="D470" s="20" t="s">
        <v>3293</v>
      </c>
      <c r="E470" s="20">
        <v>1.0</v>
      </c>
    </row>
    <row r="471">
      <c r="A471" s="182"/>
      <c r="B471" s="187" t="str">
        <f>IFERROR(__xludf.DUMMYFUNCTION("""COMPUTED_VALUE"""),"Unicorn")</f>
        <v>Unicorn</v>
      </c>
      <c r="C471" s="187">
        <f t="shared" si="1"/>
        <v>1</v>
      </c>
      <c r="D471" s="20" t="s">
        <v>3294</v>
      </c>
      <c r="E471" s="20">
        <v>1.0</v>
      </c>
    </row>
    <row r="472">
      <c r="A472" s="182" t="str">
        <f>IFERROR(__xludf.DUMMYFUNCTION("""COMPUTED_VALUE"""),"Dewdrop")</f>
        <v>Dewdrop</v>
      </c>
      <c r="B472" s="187" t="str">
        <f>IFERROR(__xludf.DUMMYFUNCTION("""COMPUTED_VALUE"""),"Spectra")</f>
        <v>Spectra</v>
      </c>
      <c r="C472" s="187">
        <f t="shared" si="1"/>
        <v>1</v>
      </c>
      <c r="D472" s="20" t="s">
        <v>3295</v>
      </c>
      <c r="E472" s="20">
        <v>1.0</v>
      </c>
    </row>
    <row r="473">
      <c r="A473" s="182" t="str">
        <f>IFERROR(__xludf.DUMMYFUNCTION("""COMPUTED_VALUE"""),"Sprite")</f>
        <v>Sprite</v>
      </c>
      <c r="B473" s="187" t="str">
        <f>IFERROR(__xludf.DUMMYFUNCTION("""COMPUTED_VALUE"""),"Stick")</f>
        <v>Stick</v>
      </c>
      <c r="C473" s="187">
        <f t="shared" si="1"/>
        <v>1</v>
      </c>
      <c r="D473" s="20" t="s">
        <v>3296</v>
      </c>
      <c r="E473" s="20">
        <v>1.0</v>
      </c>
    </row>
    <row r="474">
      <c r="A474" s="182"/>
      <c r="B474" s="187" t="str">
        <f>IFERROR(__xludf.DUMMYFUNCTION("""COMPUTED_VALUE"""),"Calming")</f>
        <v>Calming</v>
      </c>
      <c r="C474" s="187">
        <f t="shared" si="1"/>
        <v>1</v>
      </c>
      <c r="D474" s="20" t="s">
        <v>3297</v>
      </c>
      <c r="E474" s="20">
        <v>1.0</v>
      </c>
    </row>
    <row r="475">
      <c r="A475" s="182"/>
      <c r="B475" s="187" t="str">
        <f>IFERROR(__xludf.DUMMYFUNCTION("""COMPUTED_VALUE"""),"Apparition")</f>
        <v>Apparition</v>
      </c>
      <c r="C475" s="187">
        <f t="shared" si="1"/>
        <v>1</v>
      </c>
      <c r="D475" s="20" t="s">
        <v>3298</v>
      </c>
      <c r="E475" s="20">
        <v>1.0</v>
      </c>
    </row>
    <row r="476">
      <c r="A476" s="182"/>
      <c r="B476" s="187" t="str">
        <f>IFERROR(__xludf.DUMMYFUNCTION("""COMPUTED_VALUE"""),"Sylvan")</f>
        <v>Sylvan</v>
      </c>
      <c r="C476" s="187">
        <f t="shared" si="1"/>
        <v>1</v>
      </c>
      <c r="D476" s="20" t="s">
        <v>1759</v>
      </c>
      <c r="E476" s="20">
        <v>1.0</v>
      </c>
    </row>
    <row r="477">
      <c r="A477" s="182" t="str">
        <f>IFERROR(__xludf.DUMMYFUNCTION("""COMPUTED_VALUE"""),"Dragon")</f>
        <v>Dragon</v>
      </c>
      <c r="B477" s="187" t="str">
        <f>IFERROR(__xludf.DUMMYFUNCTION("""COMPUTED_VALUE"""),"Gamekeeper")</f>
        <v>Gamekeeper</v>
      </c>
      <c r="C477" s="187">
        <f t="shared" si="1"/>
        <v>1</v>
      </c>
      <c r="D477" s="20" t="s">
        <v>3299</v>
      </c>
      <c r="E477" s="20">
        <v>1.0</v>
      </c>
    </row>
    <row r="478">
      <c r="A478" s="182" t="str">
        <f>IFERROR(__xludf.DUMMYFUNCTION("""COMPUTED_VALUE"""),"Egg")</f>
        <v>Egg</v>
      </c>
      <c r="B478" s="187" t="str">
        <f>IFERROR(__xludf.DUMMYFUNCTION("""COMPUTED_VALUE"""),"Tainted")</f>
        <v>Tainted</v>
      </c>
      <c r="C478" s="187">
        <f t="shared" si="1"/>
        <v>3</v>
      </c>
      <c r="D478" s="20" t="s">
        <v>3300</v>
      </c>
      <c r="E478" s="20">
        <v>1.0</v>
      </c>
    </row>
    <row r="479">
      <c r="A479" s="182"/>
      <c r="B479" s="187" t="str">
        <f>IFERROR(__xludf.DUMMYFUNCTION("""COMPUTED_VALUE"""),"Jade")</f>
        <v>Jade</v>
      </c>
      <c r="C479" s="187">
        <f t="shared" si="1"/>
        <v>3</v>
      </c>
      <c r="D479" s="20" t="s">
        <v>3301</v>
      </c>
      <c r="E479" s="20">
        <v>1.0</v>
      </c>
    </row>
    <row r="480">
      <c r="A480" s="182"/>
      <c r="B480" s="187" t="str">
        <f>IFERROR(__xludf.DUMMYFUNCTION("""COMPUTED_VALUE"""),"Monstrosity")</f>
        <v>Monstrosity</v>
      </c>
      <c r="C480" s="187">
        <f t="shared" si="1"/>
        <v>1</v>
      </c>
      <c r="D480" s="20" t="s">
        <v>3302</v>
      </c>
      <c r="E480" s="20">
        <v>1.0</v>
      </c>
    </row>
    <row r="481">
      <c r="A481" s="182"/>
      <c r="B481" s="187" t="str">
        <f>IFERROR(__xludf.DUMMYFUNCTION("""COMPUTED_VALUE"""),"Mycomancer")</f>
        <v>Mycomancer</v>
      </c>
      <c r="C481" s="187">
        <f t="shared" si="1"/>
        <v>1</v>
      </c>
      <c r="D481" s="20" t="s">
        <v>3303</v>
      </c>
      <c r="E481" s="20">
        <v>1.0</v>
      </c>
    </row>
    <row r="482">
      <c r="A482" s="182" t="str">
        <f>IFERROR(__xludf.DUMMYFUNCTION("""COMPUTED_VALUE"""),"Dustdance")</f>
        <v>Dustdance</v>
      </c>
      <c r="B482" s="187" t="str">
        <f>IFERROR(__xludf.DUMMYFUNCTION("""COMPUTED_VALUE"""),"Matriarch")</f>
        <v>Matriarch</v>
      </c>
      <c r="C482" s="187">
        <f t="shared" si="1"/>
        <v>2</v>
      </c>
      <c r="D482" s="20" t="s">
        <v>3304</v>
      </c>
      <c r="E482" s="20">
        <v>1.0</v>
      </c>
    </row>
    <row r="483">
      <c r="A483" s="182" t="str">
        <f>IFERROR(__xludf.DUMMYFUNCTION("""COMPUTED_VALUE"""),"Efreet")</f>
        <v>Efreet</v>
      </c>
      <c r="B483" s="187" t="str">
        <f>IFERROR(__xludf.DUMMYFUNCTION("""COMPUTED_VALUE"""),"Trickster")</f>
        <v>Trickster</v>
      </c>
      <c r="C483" s="187">
        <f t="shared" si="1"/>
        <v>2</v>
      </c>
      <c r="D483" s="20" t="s">
        <v>3305</v>
      </c>
      <c r="E483" s="20">
        <v>1.0</v>
      </c>
    </row>
    <row r="484">
      <c r="A484" s="182"/>
      <c r="B484" s="187" t="str">
        <f>IFERROR(__xludf.DUMMYFUNCTION("""COMPUTED_VALUE"""),"Venomleaf")</f>
        <v>Venomleaf</v>
      </c>
      <c r="C484" s="187">
        <f t="shared" si="1"/>
        <v>1</v>
      </c>
      <c r="D484" s="20" t="s">
        <v>3306</v>
      </c>
      <c r="E484" s="20">
        <v>1.0</v>
      </c>
    </row>
    <row r="485">
      <c r="A485" s="182"/>
      <c r="B485" s="187" t="str">
        <f>IFERROR(__xludf.DUMMYFUNCTION("""COMPUTED_VALUE"""),"Croaker")</f>
        <v>Croaker</v>
      </c>
      <c r="C485" s="187">
        <f t="shared" si="1"/>
        <v>1</v>
      </c>
      <c r="D485" s="20" t="s">
        <v>3307</v>
      </c>
      <c r="E485" s="20">
        <v>1.0</v>
      </c>
    </row>
    <row r="486">
      <c r="A486" s="182"/>
      <c r="B486" s="187" t="str">
        <f>IFERROR(__xludf.DUMMYFUNCTION("""COMPUTED_VALUE"""),"Darkwood")</f>
        <v>Darkwood</v>
      </c>
      <c r="C486" s="187">
        <f t="shared" si="1"/>
        <v>1</v>
      </c>
      <c r="D486" s="20" t="s">
        <v>3308</v>
      </c>
      <c r="E486" s="20">
        <v>1.0</v>
      </c>
    </row>
    <row r="487">
      <c r="A487" s="182" t="str">
        <f>IFERROR(__xludf.DUMMYFUNCTION("""COMPUTED_VALUE"""),"Hermit")</f>
        <v>Hermit</v>
      </c>
      <c r="B487" s="187" t="str">
        <f>IFERROR(__xludf.DUMMYFUNCTION("""COMPUTED_VALUE"""),"Tracker")</f>
        <v>Tracker</v>
      </c>
      <c r="C487" s="187">
        <f t="shared" si="1"/>
        <v>1</v>
      </c>
      <c r="D487" s="20" t="s">
        <v>3309</v>
      </c>
      <c r="E487" s="20">
        <v>1.0</v>
      </c>
    </row>
    <row r="488">
      <c r="A488" s="182" t="str">
        <f>IFERROR(__xludf.DUMMYFUNCTION("""COMPUTED_VALUE"""),"of")</f>
        <v>of</v>
      </c>
      <c r="B488" s="187" t="str">
        <f>IFERROR(__xludf.DUMMYFUNCTION("""COMPUTED_VALUE"""),"Verdant")</f>
        <v>Verdant</v>
      </c>
      <c r="C488" s="187">
        <f t="shared" si="1"/>
        <v>1</v>
      </c>
      <c r="D488" s="20" t="s">
        <v>3310</v>
      </c>
      <c r="E488" s="20">
        <v>1.0</v>
      </c>
    </row>
    <row r="489">
      <c r="A489" s="182" t="str">
        <f>IFERROR(__xludf.DUMMYFUNCTION("""COMPUTED_VALUE"""),"the")</f>
        <v>the</v>
      </c>
      <c r="B489" s="187" t="str">
        <f>IFERROR(__xludf.DUMMYFUNCTION("""COMPUTED_VALUE"""),"Sakura")</f>
        <v>Sakura</v>
      </c>
      <c r="C489" s="187">
        <f t="shared" si="1"/>
        <v>1</v>
      </c>
      <c r="D489" s="20" t="s">
        <v>3311</v>
      </c>
      <c r="E489" s="20">
        <v>1.0</v>
      </c>
    </row>
    <row r="490">
      <c r="A490" s="182" t="str">
        <f>IFERROR(__xludf.DUMMYFUNCTION("""COMPUTED_VALUE"""),"Horizon")</f>
        <v>Horizon</v>
      </c>
      <c r="B490" s="187" t="str">
        <f>IFERROR(__xludf.DUMMYFUNCTION("""COMPUTED_VALUE"""),"Forgotten")</f>
        <v>Forgotten</v>
      </c>
      <c r="C490" s="187">
        <f t="shared" si="1"/>
        <v>1</v>
      </c>
      <c r="D490" s="20" t="s">
        <v>3312</v>
      </c>
      <c r="E490" s="20">
        <v>1.0</v>
      </c>
    </row>
    <row r="491">
      <c r="A491" s="182"/>
      <c r="B491" s="187" t="str">
        <f>IFERROR(__xludf.DUMMYFUNCTION("""COMPUTED_VALUE"""),"Locust")</f>
        <v>Locust</v>
      </c>
      <c r="C491" s="187">
        <f t="shared" si="1"/>
        <v>1</v>
      </c>
      <c r="D491" s="20" t="s">
        <v>3313</v>
      </c>
      <c r="E491" s="20">
        <v>1.0</v>
      </c>
    </row>
    <row r="492">
      <c r="A492" s="182" t="str">
        <f>IFERROR(__xludf.DUMMYFUNCTION("""COMPUTED_VALUE"""),"Roughlands")</f>
        <v>Roughlands</v>
      </c>
      <c r="B492" s="187" t="str">
        <f>IFERROR(__xludf.DUMMYFUNCTION("""COMPUTED_VALUE"""),"Swarm")</f>
        <v>Swarm</v>
      </c>
      <c r="C492" s="187">
        <f t="shared" si="1"/>
        <v>1</v>
      </c>
      <c r="D492" s="20" t="s">
        <v>3314</v>
      </c>
      <c r="E492" s="20">
        <v>1.0</v>
      </c>
    </row>
    <row r="493">
      <c r="A493" s="182" t="str">
        <f>IFERROR(__xludf.DUMMYFUNCTION("""COMPUTED_VALUE"""),"Scourge")</f>
        <v>Scourge</v>
      </c>
      <c r="B493" s="187" t="str">
        <f>IFERROR(__xludf.DUMMYFUNCTION("""COMPUTED_VALUE"""),"Emerald")</f>
        <v>Emerald</v>
      </c>
      <c r="C493" s="187">
        <f t="shared" si="1"/>
        <v>1</v>
      </c>
      <c r="D493" s="20" t="s">
        <v>3315</v>
      </c>
      <c r="E493" s="20">
        <v>1.0</v>
      </c>
    </row>
    <row r="494">
      <c r="A494" s="182"/>
      <c r="B494" s="187" t="str">
        <f>IFERROR(__xludf.DUMMYFUNCTION("""COMPUTED_VALUE"""),"Fang")</f>
        <v>Fang</v>
      </c>
      <c r="C494" s="187">
        <f t="shared" si="1"/>
        <v>1</v>
      </c>
      <c r="D494" s="20" t="s">
        <v>3316</v>
      </c>
      <c r="E494" s="20">
        <v>1.0</v>
      </c>
    </row>
    <row r="495">
      <c r="A495" s="182"/>
      <c r="B495" s="187" t="str">
        <f>IFERROR(__xludf.DUMMYFUNCTION("""COMPUTED_VALUE"""),"Cobra")</f>
        <v>Cobra</v>
      </c>
      <c r="C495" s="187">
        <f t="shared" si="1"/>
        <v>1</v>
      </c>
      <c r="D495" s="20" t="s">
        <v>3317</v>
      </c>
      <c r="E495" s="20">
        <v>1.0</v>
      </c>
    </row>
    <row r="496">
      <c r="A496" s="182"/>
      <c r="B496" s="187" t="str">
        <f>IFERROR(__xludf.DUMMYFUNCTION("""COMPUTED_VALUE"""),"Entwining")</f>
        <v>Entwining</v>
      </c>
      <c r="C496" s="187">
        <f t="shared" si="1"/>
        <v>1</v>
      </c>
      <c r="D496" s="20" t="s">
        <v>3318</v>
      </c>
      <c r="E496" s="20">
        <v>1.0</v>
      </c>
    </row>
    <row r="497">
      <c r="A497" s="182" t="str">
        <f>IFERROR(__xludf.DUMMYFUNCTION("""COMPUTED_VALUE"""),"Mirrorworld")</f>
        <v>Mirrorworld</v>
      </c>
      <c r="B497" s="187" t="str">
        <f>IFERROR(__xludf.DUMMYFUNCTION("""COMPUTED_VALUE"""),"Creeper")</f>
        <v>Creeper</v>
      </c>
      <c r="C497" s="187">
        <f t="shared" si="1"/>
        <v>2</v>
      </c>
      <c r="D497" s="20" t="s">
        <v>3319</v>
      </c>
      <c r="E497" s="20">
        <v>1.0</v>
      </c>
    </row>
    <row r="498">
      <c r="A498" s="182" t="str">
        <f>IFERROR(__xludf.DUMMYFUNCTION("""COMPUTED_VALUE"""),"Bloodseeker")</f>
        <v>Bloodseeker</v>
      </c>
      <c r="B498" s="187" t="str">
        <f>IFERROR(__xludf.DUMMYFUNCTION("""COMPUTED_VALUE"""),"Jeweled")</f>
        <v>Jeweled</v>
      </c>
      <c r="C498" s="187">
        <f t="shared" si="1"/>
        <v>1</v>
      </c>
      <c r="D498" s="20" t="s">
        <v>3320</v>
      </c>
      <c r="E498" s="20">
        <v>1.0</v>
      </c>
    </row>
    <row r="499">
      <c r="A499" s="182"/>
      <c r="B499" s="187" t="str">
        <f>IFERROR(__xludf.DUMMYFUNCTION("""COMPUTED_VALUE"""),"Triceratops")</f>
        <v>Triceratops</v>
      </c>
      <c r="C499" s="187">
        <f t="shared" si="1"/>
        <v>1</v>
      </c>
      <c r="D499" s="20" t="s">
        <v>3321</v>
      </c>
      <c r="E499" s="20">
        <v>1.0</v>
      </c>
    </row>
    <row r="500">
      <c r="A500" s="182"/>
      <c r="B500" s="187" t="str">
        <f>IFERROR(__xludf.DUMMYFUNCTION("""COMPUTED_VALUE"""),"Jolly")</f>
        <v>Jolly</v>
      </c>
      <c r="C500" s="187">
        <f t="shared" si="1"/>
        <v>1</v>
      </c>
      <c r="D500" s="20" t="s">
        <v>3322</v>
      </c>
      <c r="E500" s="20">
        <v>1.0</v>
      </c>
    </row>
    <row r="501">
      <c r="A501" s="182"/>
      <c r="B501" s="187" t="str">
        <f>IFERROR(__xludf.DUMMYFUNCTION("""COMPUTED_VALUE"""),"Tamarin")</f>
        <v>Tamarin</v>
      </c>
      <c r="C501" s="187">
        <f t="shared" si="1"/>
        <v>1</v>
      </c>
      <c r="D501" s="20" t="s">
        <v>3323</v>
      </c>
      <c r="E501" s="20">
        <v>1.0</v>
      </c>
    </row>
    <row r="502">
      <c r="A502" s="182" t="str">
        <f>IFERROR(__xludf.DUMMYFUNCTION("""COMPUTED_VALUE"""),"Mountain")</f>
        <v>Mountain</v>
      </c>
      <c r="B502" s="187" t="str">
        <f>IFERROR(__xludf.DUMMYFUNCTION("""COMPUTED_VALUE"""),"Leech")</f>
        <v>Leech</v>
      </c>
      <c r="C502" s="187">
        <f t="shared" si="1"/>
        <v>1</v>
      </c>
      <c r="D502" s="20" t="s">
        <v>3324</v>
      </c>
      <c r="E502" s="20">
        <v>1.0</v>
      </c>
    </row>
    <row r="503">
      <c r="A503" s="182" t="str">
        <f>IFERROR(__xludf.DUMMYFUNCTION("""COMPUTED_VALUE"""),"Sage")</f>
        <v>Sage</v>
      </c>
      <c r="B503" s="187" t="str">
        <f>IFERROR(__xludf.DUMMYFUNCTION("""COMPUTED_VALUE"""),"Dragonfly")</f>
        <v>Dragonfly</v>
      </c>
      <c r="C503" s="187">
        <f t="shared" si="1"/>
        <v>1</v>
      </c>
      <c r="D503" s="20" t="s">
        <v>3325</v>
      </c>
      <c r="E503" s="20">
        <v>1.0</v>
      </c>
    </row>
    <row r="504">
      <c r="A504" s="182"/>
      <c r="B504" s="187" t="str">
        <f>IFERROR(__xludf.DUMMYFUNCTION("""COMPUTED_VALUE"""),"Nurseplant")</f>
        <v>Nurseplant</v>
      </c>
      <c r="C504" s="187">
        <f t="shared" si="1"/>
        <v>1</v>
      </c>
      <c r="D504" s="20" t="s">
        <v>3326</v>
      </c>
      <c r="E504" s="20">
        <v>1.0</v>
      </c>
    </row>
    <row r="505">
      <c r="A505" s="182"/>
      <c r="B505" s="187" t="str">
        <f>IFERROR(__xludf.DUMMYFUNCTION("""COMPUTED_VALUE"""),"Bloodthrone")</f>
        <v>Bloodthrone</v>
      </c>
      <c r="C505" s="187">
        <f t="shared" si="1"/>
        <v>3</v>
      </c>
      <c r="D505" s="20" t="s">
        <v>3327</v>
      </c>
      <c r="E505" s="20">
        <v>1.0</v>
      </c>
    </row>
    <row r="506">
      <c r="A506" s="182"/>
      <c r="B506" s="187" t="str">
        <f>IFERROR(__xludf.DUMMYFUNCTION("""COMPUTED_VALUE"""),"Nurturing")</f>
        <v>Nurturing</v>
      </c>
      <c r="C506" s="187">
        <f t="shared" si="1"/>
        <v>1</v>
      </c>
      <c r="D506" s="20" t="s">
        <v>3328</v>
      </c>
      <c r="E506" s="20">
        <v>1.0</v>
      </c>
    </row>
    <row r="507">
      <c r="A507" s="182" t="str">
        <f>IFERROR(__xludf.DUMMYFUNCTION("""COMPUTED_VALUE"""),"Nimbus")</f>
        <v>Nimbus</v>
      </c>
      <c r="B507" s="187" t="str">
        <f>IFERROR(__xludf.DUMMYFUNCTION("""COMPUTED_VALUE"""),"Rootsaurus")</f>
        <v>Rootsaurus</v>
      </c>
      <c r="C507" s="187">
        <f t="shared" si="1"/>
        <v>1</v>
      </c>
      <c r="D507" s="20" t="s">
        <v>3329</v>
      </c>
      <c r="E507" s="20">
        <v>1.0</v>
      </c>
    </row>
    <row r="508">
      <c r="A508" s="182" t="str">
        <f>IFERROR(__xludf.DUMMYFUNCTION("""COMPUTED_VALUE"""),"Claw")</f>
        <v>Claw</v>
      </c>
      <c r="B508" s="187" t="str">
        <f>IFERROR(__xludf.DUMMYFUNCTION("""COMPUTED_VALUE"""),"Carnage")</f>
        <v>Carnage</v>
      </c>
      <c r="C508" s="187">
        <f t="shared" si="1"/>
        <v>1</v>
      </c>
      <c r="D508" s="20" t="s">
        <v>3330</v>
      </c>
      <c r="E508" s="20">
        <v>1.0</v>
      </c>
    </row>
    <row r="509">
      <c r="A509" s="182"/>
      <c r="B509" s="187" t="str">
        <f>IFERROR(__xludf.DUMMYFUNCTION("""COMPUTED_VALUE"""),"Hornet")</f>
        <v>Hornet</v>
      </c>
      <c r="C509" s="187">
        <f t="shared" si="1"/>
        <v>1</v>
      </c>
      <c r="D509" s="20" t="s">
        <v>3331</v>
      </c>
      <c r="E509" s="20">
        <v>1.0</v>
      </c>
    </row>
    <row r="510">
      <c r="A510" s="182"/>
      <c r="B510" s="187" t="str">
        <f>IFERROR(__xludf.DUMMYFUNCTION("""COMPUTED_VALUE"""),"Champion")</f>
        <v>Champion</v>
      </c>
      <c r="C510" s="187">
        <f t="shared" si="1"/>
        <v>1</v>
      </c>
      <c r="D510" s="20" t="s">
        <v>3332</v>
      </c>
      <c r="E510" s="20">
        <v>1.0</v>
      </c>
    </row>
    <row r="511">
      <c r="A511" s="182"/>
      <c r="B511" s="187" t="str">
        <f>IFERROR(__xludf.DUMMYFUNCTION("""COMPUTED_VALUE"""),"Hell")</f>
        <v>Hell</v>
      </c>
      <c r="C511" s="187">
        <f t="shared" si="1"/>
        <v>1</v>
      </c>
      <c r="D511" s="20" t="s">
        <v>3333</v>
      </c>
      <c r="E511" s="20">
        <v>1.0</v>
      </c>
    </row>
    <row r="512">
      <c r="A512" s="182" t="str">
        <f>IFERROR(__xludf.DUMMYFUNCTION("""COMPUTED_VALUE"""),"Omen")</f>
        <v>Omen</v>
      </c>
      <c r="B512" s="187" t="str">
        <f>IFERROR(__xludf.DUMMYFUNCTION("""COMPUTED_VALUE"""),"Colorgorger")</f>
        <v>Colorgorger</v>
      </c>
      <c r="C512" s="187">
        <f t="shared" si="1"/>
        <v>1</v>
      </c>
      <c r="D512" s="20" t="s">
        <v>3334</v>
      </c>
      <c r="E512" s="20">
        <v>1.0</v>
      </c>
    </row>
    <row r="513">
      <c r="A513" s="182" t="str">
        <f>IFERROR(__xludf.DUMMYFUNCTION("""COMPUTED_VALUE"""),"Firefly")</f>
        <v>Firefly</v>
      </c>
      <c r="B513" s="187" t="str">
        <f>IFERROR(__xludf.DUMMYFUNCTION("""COMPUTED_VALUE"""),"Dark")</f>
        <v>Dark</v>
      </c>
      <c r="C513" s="187">
        <f t="shared" si="1"/>
        <v>1</v>
      </c>
      <c r="D513" s="20" t="s">
        <v>3335</v>
      </c>
      <c r="E513" s="20">
        <v>1.0</v>
      </c>
    </row>
    <row r="514">
      <c r="A514" s="182"/>
      <c r="B514" s="187" t="str">
        <f>IFERROR(__xludf.DUMMYFUNCTION("""COMPUTED_VALUE"""),"Spoon")</f>
        <v>Spoon</v>
      </c>
      <c r="C514" s="187">
        <f t="shared" si="1"/>
        <v>1</v>
      </c>
      <c r="D514" s="20" t="s">
        <v>3336</v>
      </c>
      <c r="E514" s="20">
        <v>1.0</v>
      </c>
    </row>
    <row r="515">
      <c r="A515" s="182"/>
      <c r="B515" s="187" t="str">
        <f>IFERROR(__xludf.DUMMYFUNCTION("""COMPUTED_VALUE"""),"Dawnbreak")</f>
        <v>Dawnbreak</v>
      </c>
      <c r="C515" s="187">
        <f t="shared" si="1"/>
        <v>1</v>
      </c>
      <c r="D515" s="20" t="s">
        <v>3337</v>
      </c>
      <c r="E515" s="20">
        <v>1.0</v>
      </c>
    </row>
    <row r="516">
      <c r="A516" s="182"/>
      <c r="B516" s="187" t="str">
        <f>IFERROR(__xludf.DUMMYFUNCTION("""COMPUTED_VALUE"""),"Wendigo")</f>
        <v>Wendigo</v>
      </c>
      <c r="C516" s="187">
        <f t="shared" si="1"/>
        <v>1</v>
      </c>
      <c r="D516" s="20" t="s">
        <v>3338</v>
      </c>
      <c r="E516" s="20">
        <v>1.0</v>
      </c>
    </row>
    <row r="517">
      <c r="A517" s="182" t="str">
        <f>IFERROR(__xludf.DUMMYFUNCTION("""COMPUTED_VALUE"""),"Pixie")</f>
        <v>Pixie</v>
      </c>
      <c r="B517" s="187" t="str">
        <f>IFERROR(__xludf.DUMMYFUNCTION("""COMPUTED_VALUE"""),"Depthdragger")</f>
        <v>Depthdragger</v>
      </c>
      <c r="C517" s="187">
        <f t="shared" si="1"/>
        <v>1</v>
      </c>
      <c r="D517" s="20" t="s">
        <v>3339</v>
      </c>
      <c r="E517" s="20">
        <v>1.0</v>
      </c>
    </row>
    <row r="518">
      <c r="A518" s="182" t="str">
        <f>IFERROR(__xludf.DUMMYFUNCTION("""COMPUTED_VALUE"""),"Summoner")</f>
        <v>Summoner</v>
      </c>
      <c r="B518" s="187" t="str">
        <f>IFERROR(__xludf.DUMMYFUNCTION("""COMPUTED_VALUE"""),"Discarded")</f>
        <v>Discarded</v>
      </c>
      <c r="C518" s="187">
        <f t="shared" si="1"/>
        <v>1</v>
      </c>
      <c r="D518" s="20" t="s">
        <v>3340</v>
      </c>
      <c r="E518" s="20">
        <v>1.0</v>
      </c>
    </row>
    <row r="519">
      <c r="A519" s="182"/>
      <c r="B519" s="187" t="str">
        <f>IFERROR(__xludf.DUMMYFUNCTION("""COMPUTED_VALUE"""),"Abomination")</f>
        <v>Abomination</v>
      </c>
      <c r="C519" s="187">
        <f t="shared" si="1"/>
        <v>2</v>
      </c>
      <c r="D519" s="20" t="s">
        <v>3341</v>
      </c>
      <c r="E519" s="20">
        <v>1.0</v>
      </c>
    </row>
    <row r="520">
      <c r="A520" s="182"/>
      <c r="B520" s="187" t="str">
        <f>IFERROR(__xludf.DUMMYFUNCTION("""COMPUTED_VALUE"""),"Doomgaze")</f>
        <v>Doomgaze</v>
      </c>
      <c r="C520" s="187">
        <f t="shared" si="1"/>
        <v>1</v>
      </c>
      <c r="D520" s="20" t="s">
        <v>3342</v>
      </c>
      <c r="E520" s="20">
        <v>1.0</v>
      </c>
    </row>
    <row r="521">
      <c r="A521" s="182"/>
      <c r="B521" s="187" t="str">
        <f>IFERROR(__xludf.DUMMYFUNCTION("""COMPUTED_VALUE"""),"Dread")</f>
        <v>Dread</v>
      </c>
      <c r="C521" s="187">
        <f t="shared" si="1"/>
        <v>2</v>
      </c>
      <c r="D521" s="20" t="s">
        <v>3343</v>
      </c>
      <c r="E521" s="20">
        <v>1.0</v>
      </c>
    </row>
    <row r="522">
      <c r="A522" s="182" t="str">
        <f>IFERROR(__xludf.DUMMYFUNCTION("""COMPUTED_VALUE"""),"Pyretic")</f>
        <v>Pyretic</v>
      </c>
      <c r="B522" s="187" t="str">
        <f>IFERROR(__xludf.DUMMYFUNCTION("""COMPUTED_VALUE"""),"Cryptlord")</f>
        <v>Cryptlord</v>
      </c>
      <c r="C522" s="187">
        <f t="shared" si="1"/>
        <v>1</v>
      </c>
      <c r="D522" s="20" t="s">
        <v>1924</v>
      </c>
      <c r="E522" s="20">
        <v>1.0</v>
      </c>
    </row>
    <row r="523">
      <c r="A523" s="182" t="str">
        <f>IFERROR(__xludf.DUMMYFUNCTION("""COMPUTED_VALUE"""),"Pet")</f>
        <v>Pet</v>
      </c>
      <c r="B523" s="187" t="str">
        <f>IFERROR(__xludf.DUMMYFUNCTION("""COMPUTED_VALUE"""),"Nutrient")</f>
        <v>Nutrient</v>
      </c>
      <c r="C523" s="187">
        <f t="shared" si="1"/>
        <v>1</v>
      </c>
      <c r="D523" s="20" t="s">
        <v>3344</v>
      </c>
      <c r="E523" s="20">
        <v>1.0</v>
      </c>
    </row>
    <row r="524">
      <c r="A524" s="182"/>
      <c r="B524" s="187" t="str">
        <f>IFERROR(__xludf.DUMMYFUNCTION("""COMPUTED_VALUE"""),"Nexus")</f>
        <v>Nexus</v>
      </c>
      <c r="C524" s="187">
        <f t="shared" si="1"/>
        <v>2</v>
      </c>
      <c r="D524" s="20" t="s">
        <v>3345</v>
      </c>
      <c r="E524" s="20">
        <v>1.0</v>
      </c>
    </row>
    <row r="525">
      <c r="A525" s="182"/>
      <c r="B525" s="187" t="str">
        <f>IFERROR(__xludf.DUMMYFUNCTION("""COMPUTED_VALUE"""),"Fatepeek")</f>
        <v>Fatepeek</v>
      </c>
      <c r="C525" s="187">
        <f t="shared" si="1"/>
        <v>1</v>
      </c>
      <c r="D525" s="20" t="s">
        <v>3346</v>
      </c>
      <c r="E525" s="20">
        <v>1.0</v>
      </c>
    </row>
    <row r="526">
      <c r="A526" s="182"/>
      <c r="B526" s="187" t="str">
        <f>IFERROR(__xludf.DUMMYFUNCTION("""COMPUTED_VALUE"""),"Imp")</f>
        <v>Imp</v>
      </c>
      <c r="C526" s="187">
        <f t="shared" si="1"/>
        <v>2</v>
      </c>
      <c r="D526" s="20" t="s">
        <v>3347</v>
      </c>
      <c r="E526" s="20">
        <v>1.0</v>
      </c>
    </row>
    <row r="527">
      <c r="A527" s="182" t="str">
        <f>IFERROR(__xludf.DUMMYFUNCTION("""COMPUTED_VALUE"""),"Shifting")</f>
        <v>Shifting</v>
      </c>
      <c r="B527" s="187" t="str">
        <f>IFERROR(__xludf.DUMMYFUNCTION("""COMPUTED_VALUE"""),"Eyed")</f>
        <v>Eyed</v>
      </c>
      <c r="C527" s="187">
        <f t="shared" si="1"/>
        <v>1</v>
      </c>
      <c r="D527" s="20" t="s">
        <v>3348</v>
      </c>
      <c r="E527" s="20">
        <v>1.0</v>
      </c>
    </row>
    <row r="528">
      <c r="A528" s="182" t="str">
        <f>IFERROR(__xludf.DUMMYFUNCTION("""COMPUTED_VALUE"""),"Sands")</f>
        <v>Sands</v>
      </c>
      <c r="B528" s="187" t="str">
        <f>IFERROR(__xludf.DUMMYFUNCTION("""COMPUTED_VALUE"""),"Plunderpillar")</f>
        <v>Plunderpillar</v>
      </c>
      <c r="C528" s="187">
        <f t="shared" si="1"/>
        <v>1</v>
      </c>
      <c r="D528" s="20" t="s">
        <v>3349</v>
      </c>
      <c r="E528" s="20">
        <v>1.0</v>
      </c>
    </row>
    <row r="529">
      <c r="A529" s="182"/>
      <c r="B529" s="187" t="str">
        <f>IFERROR(__xludf.DUMMYFUNCTION("""COMPUTED_VALUE"""),"Raptor")</f>
        <v>Raptor</v>
      </c>
      <c r="C529" s="187">
        <f t="shared" si="1"/>
        <v>1</v>
      </c>
      <c r="D529" s="20" t="s">
        <v>1958</v>
      </c>
      <c r="E529" s="20">
        <v>1.0</v>
      </c>
    </row>
    <row r="530">
      <c r="A530" s="182"/>
      <c r="B530" s="187" t="str">
        <f>IFERROR(__xludf.DUMMYFUNCTION("""COMPUTED_VALUE"""),"Pack")</f>
        <v>Pack</v>
      </c>
      <c r="C530" s="187">
        <f t="shared" si="1"/>
        <v>1</v>
      </c>
      <c r="D530" s="20" t="s">
        <v>3350</v>
      </c>
      <c r="E530" s="20">
        <v>1.0</v>
      </c>
    </row>
    <row r="531">
      <c r="A531" s="182"/>
      <c r="B531" s="187" t="str">
        <f>IFERROR(__xludf.DUMMYFUNCTION("""COMPUTED_VALUE"""),"Saurian")</f>
        <v>Saurian</v>
      </c>
      <c r="C531" s="187">
        <f t="shared" si="1"/>
        <v>1</v>
      </c>
      <c r="D531" s="20" t="s">
        <v>3351</v>
      </c>
      <c r="E531" s="20">
        <v>1.0</v>
      </c>
    </row>
    <row r="532">
      <c r="A532" s="182" t="str">
        <f>IFERROR(__xludf.DUMMYFUNCTION("""COMPUTED_VALUE"""),"Torii")</f>
        <v>Torii</v>
      </c>
      <c r="B532" s="187" t="str">
        <f>IFERROR(__xludf.DUMMYFUNCTION("""COMPUTED_VALUE"""),"Wraith")</f>
        <v>Wraith</v>
      </c>
      <c r="C532" s="187">
        <f t="shared" si="1"/>
        <v>1</v>
      </c>
      <c r="D532" s="20" t="s">
        <v>3352</v>
      </c>
      <c r="E532" s="20">
        <v>1.0</v>
      </c>
    </row>
    <row r="533">
      <c r="A533" s="182" t="str">
        <f>IFERROR(__xludf.DUMMYFUNCTION("""COMPUTED_VALUE"""),"Spirit")</f>
        <v>Spirit</v>
      </c>
      <c r="B533" s="187" t="str">
        <f>IFERROR(__xludf.DUMMYFUNCTION("""COMPUTED_VALUE"""),"Gravebound")</f>
        <v>Gravebound</v>
      </c>
      <c r="C533" s="187">
        <f t="shared" si="1"/>
        <v>1</v>
      </c>
      <c r="D533" s="20" t="s">
        <v>3353</v>
      </c>
      <c r="E533" s="20">
        <v>1.0</v>
      </c>
    </row>
    <row r="534">
      <c r="A534" s="182"/>
      <c r="B534" s="187" t="str">
        <f>IFERROR(__xludf.DUMMYFUNCTION("""COMPUTED_VALUE"""),"Ghoul")</f>
        <v>Ghoul</v>
      </c>
      <c r="C534" s="187">
        <f t="shared" si="1"/>
        <v>1</v>
      </c>
      <c r="D534" s="20" t="s">
        <v>1970</v>
      </c>
      <c r="E534" s="20">
        <v>1.0</v>
      </c>
    </row>
    <row r="535">
      <c r="A535" s="182"/>
      <c r="B535" s="187" t="str">
        <f>IFERROR(__xludf.DUMMYFUNCTION("""COMPUTED_VALUE"""),"Graverobber")</f>
        <v>Graverobber</v>
      </c>
      <c r="C535" s="187">
        <f t="shared" si="1"/>
        <v>1</v>
      </c>
      <c r="D535" s="20" t="s">
        <v>3354</v>
      </c>
      <c r="E535" s="20">
        <v>1.0</v>
      </c>
    </row>
    <row r="536">
      <c r="A536" s="182"/>
      <c r="B536" s="187" t="str">
        <f>IFERROR(__xludf.DUMMYFUNCTION("""COMPUTED_VALUE"""),"Greedspawn")</f>
        <v>Greedspawn</v>
      </c>
      <c r="C536" s="187">
        <f t="shared" si="1"/>
        <v>1</v>
      </c>
      <c r="D536" s="20" t="s">
        <v>3355</v>
      </c>
      <c r="E536" s="20">
        <v>1.0</v>
      </c>
    </row>
    <row r="537">
      <c r="A537" s="182" t="str">
        <f>IFERROR(__xludf.DUMMYFUNCTION("""COMPUTED_VALUE"""),"Red")</f>
        <v>Red</v>
      </c>
      <c r="B537" s="187" t="str">
        <f>IFERROR(__xludf.DUMMYFUNCTION("""COMPUTED_VALUE"""),"Grim")</f>
        <v>Grim</v>
      </c>
      <c r="C537" s="187">
        <f t="shared" si="1"/>
        <v>1</v>
      </c>
      <c r="D537" s="20" t="s">
        <v>3356</v>
      </c>
      <c r="E537" s="20">
        <v>1.0</v>
      </c>
    </row>
    <row r="538">
      <c r="A538" s="182" t="str">
        <f>IFERROR(__xludf.DUMMYFUNCTION("""COMPUTED_VALUE"""),"Crusader")</f>
        <v>Crusader</v>
      </c>
      <c r="B538" s="187" t="str">
        <f>IFERROR(__xludf.DUMMYFUNCTION("""COMPUTED_VALUE"""),"Shadowpounce")</f>
        <v>Shadowpounce</v>
      </c>
      <c r="C538" s="187">
        <f t="shared" si="1"/>
        <v>1</v>
      </c>
      <c r="D538" s="20" t="s">
        <v>3357</v>
      </c>
      <c r="E538" s="20">
        <v>1.0</v>
      </c>
    </row>
    <row r="539">
      <c r="A539" s="182"/>
      <c r="B539" s="187" t="str">
        <f>IFERROR(__xludf.DUMMYFUNCTION("""COMPUTED_VALUE"""),"Panther")</f>
        <v>Panther</v>
      </c>
      <c r="C539" s="187">
        <f t="shared" si="1"/>
        <v>1</v>
      </c>
      <c r="D539" s="20" t="s">
        <v>3358</v>
      </c>
      <c r="E539" s="20">
        <v>1.0</v>
      </c>
    </row>
    <row r="540">
      <c r="A540" s="182"/>
      <c r="B540" s="187" t="str">
        <f>IFERROR(__xludf.DUMMYFUNCTION("""COMPUTED_VALUE"""),"Shardtooth")</f>
        <v>Shardtooth</v>
      </c>
      <c r="C540" s="187">
        <f t="shared" si="1"/>
        <v>1</v>
      </c>
      <c r="D540" s="20" t="s">
        <v>3359</v>
      </c>
      <c r="E540" s="20">
        <v>1.0</v>
      </c>
    </row>
    <row r="541">
      <c r="A541" s="182"/>
      <c r="B541" s="187" t="str">
        <f>IFERROR(__xludf.DUMMYFUNCTION("""COMPUTED_VALUE"""),"Hungry")</f>
        <v>Hungry</v>
      </c>
      <c r="C541" s="187">
        <f t="shared" si="1"/>
        <v>1</v>
      </c>
      <c r="D541" s="20" t="s">
        <v>2001</v>
      </c>
      <c r="E541" s="20">
        <v>1.0</v>
      </c>
    </row>
    <row r="542">
      <c r="A542" s="182" t="str">
        <f>IFERROR(__xludf.DUMMYFUNCTION("""COMPUTED_VALUE"""),"Windkite")</f>
        <v>Windkite</v>
      </c>
      <c r="B542" s="187" t="str">
        <f>IFERROR(__xludf.DUMMYFUNCTION("""COMPUTED_VALUE"""),"Shambler")</f>
        <v>Shambler</v>
      </c>
      <c r="C542" s="187">
        <f t="shared" si="1"/>
        <v>1</v>
      </c>
      <c r="D542" s="20" t="s">
        <v>3360</v>
      </c>
      <c r="E542" s="20">
        <v>1.0</v>
      </c>
    </row>
    <row r="543">
      <c r="A543" s="182" t="str">
        <f>IFERROR(__xludf.DUMMYFUNCTION("""COMPUTED_VALUE"""),"Acolyte")</f>
        <v>Acolyte</v>
      </c>
      <c r="B543" s="187" t="str">
        <f>IFERROR(__xludf.DUMMYFUNCTION("""COMPUTED_VALUE"""),"Sunflower")</f>
        <v>Sunflower</v>
      </c>
      <c r="C543" s="187">
        <f t="shared" si="1"/>
        <v>1</v>
      </c>
      <c r="D543" s="20" t="s">
        <v>3361</v>
      </c>
      <c r="E543" s="20">
        <v>1.0</v>
      </c>
    </row>
    <row r="544">
      <c r="A544" s="182"/>
      <c r="B544" s="187" t="str">
        <f>IFERROR(__xludf.DUMMYFUNCTION("""COMPUTED_VALUE"""),"Tiger")</f>
        <v>Tiger</v>
      </c>
      <c r="C544" s="187">
        <f t="shared" si="1"/>
        <v>1</v>
      </c>
      <c r="D544" s="20" t="s">
        <v>3362</v>
      </c>
      <c r="E544" s="20">
        <v>1.0</v>
      </c>
    </row>
    <row r="545">
      <c r="A545" s="182"/>
      <c r="B545" s="187" t="str">
        <f>IFERROR(__xludf.DUMMYFUNCTION("""COMPUTED_VALUE"""),"Meekbone")</f>
        <v>Meekbone</v>
      </c>
      <c r="C545" s="187">
        <f t="shared" si="1"/>
        <v>1</v>
      </c>
      <c r="D545" s="20" t="s">
        <v>3363</v>
      </c>
      <c r="E545" s="20">
        <v>1.0</v>
      </c>
    </row>
    <row r="546">
      <c r="A546" s="182"/>
      <c r="B546" s="187" t="str">
        <f>IFERROR(__xludf.DUMMYFUNCTION("""COMPUTED_VALUE"""),"Soldier")</f>
        <v>Soldier</v>
      </c>
      <c r="C546" s="187">
        <f t="shared" si="1"/>
        <v>1</v>
      </c>
      <c r="D546" s="20" t="s">
        <v>3364</v>
      </c>
      <c r="E546" s="20">
        <v>1.0</v>
      </c>
    </row>
    <row r="547">
      <c r="A547" s="182" t="str">
        <f>IFERROR(__xludf.DUMMYFUNCTION("""COMPUTED_VALUE"""),"Blood")</f>
        <v>Blood</v>
      </c>
      <c r="B547" s="187" t="str">
        <f>IFERROR(__xludf.DUMMYFUNCTION("""COMPUTED_VALUE"""),"Monarch")</f>
        <v>Monarch</v>
      </c>
      <c r="C547" s="187">
        <f t="shared" si="1"/>
        <v>1</v>
      </c>
      <c r="D547" s="20" t="s">
        <v>3365</v>
      </c>
      <c r="E547" s="20">
        <v>1.0</v>
      </c>
    </row>
    <row r="548">
      <c r="A548" s="182" t="str">
        <f>IFERROR(__xludf.DUMMYFUNCTION("""COMPUTED_VALUE"""),"Moon")</f>
        <v>Moon</v>
      </c>
      <c r="B548" s="187" t="str">
        <f>IFERROR(__xludf.DUMMYFUNCTION("""COMPUTED_VALUE"""),"Shadows")</f>
        <v>Shadows</v>
      </c>
      <c r="C548" s="187">
        <f t="shared" si="1"/>
        <v>1</v>
      </c>
      <c r="D548" s="20" t="s">
        <v>2027</v>
      </c>
      <c r="E548" s="20">
        <v>1.0</v>
      </c>
    </row>
    <row r="549">
      <c r="A549" s="182" t="str">
        <f>IFERROR(__xludf.DUMMYFUNCTION("""COMPUTED_VALUE"""),"Scarab")</f>
        <v>Scarab</v>
      </c>
      <c r="B549" s="187" t="str">
        <f>IFERROR(__xludf.DUMMYFUNCTION("""COMPUTED_VALUE"""),"Venus")</f>
        <v>Venus</v>
      </c>
      <c r="C549" s="187">
        <f t="shared" si="1"/>
        <v>1</v>
      </c>
      <c r="D549" s="20" t="s">
        <v>2031</v>
      </c>
      <c r="E549" s="20">
        <v>1.0</v>
      </c>
    </row>
    <row r="550">
      <c r="A550" s="182"/>
      <c r="B550" s="187" t="str">
        <f>IFERROR(__xludf.DUMMYFUNCTION("""COMPUTED_VALUE"""),"Flytrap")</f>
        <v>Flytrap</v>
      </c>
      <c r="C550" s="187">
        <f t="shared" si="1"/>
        <v>1</v>
      </c>
      <c r="D550" s="20" t="s">
        <v>3366</v>
      </c>
      <c r="E550" s="20">
        <v>1.0</v>
      </c>
    </row>
    <row r="551">
      <c r="A551" s="182"/>
      <c r="B551" s="187" t="str">
        <f>IFERROR(__xludf.DUMMYFUNCTION("""COMPUTED_VALUE"""),"Arcane")</f>
        <v>Arcane</v>
      </c>
      <c r="C551" s="187">
        <f t="shared" si="1"/>
        <v>1</v>
      </c>
      <c r="D551" s="20" t="s">
        <v>3367</v>
      </c>
      <c r="E551" s="20">
        <v>1.0</v>
      </c>
    </row>
    <row r="552">
      <c r="A552" s="182" t="str">
        <f>IFERROR(__xludf.DUMMYFUNCTION("""COMPUTED_VALUE"""),"Sand")</f>
        <v>Sand</v>
      </c>
      <c r="B552" s="187" t="str">
        <f>IFERROR(__xludf.DUMMYFUNCTION("""COMPUTED_VALUE"""),"Gorgosaur")</f>
        <v>Gorgosaur</v>
      </c>
      <c r="C552" s="187">
        <f t="shared" si="1"/>
        <v>1</v>
      </c>
      <c r="D552" s="20" t="s">
        <v>3368</v>
      </c>
      <c r="E552" s="20">
        <v>1.0</v>
      </c>
    </row>
    <row r="553">
      <c r="A553" s="182" t="str">
        <f>IFERROR(__xludf.DUMMYFUNCTION("""COMPUTED_VALUE"""),"Witch")</f>
        <v>Witch</v>
      </c>
      <c r="B553" s="187" t="str">
        <f>IFERROR(__xludf.DUMMYFUNCTION("""COMPUTED_VALUE"""),"Bloodclaw")</f>
        <v>Bloodclaw</v>
      </c>
      <c r="C553" s="187">
        <f t="shared" si="1"/>
        <v>1</v>
      </c>
      <c r="D553" s="20" t="s">
        <v>2044</v>
      </c>
      <c r="E553" s="20">
        <v>1.0</v>
      </c>
    </row>
    <row r="554">
      <c r="A554" s="182"/>
      <c r="B554" s="187" t="str">
        <f>IFERROR(__xludf.DUMMYFUNCTION("""COMPUTED_VALUE"""),"Duke")</f>
        <v>Duke</v>
      </c>
      <c r="C554" s="187">
        <f t="shared" si="1"/>
        <v>1</v>
      </c>
      <c r="D554" s="20" t="s">
        <v>3369</v>
      </c>
      <c r="E554" s="20">
        <v>1.0</v>
      </c>
    </row>
    <row r="555">
      <c r="A555" s="182"/>
      <c r="B555" s="187" t="str">
        <f>IFERROR(__xludf.DUMMYFUNCTION("""COMPUTED_VALUE"""),"Grove")</f>
        <v>Grove</v>
      </c>
      <c r="C555" s="187">
        <f t="shared" si="1"/>
        <v>2</v>
      </c>
      <c r="D555" s="20" t="s">
        <v>3370</v>
      </c>
      <c r="E555" s="20">
        <v>1.0</v>
      </c>
    </row>
    <row r="556">
      <c r="A556" s="182"/>
      <c r="B556" s="187" t="str">
        <f>IFERROR(__xludf.DUMMYFUNCTION("""COMPUTED_VALUE"""),"Omenshadow")</f>
        <v>Omenshadow</v>
      </c>
      <c r="C556" s="187">
        <f t="shared" si="1"/>
        <v>1</v>
      </c>
      <c r="D556" s="20" t="s">
        <v>3371</v>
      </c>
      <c r="E556" s="20">
        <v>1.0</v>
      </c>
    </row>
    <row r="557">
      <c r="A557" s="182" t="str">
        <f>IFERROR(__xludf.DUMMYFUNCTION("""COMPUTED_VALUE"""),"Shardhorde")</f>
        <v>Shardhorde</v>
      </c>
      <c r="B557" s="187" t="str">
        <f>IFERROR(__xludf.DUMMYFUNCTION("""COMPUTED_VALUE"""),"Mantis")</f>
        <v>Mantis</v>
      </c>
      <c r="C557" s="187">
        <f t="shared" si="1"/>
        <v>1</v>
      </c>
      <c r="D557" s="20" t="s">
        <v>3372</v>
      </c>
      <c r="E557" s="20">
        <v>1.0</v>
      </c>
    </row>
    <row r="558">
      <c r="A558" s="182" t="str">
        <f>IFERROR(__xludf.DUMMYFUNCTION("""COMPUTED_VALUE"""),"Galewhelp")</f>
        <v>Galewhelp</v>
      </c>
      <c r="B558" s="187" t="str">
        <f>IFERROR(__xludf.DUMMYFUNCTION("""COMPUTED_VALUE"""),"Queen")</f>
        <v>Queen</v>
      </c>
      <c r="C558" s="187">
        <f t="shared" si="1"/>
        <v>2</v>
      </c>
      <c r="D558" s="20" t="s">
        <v>3373</v>
      </c>
      <c r="E558" s="20">
        <v>1.0</v>
      </c>
    </row>
    <row r="559">
      <c r="A559" s="182"/>
      <c r="B559" s="187" t="str">
        <f>IFERROR(__xludf.DUMMYFUNCTION("""COMPUTED_VALUE"""),"Purple")</f>
        <v>Purple</v>
      </c>
      <c r="C559" s="187">
        <f t="shared" si="1"/>
        <v>2</v>
      </c>
      <c r="D559" s="20" t="s">
        <v>3374</v>
      </c>
      <c r="E559" s="20">
        <v>1.0</v>
      </c>
    </row>
    <row r="560">
      <c r="A560" s="182"/>
      <c r="B560" s="187" t="str">
        <f>IFERROR(__xludf.DUMMYFUNCTION("""COMPUTED_VALUE"""),"Reborn")</f>
        <v>Reborn</v>
      </c>
      <c r="C560" s="187">
        <f t="shared" si="1"/>
        <v>1</v>
      </c>
      <c r="D560" s="20" t="s">
        <v>3375</v>
      </c>
      <c r="E560" s="20">
        <v>1.0</v>
      </c>
    </row>
    <row r="561">
      <c r="A561" s="182"/>
      <c r="B561" s="187" t="str">
        <f>IFERROR(__xludf.DUMMYFUNCTION("""COMPUTED_VALUE"""),"Stargazer")</f>
        <v>Stargazer</v>
      </c>
      <c r="C561" s="187">
        <f t="shared" si="1"/>
        <v>1</v>
      </c>
      <c r="D561" s="20" t="s">
        <v>3376</v>
      </c>
      <c r="E561" s="20">
        <v>1.0</v>
      </c>
    </row>
    <row r="562">
      <c r="A562" s="182" t="str">
        <f>IFERROR(__xludf.DUMMYFUNCTION("""COMPUTED_VALUE"""),"Amberlock")</f>
        <v>Amberlock</v>
      </c>
      <c r="B562" s="187" t="str">
        <f>IFERROR(__xludf.DUMMYFUNCTION("""COMPUTED_VALUE"""),"Relentless")</f>
        <v>Relentless</v>
      </c>
      <c r="C562" s="187">
        <f t="shared" si="1"/>
        <v>1</v>
      </c>
      <c r="D562" s="20" t="s">
        <v>3377</v>
      </c>
      <c r="E562" s="20">
        <v>1.0</v>
      </c>
    </row>
    <row r="563">
      <c r="A563" s="182" t="str">
        <f>IFERROR(__xludf.DUMMYFUNCTION("""COMPUTED_VALUE"""),"Dragonling")</f>
        <v>Dragonling</v>
      </c>
      <c r="B563" s="187" t="str">
        <f>IFERROR(__xludf.DUMMYFUNCTION("""COMPUTED_VALUE"""),"Runic")</f>
        <v>Runic</v>
      </c>
      <c r="C563" s="187">
        <f t="shared" si="1"/>
        <v>1</v>
      </c>
      <c r="D563" s="20" t="s">
        <v>3378</v>
      </c>
      <c r="E563" s="20">
        <v>1.0</v>
      </c>
    </row>
    <row r="564">
      <c r="A564" s="182"/>
      <c r="B564" s="187" t="str">
        <f>IFERROR(__xludf.DUMMYFUNCTION("""COMPUTED_VALUE"""),"Arachnid")</f>
        <v>Arachnid</v>
      </c>
      <c r="C564" s="187">
        <f t="shared" si="1"/>
        <v>1</v>
      </c>
      <c r="D564" s="20" t="s">
        <v>3379</v>
      </c>
      <c r="E564" s="20">
        <v>1.0</v>
      </c>
    </row>
    <row r="565">
      <c r="A565" s="182"/>
      <c r="B565" s="187" t="str">
        <f>IFERROR(__xludf.DUMMYFUNCTION("""COMPUTED_VALUE"""),"Teapot")</f>
        <v>Teapot</v>
      </c>
      <c r="C565" s="187">
        <f t="shared" si="1"/>
        <v>1</v>
      </c>
      <c r="D565" s="20" t="s">
        <v>3380</v>
      </c>
      <c r="E565" s="20">
        <v>1.0</v>
      </c>
    </row>
    <row r="566">
      <c r="A566" s="182"/>
      <c r="B566" s="187" t="str">
        <f>IFERROR(__xludf.DUMMYFUNCTION("""COMPUTED_VALUE"""),"Sun")</f>
        <v>Sun</v>
      </c>
      <c r="C566" s="187">
        <f t="shared" si="1"/>
        <v>1</v>
      </c>
      <c r="D566" s="20" t="s">
        <v>2100</v>
      </c>
      <c r="E566" s="20">
        <v>1.0</v>
      </c>
    </row>
    <row r="567">
      <c r="A567" s="182" t="str">
        <f>IFERROR(__xludf.DUMMYFUNCTION("""COMPUTED_VALUE"""),"Dragonfire")</f>
        <v>Dragonfire</v>
      </c>
      <c r="B567" s="187" t="str">
        <f>IFERROR(__xludf.DUMMYFUNCTION("""COMPUTED_VALUE"""),"Saurus")</f>
        <v>Saurus</v>
      </c>
      <c r="C567" s="187">
        <f t="shared" si="1"/>
        <v>1</v>
      </c>
      <c r="D567" s="20" t="s">
        <v>3381</v>
      </c>
      <c r="E567" s="20">
        <v>1.0</v>
      </c>
    </row>
    <row r="568">
      <c r="A568" s="182" t="str">
        <f>IFERROR(__xludf.DUMMYFUNCTION("""COMPUTED_VALUE"""),"Warlock")</f>
        <v>Warlock</v>
      </c>
      <c r="B568" s="187" t="str">
        <f>IFERROR(__xludf.DUMMYFUNCTION("""COMPUTED_VALUE"""),"Sandsilk")</f>
        <v>Sandsilk</v>
      </c>
      <c r="C568" s="187">
        <f t="shared" si="1"/>
        <v>1</v>
      </c>
      <c r="D568" s="20" t="s">
        <v>2121</v>
      </c>
      <c r="E568" s="20">
        <v>1.0</v>
      </c>
    </row>
    <row r="569">
      <c r="A569" s="182"/>
      <c r="B569" s="187" t="str">
        <f>IFERROR(__xludf.DUMMYFUNCTION("""COMPUTED_VALUE"""),"Fox")</f>
        <v>Fox</v>
      </c>
      <c r="C569" s="187">
        <f t="shared" si="1"/>
        <v>1</v>
      </c>
      <c r="D569" s="20" t="s">
        <v>3382</v>
      </c>
      <c r="E569" s="20">
        <v>1.0</v>
      </c>
    </row>
    <row r="570">
      <c r="A570" s="182"/>
      <c r="B570" s="187" t="str">
        <f>IFERROR(__xludf.DUMMYFUNCTION("""COMPUTED_VALUE"""),"Living")</f>
        <v>Living</v>
      </c>
      <c r="C570" s="187">
        <f t="shared" si="1"/>
        <v>1</v>
      </c>
      <c r="D570" s="20" t="s">
        <v>3383</v>
      </c>
      <c r="E570" s="20">
        <v>1.0</v>
      </c>
    </row>
    <row r="571">
      <c r="A571" s="182"/>
      <c r="B571" s="187" t="str">
        <f>IFERROR(__xludf.DUMMYFUNCTION("""COMPUTED_VALUE"""),"Thicket")</f>
        <v>Thicket</v>
      </c>
      <c r="C571" s="187">
        <f t="shared" si="1"/>
        <v>1</v>
      </c>
      <c r="D571" s="20" t="s">
        <v>3384</v>
      </c>
      <c r="E571" s="20">
        <v>1.0</v>
      </c>
    </row>
    <row r="572">
      <c r="A572" s="182" t="str">
        <f>IFERROR(__xludf.DUMMYFUNCTION("""COMPUTED_VALUE"""),"Dragonwind")</f>
        <v>Dragonwind</v>
      </c>
      <c r="B572" s="187" t="str">
        <f>IFERROR(__xludf.DUMMYFUNCTION("""COMPUTED_VALUE"""),"Shrouded")</f>
        <v>Shrouded</v>
      </c>
      <c r="C572" s="187">
        <f t="shared" si="1"/>
        <v>1</v>
      </c>
      <c r="D572" s="20" t="s">
        <v>3385</v>
      </c>
      <c r="E572" s="20">
        <v>1.0</v>
      </c>
    </row>
    <row r="573">
      <c r="A573" s="182" t="str">
        <f>IFERROR(__xludf.DUMMYFUNCTION("""COMPUTED_VALUE"""),"Harbinger")</f>
        <v>Harbinger</v>
      </c>
      <c r="B573" s="187" t="str">
        <f>IFERROR(__xludf.DUMMYFUNCTION("""COMPUTED_VALUE"""),"Advocate")</f>
        <v>Advocate</v>
      </c>
      <c r="C573" s="187">
        <f t="shared" si="1"/>
        <v>1</v>
      </c>
      <c r="D573" s="20" t="s">
        <v>3386</v>
      </c>
      <c r="E573" s="20">
        <v>1.0</v>
      </c>
    </row>
    <row r="574">
      <c r="A574" s="182"/>
      <c r="B574" s="187" t="str">
        <f>IFERROR(__xludf.DUMMYFUNCTION("""COMPUTED_VALUE"""),"Fiend")</f>
        <v>Fiend</v>
      </c>
      <c r="C574" s="187">
        <f t="shared" si="1"/>
        <v>1</v>
      </c>
      <c r="D574" s="20" t="s">
        <v>3387</v>
      </c>
      <c r="E574" s="20">
        <v>1.0</v>
      </c>
    </row>
    <row r="575">
      <c r="A575" s="182"/>
      <c r="B575" s="187" t="str">
        <f>IFERROR(__xludf.DUMMYFUNCTION("""COMPUTED_VALUE"""),"Invigorating")</f>
        <v>Invigorating</v>
      </c>
      <c r="C575" s="187">
        <f t="shared" si="1"/>
        <v>1</v>
      </c>
      <c r="D575" s="20" t="s">
        <v>3388</v>
      </c>
      <c r="E575" s="20">
        <v>1.0</v>
      </c>
    </row>
    <row r="576">
      <c r="A576" s="182"/>
      <c r="B576" s="187" t="str">
        <f>IFERROR(__xludf.DUMMYFUNCTION("""COMPUTED_VALUE"""),"Lotus")</f>
        <v>Lotus</v>
      </c>
      <c r="C576" s="187">
        <f t="shared" si="1"/>
        <v>1</v>
      </c>
      <c r="D576" s="20" t="s">
        <v>3389</v>
      </c>
      <c r="E576" s="20">
        <v>1.0</v>
      </c>
    </row>
    <row r="577">
      <c r="A577" s="182" t="str">
        <f>IFERROR(__xludf.DUMMYFUNCTION("""COMPUTED_VALUE"""),"Sparkwielder")</f>
        <v>Sparkwielder</v>
      </c>
      <c r="B577" s="187" t="str">
        <f>IFERROR(__xludf.DUMMYFUNCTION("""COMPUTED_VALUE"""),"Bloom")</f>
        <v>Bloom</v>
      </c>
      <c r="C577" s="187">
        <f t="shared" si="1"/>
        <v>1</v>
      </c>
      <c r="D577" s="20" t="s">
        <v>3390</v>
      </c>
      <c r="E577" s="20">
        <v>1.0</v>
      </c>
    </row>
    <row r="578">
      <c r="A578" s="182"/>
      <c r="B578" s="187" t="str">
        <f>IFERROR(__xludf.DUMMYFUNCTION("""COMPUTED_VALUE"""),"Photosynthaurus")</f>
        <v>Photosynthaurus</v>
      </c>
      <c r="C578" s="187">
        <f t="shared" si="1"/>
        <v>1</v>
      </c>
      <c r="D578" s="20" t="s">
        <v>3391</v>
      </c>
      <c r="E578" s="20">
        <v>1.0</v>
      </c>
    </row>
    <row r="579">
      <c r="A579" s="182"/>
      <c r="B579" s="187" t="str">
        <f>IFERROR(__xludf.DUMMYFUNCTION("""COMPUTED_VALUE"""),"Southern")</f>
        <v>Southern</v>
      </c>
      <c r="C579" s="187">
        <f t="shared" si="1"/>
        <v>1</v>
      </c>
      <c r="D579" s="20" t="s">
        <v>3392</v>
      </c>
      <c r="E579" s="20">
        <v>1.0</v>
      </c>
    </row>
    <row r="580">
      <c r="A580" s="182"/>
      <c r="B580" s="187" t="str">
        <f>IFERROR(__xludf.DUMMYFUNCTION("""COMPUTED_VALUE"""),"Reach")</f>
        <v>Reach</v>
      </c>
      <c r="C580" s="187">
        <f t="shared" si="1"/>
        <v>1</v>
      </c>
      <c r="D580" s="20" t="s">
        <v>3393</v>
      </c>
      <c r="E580" s="20">
        <v>1.0</v>
      </c>
    </row>
    <row r="581">
      <c r="A581" s="182"/>
      <c r="B581" s="187" t="str">
        <f>IFERROR(__xludf.DUMMYFUNCTION("""COMPUTED_VALUE"""),"Bulwark")</f>
        <v>Bulwark</v>
      </c>
      <c r="C581" s="187">
        <f t="shared" si="1"/>
        <v>1</v>
      </c>
      <c r="D581" s="20" t="s">
        <v>3394</v>
      </c>
      <c r="E581" s="20">
        <v>1.0</v>
      </c>
    </row>
    <row r="582">
      <c r="A582" s="182" t="str">
        <f>IFERROR(__xludf.DUMMYFUNCTION("""COMPUTED_VALUE"""),"Gashopper")</f>
        <v>Gashopper</v>
      </c>
      <c r="B582" s="187" t="str">
        <f>IFERROR(__xludf.DUMMYFUNCTION("""COMPUTED_VALUE"""),"Thoughtfeaster")</f>
        <v>Thoughtfeaster</v>
      </c>
      <c r="C582" s="187">
        <f t="shared" si="1"/>
        <v>1</v>
      </c>
      <c r="D582" s="20" t="s">
        <v>3395</v>
      </c>
      <c r="E582" s="20">
        <v>1.0</v>
      </c>
    </row>
    <row r="583">
      <c r="A583" s="182"/>
      <c r="B583" s="187" t="str">
        <f>IFERROR(__xludf.DUMMYFUNCTION("""COMPUTED_VALUE"""),"Tombstone")</f>
        <v>Tombstone</v>
      </c>
      <c r="C583" s="187">
        <f t="shared" si="1"/>
        <v>1</v>
      </c>
      <c r="D583" s="20" t="s">
        <v>3396</v>
      </c>
      <c r="E583" s="20">
        <v>1.0</v>
      </c>
    </row>
    <row r="584">
      <c r="A584" s="182"/>
      <c r="B584" s="187" t="str">
        <f>IFERROR(__xludf.DUMMYFUNCTION("""COMPUTED_VALUE"""),"Umbral")</f>
        <v>Umbral</v>
      </c>
      <c r="C584" s="187">
        <f t="shared" si="1"/>
        <v>1</v>
      </c>
      <c r="D584" s="20" t="s">
        <v>3397</v>
      </c>
      <c r="E584" s="20">
        <v>1.0</v>
      </c>
    </row>
    <row r="585">
      <c r="A585" s="182"/>
      <c r="B585" s="187" t="str">
        <f>IFERROR(__xludf.DUMMYFUNCTION("""COMPUTED_VALUE"""),"Voidkiss")</f>
        <v>Voidkiss</v>
      </c>
      <c r="C585" s="187">
        <f t="shared" si="1"/>
        <v>1</v>
      </c>
      <c r="D585" s="20" t="s">
        <v>3398</v>
      </c>
      <c r="E585" s="20">
        <v>1.0</v>
      </c>
    </row>
    <row r="586">
      <c r="A586" s="182"/>
      <c r="B586" s="187" t="str">
        <f>IFERROR(__xludf.DUMMYFUNCTION("""COMPUTED_VALUE"""),"Siren")</f>
        <v>Siren</v>
      </c>
      <c r="C586" s="187">
        <f t="shared" si="1"/>
        <v>1</v>
      </c>
      <c r="D586" s="20" t="s">
        <v>3399</v>
      </c>
      <c r="E586" s="20">
        <v>1.0</v>
      </c>
    </row>
    <row r="587">
      <c r="A587" s="182" t="str">
        <f>IFERROR(__xludf.DUMMYFUNCTION("""COMPUTED_VALUE"""),"Hailbringer")</f>
        <v>Hailbringer</v>
      </c>
      <c r="B587" s="187" t="str">
        <f>IFERROR(__xludf.DUMMYFUNCTION("""COMPUTED_VALUE"""),"Rootstrosity")</f>
        <v>Rootstrosity</v>
      </c>
      <c r="C587" s="187">
        <f t="shared" si="1"/>
        <v>1</v>
      </c>
      <c r="D587" s="20" t="s">
        <v>3400</v>
      </c>
      <c r="E587" s="20">
        <v>1.0</v>
      </c>
    </row>
    <row r="588">
      <c r="A588" s="182"/>
      <c r="B588" s="187" t="str">
        <f>IFERROR(__xludf.DUMMYFUNCTION("""COMPUTED_VALUE"""),"Voodoo")</f>
        <v>Voodoo</v>
      </c>
      <c r="C588" s="187">
        <f t="shared" si="1"/>
        <v>1</v>
      </c>
      <c r="D588" s="20" t="s">
        <v>2195</v>
      </c>
      <c r="E588" s="20">
        <v>1.0</v>
      </c>
    </row>
    <row r="589">
      <c r="A589" s="182"/>
      <c r="B589" s="187" t="str">
        <f>IFERROR(__xludf.DUMMYFUNCTION("""COMPUTED_VALUE"""),"Doctor")</f>
        <v>Doctor</v>
      </c>
      <c r="C589" s="187">
        <f t="shared" si="1"/>
        <v>1</v>
      </c>
      <c r="D589" s="20" t="s">
        <v>3401</v>
      </c>
      <c r="E589" s="20">
        <v>1.0</v>
      </c>
    </row>
    <row r="590">
      <c r="A590" s="182"/>
      <c r="B590" s="187" t="str">
        <f>IFERROR(__xludf.DUMMYFUNCTION("""COMPUTED_VALUE"""),"Whispering")</f>
        <v>Whispering</v>
      </c>
      <c r="C590" s="187">
        <f t="shared" si="1"/>
        <v>1</v>
      </c>
      <c r="D590" s="20" t="s">
        <v>3402</v>
      </c>
      <c r="E590" s="20">
        <v>1.0</v>
      </c>
    </row>
    <row r="591">
      <c r="A591" s="182"/>
      <c r="B591" s="187" t="str">
        <f>IFERROR(__xludf.DUMMYFUNCTION("""COMPUTED_VALUE"""),"Tome")</f>
        <v>Tome</v>
      </c>
      <c r="C591" s="187">
        <f t="shared" si="1"/>
        <v>1</v>
      </c>
      <c r="D591" s="20" t="s">
        <v>3403</v>
      </c>
      <c r="E591" s="20">
        <v>1.0</v>
      </c>
    </row>
    <row r="592">
      <c r="A592" s="182" t="str">
        <f>IFERROR(__xludf.DUMMYFUNCTION("""COMPUTED_VALUE"""),"Stormlash")</f>
        <v>Stormlash</v>
      </c>
      <c r="B592" s="187" t="str">
        <f>IFERROR(__xludf.DUMMYFUNCTION("""COMPUTED_VALUE"""),"Choking")</f>
        <v>Choking</v>
      </c>
      <c r="C592" s="187">
        <f t="shared" si="1"/>
        <v>1</v>
      </c>
      <c r="D592" s="20" t="s">
        <v>2211</v>
      </c>
      <c r="E592" s="20">
        <v>1.0</v>
      </c>
    </row>
    <row r="593">
      <c r="A593" s="182"/>
      <c r="B593" s="187" t="str">
        <f>IFERROR(__xludf.DUMMYFUNCTION("""COMPUTED_VALUE"""),"Vines")</f>
        <v>Vines</v>
      </c>
      <c r="C593" s="187">
        <f t="shared" si="1"/>
        <v>1</v>
      </c>
      <c r="D593" s="20" t="s">
        <v>3404</v>
      </c>
      <c r="E593" s="20">
        <v>1.0</v>
      </c>
    </row>
    <row r="594">
      <c r="A594" s="182"/>
      <c r="B594" s="187" t="str">
        <f>IFERROR(__xludf.DUMMYFUNCTION("""COMPUTED_VALUE"""),"Heathborn")</f>
        <v>Heathborn</v>
      </c>
      <c r="C594" s="187">
        <f t="shared" si="1"/>
        <v>1</v>
      </c>
      <c r="D594" s="20" t="s">
        <v>3405</v>
      </c>
      <c r="E594" s="20">
        <v>1.0</v>
      </c>
    </row>
    <row r="595">
      <c r="A595" s="182"/>
      <c r="B595" s="187" t="str">
        <f>IFERROR(__xludf.DUMMYFUNCTION("""COMPUTED_VALUE"""),"Protector")</f>
        <v>Protector</v>
      </c>
      <c r="C595" s="187">
        <f t="shared" si="1"/>
        <v>1</v>
      </c>
      <c r="D595" s="20" t="s">
        <v>3406</v>
      </c>
      <c r="E595" s="20">
        <v>1.0</v>
      </c>
    </row>
    <row r="596">
      <c r="A596" s="182"/>
      <c r="B596" s="187" t="str">
        <f>IFERROR(__xludf.DUMMYFUNCTION("""COMPUTED_VALUE"""),"Wastelands")</f>
        <v>Wastelands</v>
      </c>
      <c r="C596" s="187">
        <f t="shared" si="1"/>
        <v>1</v>
      </c>
      <c r="D596" s="20" t="s">
        <v>3407</v>
      </c>
      <c r="E596" s="20">
        <v>1.0</v>
      </c>
    </row>
    <row r="597">
      <c r="A597" s="182" t="str">
        <f>IFERROR(__xludf.DUMMYFUNCTION("""COMPUTED_VALUE"""),"Stormworn")</f>
        <v>Stormworn</v>
      </c>
      <c r="B597" s="187" t="str">
        <f>IFERROR(__xludf.DUMMYFUNCTION("""COMPUTED_VALUE"""),"Crystalbane")</f>
        <v>Crystalbane</v>
      </c>
      <c r="C597" s="187">
        <f t="shared" si="1"/>
        <v>1</v>
      </c>
      <c r="D597" s="20" t="s">
        <v>2225</v>
      </c>
      <c r="E597" s="20">
        <v>1.0</v>
      </c>
    </row>
    <row r="598">
      <c r="A598" s="182" t="str">
        <f>IFERROR(__xludf.DUMMYFUNCTION("""COMPUTED_VALUE"""),"Horn")</f>
        <v>Horn</v>
      </c>
      <c r="B598" s="187" t="str">
        <f>IFERROR(__xludf.DUMMYFUNCTION("""COMPUTED_VALUE"""),"Glutton")</f>
        <v>Glutton</v>
      </c>
      <c r="C598" s="187">
        <f t="shared" si="1"/>
        <v>1</v>
      </c>
      <c r="D598" s="20" t="s">
        <v>3408</v>
      </c>
      <c r="E598" s="20">
        <v>1.0</v>
      </c>
    </row>
    <row r="599">
      <c r="A599" s="182"/>
      <c r="B599" s="187" t="str">
        <f>IFERROR(__xludf.DUMMYFUNCTION("""COMPUTED_VALUE"""),"Crystalline")</f>
        <v>Crystalline</v>
      </c>
      <c r="C599" s="187">
        <f t="shared" si="1"/>
        <v>1</v>
      </c>
      <c r="D599" s="20" t="s">
        <v>3409</v>
      </c>
      <c r="E599" s="20">
        <v>1.0</v>
      </c>
    </row>
    <row r="600">
      <c r="A600" s="182"/>
      <c r="B600" s="187" t="str">
        <f>IFERROR(__xludf.DUMMYFUNCTION("""COMPUTED_VALUE"""),"Parasite")</f>
        <v>Parasite</v>
      </c>
      <c r="C600" s="187">
        <f t="shared" si="1"/>
        <v>1</v>
      </c>
      <c r="D600" s="20" t="s">
        <v>3410</v>
      </c>
      <c r="E600" s="20">
        <v>1.0</v>
      </c>
    </row>
    <row r="601">
      <c r="A601" s="182"/>
      <c r="B601" s="187" t="str">
        <f>IFERROR(__xludf.DUMMYFUNCTION("""COMPUTED_VALUE"""),"Fortune's")</f>
        <v>Fortune's</v>
      </c>
      <c r="C601" s="187">
        <f t="shared" si="1"/>
        <v>1</v>
      </c>
      <c r="D601" s="20" t="s">
        <v>3411</v>
      </c>
      <c r="E601" s="20">
        <v>1.0</v>
      </c>
    </row>
    <row r="602">
      <c r="A602" s="182" t="str">
        <f>IFERROR(__xludf.DUMMYFUNCTION("""COMPUTED_VALUE"""),"Glinteye")</f>
        <v>Glinteye</v>
      </c>
      <c r="B602" s="187" t="str">
        <f>IFERROR(__xludf.DUMMYFUNCTION("""COMPUTED_VALUE"""),"Favorite")</f>
        <v>Favorite</v>
      </c>
      <c r="C602" s="187">
        <f t="shared" si="1"/>
        <v>1</v>
      </c>
      <c r="D602" s="20" t="s">
        <v>3412</v>
      </c>
      <c r="E602" s="20">
        <v>1.0</v>
      </c>
    </row>
    <row r="603">
      <c r="A603" s="182" t="str">
        <f>IFERROR(__xludf.DUMMYFUNCTION("""COMPUTED_VALUE"""),"Hoarder")</f>
        <v>Hoarder</v>
      </c>
      <c r="B603" s="187" t="str">
        <f>IFERROR(__xludf.DUMMYFUNCTION("""COMPUTED_VALUE"""),"Gigantic")</f>
        <v>Gigantic</v>
      </c>
      <c r="C603" s="187">
        <f t="shared" si="1"/>
        <v>1</v>
      </c>
      <c r="D603" s="20" t="s">
        <v>3413</v>
      </c>
      <c r="E603" s="20">
        <v>1.0</v>
      </c>
    </row>
    <row r="604">
      <c r="A604" s="182"/>
      <c r="B604" s="187" t="str">
        <f>IFERROR(__xludf.DUMMYFUNCTION("""COMPUTED_VALUE"""),"Terrormaw")</f>
        <v>Terrormaw</v>
      </c>
      <c r="C604" s="187">
        <f t="shared" si="1"/>
        <v>1</v>
      </c>
      <c r="D604" s="20" t="s">
        <v>3414</v>
      </c>
      <c r="E604" s="20">
        <v>1.0</v>
      </c>
    </row>
    <row r="605">
      <c r="A605" s="182"/>
      <c r="B605" s="187" t="str">
        <f>IFERROR(__xludf.DUMMYFUNCTION("""COMPUTED_VALUE"""),"Null")</f>
        <v>Null</v>
      </c>
      <c r="C605" s="187">
        <f t="shared" si="1"/>
        <v>1</v>
      </c>
      <c r="D605" s="20" t="s">
        <v>3415</v>
      </c>
      <c r="E605" s="20">
        <v>1.0</v>
      </c>
    </row>
    <row r="606">
      <c r="A606" s="182"/>
      <c r="B606" s="187" t="str">
        <f>IFERROR(__xludf.DUMMYFUNCTION("""COMPUTED_VALUE"""),"Ghost")</f>
        <v>Ghost</v>
      </c>
      <c r="C606" s="187">
        <f t="shared" si="1"/>
        <v>1</v>
      </c>
      <c r="D606" s="20" t="s">
        <v>3416</v>
      </c>
      <c r="E606" s="20">
        <v>1.0</v>
      </c>
    </row>
    <row r="607">
      <c r="A607" s="182" t="str">
        <f>IFERROR(__xludf.DUMMYFUNCTION("""COMPUTED_VALUE"""),"The")</f>
        <v>The</v>
      </c>
      <c r="B607" s="187" t="str">
        <f>IFERROR(__xludf.DUMMYFUNCTION("""COMPUTED_VALUE"""),"Bear")</f>
        <v>Bear</v>
      </c>
      <c r="C607" s="187">
        <f t="shared" si="1"/>
        <v>1</v>
      </c>
      <c r="D607" s="20" t="s">
        <v>3417</v>
      </c>
      <c r="E607" s="20">
        <v>1.0</v>
      </c>
    </row>
    <row r="608">
      <c r="A608" s="182" t="str">
        <f>IFERROR(__xludf.DUMMYFUNCTION("""COMPUTED_VALUE"""),"Culling")</f>
        <v>Culling</v>
      </c>
      <c r="B608" s="187" t="str">
        <f>IFERROR(__xludf.DUMMYFUNCTION("""COMPUTED_VALUE"""),"Cub")</f>
        <v>Cub</v>
      </c>
      <c r="C608" s="187">
        <f t="shared" si="1"/>
        <v>1</v>
      </c>
      <c r="D608" s="20" t="s">
        <v>3418</v>
      </c>
      <c r="E608" s="20">
        <v>1.0</v>
      </c>
    </row>
    <row r="609">
      <c r="A609" s="182" t="str">
        <f>IFERROR(__xludf.DUMMYFUNCTION("""COMPUTED_VALUE"""),"Claw")</f>
        <v>Claw</v>
      </c>
      <c r="B609" s="187" t="str">
        <f>IFERROR(__xludf.DUMMYFUNCTION("""COMPUTED_VALUE"""),"Necroconut")</f>
        <v>Necroconut</v>
      </c>
      <c r="C609" s="187">
        <f t="shared" si="1"/>
        <v>1</v>
      </c>
      <c r="D609" s="20" t="s">
        <v>3419</v>
      </c>
      <c r="E609" s="20">
        <v>1.0</v>
      </c>
    </row>
    <row r="610">
      <c r="A610" s="182"/>
      <c r="B610" s="187" t="str">
        <f>IFERROR(__xludf.DUMMYFUNCTION("""COMPUTED_VALUE"""),"Crab")</f>
        <v>Crab</v>
      </c>
      <c r="C610" s="187">
        <f t="shared" si="1"/>
        <v>1</v>
      </c>
      <c r="D610" s="20" t="s">
        <v>3420</v>
      </c>
      <c r="E610" s="20">
        <v>1.0</v>
      </c>
    </row>
    <row r="611">
      <c r="A611" s="182"/>
      <c r="B611" s="187" t="str">
        <f>IFERROR(__xludf.DUMMYFUNCTION("""COMPUTED_VALUE"""),"Rotting")</f>
        <v>Rotting</v>
      </c>
      <c r="C611" s="187">
        <f t="shared" si="1"/>
        <v>1</v>
      </c>
      <c r="D611" s="20" t="s">
        <v>3421</v>
      </c>
      <c r="E611" s="20">
        <v>1.0</v>
      </c>
    </row>
    <row r="612">
      <c r="A612" s="182" t="str">
        <f>IFERROR(__xludf.DUMMYFUNCTION("""COMPUTED_VALUE"""),"Thunderfox")</f>
        <v>Thunderfox</v>
      </c>
      <c r="B612" s="187" t="str">
        <f>IFERROR(__xludf.DUMMYFUNCTION("""COMPUTED_VALUE"""),"Alicorn")</f>
        <v>Alicorn</v>
      </c>
      <c r="C612" s="187">
        <f t="shared" si="1"/>
        <v>1</v>
      </c>
      <c r="D612" s="20" t="s">
        <v>3422</v>
      </c>
      <c r="E612" s="20">
        <v>1.0</v>
      </c>
    </row>
    <row r="613">
      <c r="A613" s="182"/>
      <c r="B613" s="187" t="str">
        <f>IFERROR(__xludf.DUMMYFUNCTION("""COMPUTED_VALUE"""),"Initiate")</f>
        <v>Initiate</v>
      </c>
      <c r="C613" s="187">
        <f t="shared" si="1"/>
        <v>1</v>
      </c>
      <c r="D613" s="20" t="s">
        <v>3423</v>
      </c>
      <c r="E613" s="20">
        <v>1.0</v>
      </c>
    </row>
    <row r="614">
      <c r="A614" s="182"/>
      <c r="B614" s="187" t="str">
        <f>IFERROR(__xludf.DUMMYFUNCTION("""COMPUTED_VALUE"""),"Cryptroach")</f>
        <v>Cryptroach</v>
      </c>
      <c r="C614" s="187">
        <f t="shared" si="1"/>
        <v>1</v>
      </c>
      <c r="D614" s="20" t="s">
        <v>3424</v>
      </c>
      <c r="E614" s="20">
        <v>1.0</v>
      </c>
    </row>
    <row r="615">
      <c r="A615" s="182"/>
      <c r="B615" s="187" t="str">
        <f>IFERROR(__xludf.DUMMYFUNCTION("""COMPUTED_VALUE"""),"Abyssal")</f>
        <v>Abyssal</v>
      </c>
      <c r="C615" s="187">
        <f t="shared" si="1"/>
        <v>1</v>
      </c>
      <c r="D615" s="20" t="s">
        <v>3425</v>
      </c>
      <c r="E615" s="20">
        <v>1.0</v>
      </c>
    </row>
    <row r="616">
      <c r="A616" s="182"/>
      <c r="B616" s="187" t="str">
        <f>IFERROR(__xludf.DUMMYFUNCTION("""COMPUTED_VALUE"""),"Silencer")</f>
        <v>Silencer</v>
      </c>
      <c r="C616" s="187">
        <f t="shared" si="1"/>
        <v>1</v>
      </c>
      <c r="D616" s="20" t="s">
        <v>3426</v>
      </c>
      <c r="E616" s="20">
        <v>1.0</v>
      </c>
    </row>
    <row r="617">
      <c r="A617" s="182" t="str">
        <f>IFERROR(__xludf.DUMMYFUNCTION("""COMPUTED_VALUE"""),"Raijin's")</f>
        <v>Raijin's</v>
      </c>
      <c r="B617" s="187" t="str">
        <f>IFERROR(__xludf.DUMMYFUNCTION("""COMPUTED_VALUE"""),"Blightcoven")</f>
        <v>Blightcoven</v>
      </c>
      <c r="C617" s="187">
        <f t="shared" si="1"/>
        <v>1</v>
      </c>
      <c r="D617" s="20" t="s">
        <v>3427</v>
      </c>
      <c r="E617" s="20">
        <v>1.0</v>
      </c>
    </row>
    <row r="618">
      <c r="A618" s="182" t="str">
        <f>IFERROR(__xludf.DUMMYFUNCTION("""COMPUTED_VALUE"""),"Familiar")</f>
        <v>Familiar</v>
      </c>
      <c r="B618" s="187" t="str">
        <f>IFERROR(__xludf.DUMMYFUNCTION("""COMPUTED_VALUE"""),"Puppeteer")</f>
        <v>Puppeteer</v>
      </c>
      <c r="C618" s="187">
        <f t="shared" si="1"/>
        <v>1</v>
      </c>
      <c r="D618" s="20" t="s">
        <v>3428</v>
      </c>
      <c r="E618" s="20">
        <v>1.0</v>
      </c>
    </row>
    <row r="619">
      <c r="A619" s="182"/>
      <c r="B619" s="187" t="str">
        <f>IFERROR(__xludf.DUMMYFUNCTION("""COMPUTED_VALUE"""),"Ambassador")</f>
        <v>Ambassador</v>
      </c>
      <c r="C619" s="187">
        <f t="shared" si="1"/>
        <v>2</v>
      </c>
      <c r="D619" s="20" t="s">
        <v>3429</v>
      </c>
      <c r="E619" s="20">
        <v>1.0</v>
      </c>
    </row>
    <row r="620">
      <c r="A620" s="182"/>
      <c r="B620" s="187" t="str">
        <f>IFERROR(__xludf.DUMMYFUNCTION("""COMPUTED_VALUE"""),"Emissary")</f>
        <v>Emissary</v>
      </c>
      <c r="C620" s="187">
        <f t="shared" si="1"/>
        <v>1</v>
      </c>
      <c r="D620" s="20" t="s">
        <v>3430</v>
      </c>
      <c r="E620" s="20">
        <v>1.0</v>
      </c>
    </row>
    <row r="621">
      <c r="A621" s="182"/>
      <c r="B621" s="187" t="str">
        <f>IFERROR(__xludf.DUMMYFUNCTION("""COMPUTED_VALUE"""),"Darkness")</f>
        <v>Darkness</v>
      </c>
      <c r="C621" s="187">
        <f t="shared" si="1"/>
        <v>1</v>
      </c>
      <c r="D621" s="20" t="s">
        <v>3431</v>
      </c>
      <c r="E621" s="20">
        <v>1.0</v>
      </c>
    </row>
    <row r="622">
      <c r="A622" s="182" t="str">
        <f>IFERROR(__xludf.DUMMYFUNCTION("""COMPUTED_VALUE"""),"Twin")</f>
        <v>Twin</v>
      </c>
      <c r="B622" s="187" t="str">
        <f>IFERROR(__xludf.DUMMYFUNCTION("""COMPUTED_VALUE"""),"Chronicler")</f>
        <v>Chronicler</v>
      </c>
      <c r="C622" s="187">
        <f t="shared" si="1"/>
        <v>1</v>
      </c>
      <c r="D622" s="20" t="s">
        <v>3432</v>
      </c>
      <c r="E622" s="20">
        <v>1.0</v>
      </c>
    </row>
    <row r="623">
      <c r="A623" s="182" t="str">
        <f>IFERROR(__xludf.DUMMYFUNCTION("""COMPUTED_VALUE"""),"Thundertail")</f>
        <v>Thundertail</v>
      </c>
      <c r="B623" s="187" t="str">
        <f>IFERROR(__xludf.DUMMYFUNCTION("""COMPUTED_VALUE"""),"Soulshiv")</f>
        <v>Soulshiv</v>
      </c>
      <c r="C623" s="187">
        <f t="shared" si="1"/>
        <v>1</v>
      </c>
      <c r="D623" s="20" t="s">
        <v>3433</v>
      </c>
      <c r="E623" s="20">
        <v>1.0</v>
      </c>
    </row>
    <row r="624">
      <c r="A624" s="182"/>
      <c r="B624" s="187" t="str">
        <f>IFERROR(__xludf.DUMMYFUNCTION("""COMPUTED_VALUE"""),"Foul")</f>
        <v>Foul</v>
      </c>
      <c r="C624" s="187">
        <f t="shared" si="1"/>
        <v>1</v>
      </c>
      <c r="D624" s="20" t="s">
        <v>2323</v>
      </c>
      <c r="E624" s="20">
        <v>1.0</v>
      </c>
    </row>
    <row r="625">
      <c r="A625" s="182"/>
      <c r="B625" s="187" t="str">
        <f>IFERROR(__xludf.DUMMYFUNCTION("""COMPUTED_VALUE"""),"Corruptor")</f>
        <v>Corruptor</v>
      </c>
      <c r="C625" s="187">
        <f t="shared" si="1"/>
        <v>1</v>
      </c>
      <c r="D625" s="20" t="s">
        <v>3434</v>
      </c>
      <c r="E625" s="20">
        <v>1.0</v>
      </c>
    </row>
    <row r="626">
      <c r="A626" s="182"/>
      <c r="B626" s="187" t="str">
        <f>IFERROR(__xludf.DUMMYFUNCTION("""COMPUTED_VALUE"""),"Ghoulflesh")</f>
        <v>Ghoulflesh</v>
      </c>
      <c r="C626" s="187">
        <f t="shared" si="1"/>
        <v>1</v>
      </c>
      <c r="D626" s="20" t="s">
        <v>3435</v>
      </c>
      <c r="E626" s="20">
        <v>1.0</v>
      </c>
    </row>
    <row r="627">
      <c r="A627" s="182" t="str">
        <f>IFERROR(__xludf.DUMMYFUNCTION("""COMPUTED_VALUE"""),"Vengeful")</f>
        <v>Vengeful</v>
      </c>
      <c r="B627" s="187" t="str">
        <f>IFERROR(__xludf.DUMMYFUNCTION("""COMPUTED_VALUE"""),"Devourer")</f>
        <v>Devourer</v>
      </c>
      <c r="C627" s="187">
        <f t="shared" si="1"/>
        <v>1</v>
      </c>
      <c r="D627" s="20" t="s">
        <v>3436</v>
      </c>
      <c r="E627" s="20">
        <v>1.0</v>
      </c>
    </row>
    <row r="628">
      <c r="A628" s="182" t="str">
        <f>IFERROR(__xludf.DUMMYFUNCTION("""COMPUTED_VALUE"""),"Gust")</f>
        <v>Gust</v>
      </c>
      <c r="B628" s="187" t="str">
        <f>IFERROR(__xludf.DUMMYFUNCTION("""COMPUTED_VALUE"""),"Grinning")</f>
        <v>Grinning</v>
      </c>
      <c r="C628" s="187">
        <f t="shared" si="1"/>
        <v>1</v>
      </c>
      <c r="D628" s="20" t="s">
        <v>3437</v>
      </c>
      <c r="E628" s="20">
        <v>1.0</v>
      </c>
    </row>
    <row r="629">
      <c r="A629" s="182"/>
      <c r="B629" s="187" t="str">
        <f>IFERROR(__xludf.DUMMYFUNCTION("""COMPUTED_VALUE"""),"Amphora")</f>
        <v>Amphora</v>
      </c>
      <c r="C629" s="187">
        <f t="shared" si="1"/>
        <v>1</v>
      </c>
      <c r="D629" s="20" t="s">
        <v>3438</v>
      </c>
      <c r="E629" s="20">
        <v>1.0</v>
      </c>
    </row>
    <row r="630">
      <c r="A630" s="182"/>
      <c r="B630" s="187" t="str">
        <f>IFERROR(__xludf.DUMMYFUNCTION("""COMPUTED_VALUE"""),"Intrusive")</f>
        <v>Intrusive</v>
      </c>
      <c r="C630" s="187">
        <f t="shared" si="1"/>
        <v>1</v>
      </c>
      <c r="D630" s="20" t="s">
        <v>3439</v>
      </c>
      <c r="E630" s="20">
        <v>1.0</v>
      </c>
    </row>
    <row r="631">
      <c r="A631" s="182"/>
      <c r="B631" s="187" t="str">
        <f>IFERROR(__xludf.DUMMYFUNCTION("""COMPUTED_VALUE"""),"Heaven")</f>
        <v>Heaven</v>
      </c>
      <c r="C631" s="187">
        <f t="shared" si="1"/>
        <v>1</v>
      </c>
      <c r="D631" s="20" t="s">
        <v>3440</v>
      </c>
      <c r="E631" s="20">
        <v>1.0</v>
      </c>
    </row>
    <row r="632">
      <c r="A632" s="182" t="str">
        <f>IFERROR(__xludf.DUMMYFUNCTION("""COMPUTED_VALUE"""),"Runecursed")</f>
        <v>Runecursed</v>
      </c>
      <c r="B632" s="187" t="str">
        <f>IFERROR(__xludf.DUMMYFUNCTION("""COMPUTED_VALUE"""),"Pestilence")</f>
        <v>Pestilence</v>
      </c>
      <c r="C632" s="187">
        <f t="shared" si="1"/>
        <v>1</v>
      </c>
      <c r="D632" s="20" t="s">
        <v>3441</v>
      </c>
      <c r="E632" s="20">
        <v>1.0</v>
      </c>
    </row>
    <row r="633">
      <c r="A633" s="182" t="str">
        <f>IFERROR(__xludf.DUMMYFUNCTION("""COMPUTED_VALUE"""),"Wyvern")</f>
        <v>Wyvern</v>
      </c>
      <c r="B633" s="187" t="str">
        <f>IFERROR(__xludf.DUMMYFUNCTION("""COMPUTED_VALUE"""),"Haze")</f>
        <v>Haze</v>
      </c>
      <c r="C633" s="187">
        <f t="shared" si="1"/>
        <v>1</v>
      </c>
      <c r="D633" s="20" t="s">
        <v>3442</v>
      </c>
      <c r="E633" s="20">
        <v>1.0</v>
      </c>
    </row>
    <row r="634">
      <c r="A634" s="182"/>
      <c r="B634" s="187" t="str">
        <f>IFERROR(__xludf.DUMMYFUNCTION("""COMPUTED_VALUE"""),"Lamp")</f>
        <v>Lamp</v>
      </c>
      <c r="C634" s="187">
        <f t="shared" si="1"/>
        <v>1</v>
      </c>
      <c r="D634" s="20" t="s">
        <v>3443</v>
      </c>
      <c r="E634" s="20">
        <v>1.0</v>
      </c>
    </row>
    <row r="635">
      <c r="A635" s="182"/>
      <c r="B635" s="187" t="str">
        <f>IFERROR(__xludf.DUMMYFUNCTION("""COMPUTED_VALUE"""),"Oblivion")</f>
        <v>Oblivion</v>
      </c>
      <c r="C635" s="187">
        <f t="shared" si="1"/>
        <v>1</v>
      </c>
      <c r="D635" s="20" t="s">
        <v>3444</v>
      </c>
      <c r="E635" s="20">
        <v>1.0</v>
      </c>
    </row>
    <row r="636">
      <c r="A636" s="182"/>
      <c r="B636" s="187" t="str">
        <f>IFERROR(__xludf.DUMMYFUNCTION("""COMPUTED_VALUE"""),"Rejuvenating")</f>
        <v>Rejuvenating</v>
      </c>
      <c r="C636" s="187">
        <f t="shared" si="1"/>
        <v>1</v>
      </c>
      <c r="D636" s="20" t="s">
        <v>3445</v>
      </c>
      <c r="E636" s="20">
        <v>1.0</v>
      </c>
    </row>
    <row r="637">
      <c r="A637" s="182" t="str">
        <f>IFERROR(__xludf.DUMMYFUNCTION("""COMPUTED_VALUE"""),"Skulloath")</f>
        <v>Skulloath</v>
      </c>
      <c r="B637" s="187" t="str">
        <f>IFERROR(__xludf.DUMMYFUNCTION("""COMPUTED_VALUE"""),"Blinking")</f>
        <v>Blinking</v>
      </c>
      <c r="C637" s="187">
        <f t="shared" si="1"/>
        <v>1</v>
      </c>
      <c r="D637" s="20" t="s">
        <v>3446</v>
      </c>
      <c r="E637" s="20">
        <v>1.0</v>
      </c>
    </row>
    <row r="638">
      <c r="A638" s="182" t="str">
        <f>IFERROR(__xludf.DUMMYFUNCTION("""COMPUTED_VALUE"""),"Lootclaimer")</f>
        <v>Lootclaimer</v>
      </c>
      <c r="B638" s="187" t="str">
        <f>IFERROR(__xludf.DUMMYFUNCTION("""COMPUTED_VALUE"""),"Onyxion")</f>
        <v>Onyxion</v>
      </c>
      <c r="C638" s="187">
        <f t="shared" si="1"/>
        <v>1</v>
      </c>
      <c r="D638" s="20" t="s">
        <v>3447</v>
      </c>
      <c r="E638" s="20">
        <v>1.0</v>
      </c>
    </row>
    <row r="639">
      <c r="A639" s="182"/>
      <c r="B639" s="187" t="str">
        <f>IFERROR(__xludf.DUMMYFUNCTION("""COMPUTED_VALUE"""),"Thalis")</f>
        <v>Thalis</v>
      </c>
      <c r="C639" s="187">
        <f t="shared" si="1"/>
        <v>1</v>
      </c>
      <c r="D639" s="20" t="s">
        <v>3448</v>
      </c>
      <c r="E639" s="20">
        <v>1.0</v>
      </c>
    </row>
    <row r="640">
      <c r="A640" s="182"/>
      <c r="B640" s="187" t="str">
        <f>IFERROR(__xludf.DUMMYFUNCTION("""COMPUTED_VALUE"""),"Fuming")</f>
        <v>Fuming</v>
      </c>
      <c r="C640" s="187">
        <f t="shared" si="1"/>
        <v>1</v>
      </c>
      <c r="D640" s="20" t="s">
        <v>3449</v>
      </c>
      <c r="E640" s="20">
        <v>1.0</v>
      </c>
    </row>
    <row r="641">
      <c r="A641" s="182"/>
      <c r="B641" s="187" t="str">
        <f>IFERROR(__xludf.DUMMYFUNCTION("""COMPUTED_VALUE"""),"Fukuisaur")</f>
        <v>Fukuisaur</v>
      </c>
      <c r="C641" s="187">
        <f t="shared" si="1"/>
        <v>1</v>
      </c>
      <c r="D641" s="20" t="s">
        <v>3450</v>
      </c>
      <c r="E641" s="20">
        <v>1.0</v>
      </c>
    </row>
    <row r="642">
      <c r="A642" s="182" t="str">
        <f>IFERROR(__xludf.DUMMYFUNCTION("""COMPUTED_VALUE"""),"Spell")</f>
        <v>Spell</v>
      </c>
      <c r="B642" s="187" t="str">
        <f>IFERROR(__xludf.DUMMYFUNCTION("""COMPUTED_VALUE"""),"Spreading")</f>
        <v>Spreading</v>
      </c>
      <c r="C642" s="187">
        <f t="shared" si="1"/>
        <v>1</v>
      </c>
      <c r="D642" s="20" t="s">
        <v>3451</v>
      </c>
      <c r="E642" s="20">
        <v>1.0</v>
      </c>
    </row>
    <row r="643">
      <c r="A643" s="182" t="str">
        <f>IFERROR(__xludf.DUMMYFUNCTION("""COMPUTED_VALUE"""),"Cat")</f>
        <v>Cat</v>
      </c>
      <c r="B643" s="187" t="str">
        <f>IFERROR(__xludf.DUMMYFUNCTION("""COMPUTED_VALUE"""),"Spore")</f>
        <v>Spore</v>
      </c>
      <c r="C643" s="187">
        <f t="shared" si="1"/>
        <v>1</v>
      </c>
      <c r="D643" s="20" t="s">
        <v>3452</v>
      </c>
      <c r="E643" s="20">
        <v>1.0</v>
      </c>
    </row>
    <row r="644">
      <c r="A644" s="182"/>
      <c r="B644" s="187" t="str">
        <f>IFERROR(__xludf.DUMMYFUNCTION("""COMPUTED_VALUE"""),"Nightmare")</f>
        <v>Nightmare</v>
      </c>
      <c r="C644" s="187">
        <f t="shared" si="1"/>
        <v>2</v>
      </c>
      <c r="D644" s="20" t="s">
        <v>2443</v>
      </c>
      <c r="E644" s="20">
        <v>1.0</v>
      </c>
    </row>
    <row r="645">
      <c r="A645" s="182"/>
      <c r="B645" s="187" t="str">
        <f>IFERROR(__xludf.DUMMYFUNCTION("""COMPUTED_VALUE"""),"Chapel")</f>
        <v>Chapel</v>
      </c>
      <c r="C645" s="187">
        <f t="shared" si="1"/>
        <v>1</v>
      </c>
      <c r="D645" s="20" t="s">
        <v>3453</v>
      </c>
      <c r="E645" s="20">
        <v>1.0</v>
      </c>
    </row>
    <row r="646">
      <c r="A646" s="182"/>
      <c r="B646" s="187" t="str">
        <f>IFERROR(__xludf.DUMMYFUNCTION("""COMPUTED_VALUE"""),"Watcher")</f>
        <v>Watcher</v>
      </c>
      <c r="C646" s="187">
        <f t="shared" si="1"/>
        <v>1</v>
      </c>
      <c r="D646" s="20" t="s">
        <v>3454</v>
      </c>
      <c r="E646" s="20">
        <v>1.0</v>
      </c>
    </row>
    <row r="647">
      <c r="A647" s="182" t="str">
        <f>IFERROR(__xludf.DUMMYFUNCTION("""COMPUTED_VALUE"""),"Vermillion")</f>
        <v>Vermillion</v>
      </c>
      <c r="B647" s="187" t="str">
        <f>IFERROR(__xludf.DUMMYFUNCTION("""COMPUTED_VALUE"""),"Luring")</f>
        <v>Luring</v>
      </c>
      <c r="C647" s="187">
        <f t="shared" si="1"/>
        <v>1</v>
      </c>
      <c r="D647" s="20" t="s">
        <v>3455</v>
      </c>
      <c r="E647" s="20">
        <v>1.0</v>
      </c>
    </row>
    <row r="648">
      <c r="A648" s="182" t="str">
        <f>IFERROR(__xludf.DUMMYFUNCTION("""COMPUTED_VALUE"""),"Firebird")</f>
        <v>Firebird</v>
      </c>
      <c r="B648" s="187" t="str">
        <f>IFERROR(__xludf.DUMMYFUNCTION("""COMPUTED_VALUE"""),"Flametooth")</f>
        <v>Flametooth</v>
      </c>
      <c r="C648" s="187">
        <f t="shared" si="1"/>
        <v>1</v>
      </c>
      <c r="D648" s="20" t="s">
        <v>3456</v>
      </c>
      <c r="E648" s="20">
        <v>1.0</v>
      </c>
    </row>
    <row r="649">
      <c r="A649" s="182"/>
      <c r="B649" s="187" t="str">
        <f>IFERROR(__xludf.DUMMYFUNCTION("""COMPUTED_VALUE"""),"Shardsplosion")</f>
        <v>Shardsplosion</v>
      </c>
      <c r="C649" s="187">
        <f t="shared" si="1"/>
        <v>1</v>
      </c>
      <c r="D649" s="20" t="s">
        <v>3457</v>
      </c>
      <c r="E649" s="20">
        <v>1.0</v>
      </c>
    </row>
    <row r="650">
      <c r="A650" s="182"/>
      <c r="B650" s="187" t="str">
        <f>IFERROR(__xludf.DUMMYFUNCTION("""COMPUTED_VALUE"""),"Dragoncaller")</f>
        <v>Dragoncaller</v>
      </c>
      <c r="C650" s="187">
        <f t="shared" si="1"/>
        <v>1</v>
      </c>
      <c r="D650" s="20" t="s">
        <v>3458</v>
      </c>
      <c r="E650" s="20">
        <v>1.0</v>
      </c>
    </row>
    <row r="651">
      <c r="A651" s="182"/>
      <c r="B651" s="187" t="str">
        <f>IFERROR(__xludf.DUMMYFUNCTION("""COMPUTED_VALUE"""),"Stalagmite")</f>
        <v>Stalagmite</v>
      </c>
      <c r="C651" s="187">
        <f t="shared" si="1"/>
        <v>1</v>
      </c>
      <c r="D651" s="20" t="s">
        <v>3459</v>
      </c>
      <c r="E651" s="20">
        <v>1.0</v>
      </c>
    </row>
    <row r="652">
      <c r="A652" s="182" t="str">
        <f>IFERROR(__xludf.DUMMYFUNCTION("""COMPUTED_VALUE"""),"Oasisdweller")</f>
        <v>Oasisdweller</v>
      </c>
      <c r="B652" s="187" t="str">
        <f>IFERROR(__xludf.DUMMYFUNCTION("""COMPUTED_VALUE"""),"Mirage")</f>
        <v>Mirage</v>
      </c>
      <c r="C652" s="187">
        <f t="shared" si="1"/>
        <v>1</v>
      </c>
      <c r="D652" s="20" t="s">
        <v>3460</v>
      </c>
      <c r="E652" s="20">
        <v>1.0</v>
      </c>
    </row>
    <row r="653">
      <c r="A653" s="182"/>
      <c r="B653" s="187" t="str">
        <f>IFERROR(__xludf.DUMMYFUNCTION("""COMPUTED_VALUE"""),"Heavenbound")</f>
        <v>Heavenbound</v>
      </c>
      <c r="C653" s="187">
        <f t="shared" si="1"/>
        <v>1</v>
      </c>
      <c r="D653" s="20" t="s">
        <v>3461</v>
      </c>
      <c r="E653" s="20">
        <v>1.0</v>
      </c>
    </row>
    <row r="654">
      <c r="A654" s="182"/>
      <c r="B654" s="187" t="str">
        <f>IFERROR(__xludf.DUMMYFUNCTION("""COMPUTED_VALUE"""),"Heka-Mage")</f>
        <v>Heka-Mage</v>
      </c>
      <c r="C654" s="187">
        <f t="shared" si="1"/>
        <v>1</v>
      </c>
      <c r="D654" s="20" t="s">
        <v>3462</v>
      </c>
      <c r="E654" s="20">
        <v>1.0</v>
      </c>
    </row>
    <row r="655">
      <c r="A655" s="182"/>
      <c r="B655" s="187" t="str">
        <f>IFERROR(__xludf.DUMMYFUNCTION("""COMPUTED_VALUE"""),"Twilight")</f>
        <v>Twilight</v>
      </c>
      <c r="C655" s="187">
        <f t="shared" si="1"/>
        <v>2</v>
      </c>
      <c r="D655" s="20" t="s">
        <v>3463</v>
      </c>
      <c r="E655" s="20">
        <v>1.0</v>
      </c>
    </row>
    <row r="656">
      <c r="A656" s="182"/>
      <c r="B656" s="187" t="str">
        <f>IFERROR(__xludf.DUMMYFUNCTION("""COMPUTED_VALUE"""),"Sorceress")</f>
        <v>Sorceress</v>
      </c>
      <c r="C656" s="187">
        <f t="shared" si="1"/>
        <v>1</v>
      </c>
      <c r="D656" s="20" t="s">
        <v>3464</v>
      </c>
      <c r="E656" s="20">
        <v>1.0</v>
      </c>
    </row>
    <row r="657">
      <c r="A657" s="182" t="str">
        <f>IFERROR(__xludf.DUMMYFUNCTION("""COMPUTED_VALUE"""),"Portalrunner")</f>
        <v>Portalrunner</v>
      </c>
      <c r="B657" s="187" t="str">
        <f>IFERROR(__xludf.DUMMYFUNCTION("""COMPUTED_VALUE"""),"Twinfang")</f>
        <v>Twinfang</v>
      </c>
      <c r="C657" s="187">
        <f t="shared" si="1"/>
        <v>1</v>
      </c>
      <c r="D657" s="20" t="s">
        <v>2474</v>
      </c>
      <c r="E657" s="20">
        <v>1.0</v>
      </c>
    </row>
    <row r="658">
      <c r="A658" s="182"/>
      <c r="B658" s="187" t="str">
        <f>IFERROR(__xludf.DUMMYFUNCTION("""COMPUTED_VALUE"""),"Huntcaller")</f>
        <v>Huntcaller</v>
      </c>
      <c r="C658" s="187">
        <f t="shared" si="1"/>
        <v>1</v>
      </c>
      <c r="D658" s="20" t="s">
        <v>2476</v>
      </c>
      <c r="E658" s="20">
        <v>1.0</v>
      </c>
    </row>
    <row r="659">
      <c r="A659" s="182"/>
      <c r="B659" s="187" t="str">
        <f>IFERROR(__xludf.DUMMYFUNCTION("""COMPUTED_VALUE"""),"Vanguard")</f>
        <v>Vanguard</v>
      </c>
      <c r="C659" s="187">
        <f t="shared" si="1"/>
        <v>1</v>
      </c>
      <c r="D659" s="20" t="s">
        <v>3465</v>
      </c>
      <c r="E659" s="20">
        <v>1.0</v>
      </c>
    </row>
    <row r="660">
      <c r="A660" s="182"/>
      <c r="B660" s="187" t="str">
        <f>IFERROR(__xludf.DUMMYFUNCTION("""COMPUTED_VALUE"""),"#VALUE!")</f>
        <v>#VALUE!</v>
      </c>
      <c r="C660" s="187">
        <f t="shared" si="1"/>
        <v>1</v>
      </c>
      <c r="D660" s="20" t="s">
        <v>3466</v>
      </c>
      <c r="E660" s="20">
        <v>1.0</v>
      </c>
    </row>
    <row r="661">
      <c r="A661" s="182"/>
      <c r="B661" s="187" t="str">
        <f>IFERROR(__xludf.DUMMYFUNCTION("""COMPUTED_VALUE"""),"Behemoth")</f>
        <v>Behemoth</v>
      </c>
      <c r="C661" s="187">
        <f t="shared" si="1"/>
        <v>2</v>
      </c>
      <c r="D661" s="20" t="s">
        <v>3467</v>
      </c>
      <c r="E661" s="20">
        <v>1.0</v>
      </c>
    </row>
    <row r="662">
      <c r="A662" s="182" t="str">
        <f>IFERROR(__xludf.DUMMYFUNCTION("""COMPUTED_VALUE"""),"Cinderguard")</f>
        <v>Cinderguard</v>
      </c>
      <c r="B662" s="187" t="str">
        <f>IFERROR(__xludf.DUMMYFUNCTION("""COMPUTED_VALUE"""),"Guider")</f>
        <v>Guider</v>
      </c>
      <c r="C662" s="187">
        <f t="shared" si="1"/>
        <v>1</v>
      </c>
      <c r="D662" s="20" t="s">
        <v>3468</v>
      </c>
      <c r="E662" s="20">
        <v>1.0</v>
      </c>
    </row>
    <row r="663">
      <c r="A663" s="182" t="str">
        <f>IFERROR(__xludf.DUMMYFUNCTION("""COMPUTED_VALUE"""),"Irregulars")</f>
        <v>Irregulars</v>
      </c>
      <c r="B663" s="187" t="str">
        <f>IFERROR(__xludf.DUMMYFUNCTION("""COMPUTED_VALUE"""),"Yesterknight")</f>
        <v>Yesterknight</v>
      </c>
      <c r="C663" s="187">
        <f t="shared" si="1"/>
        <v>1</v>
      </c>
      <c r="D663" s="20" t="s">
        <v>3469</v>
      </c>
      <c r="E663" s="20">
        <v>1.0</v>
      </c>
    </row>
    <row r="664">
      <c r="A664" s="182"/>
      <c r="B664" s="187" t="str">
        <f>IFERROR(__xludf.DUMMYFUNCTION("""COMPUTED_VALUE"""),"Alchemist")</f>
        <v>Alchemist</v>
      </c>
      <c r="C664" s="187">
        <f t="shared" si="1"/>
        <v>1</v>
      </c>
      <c r="D664" s="20" t="s">
        <v>3470</v>
      </c>
      <c r="E664" s="20">
        <v>1.0</v>
      </c>
    </row>
    <row r="665">
      <c r="A665" s="182"/>
      <c r="B665" s="187" t="str">
        <f>IFERROR(__xludf.DUMMYFUNCTION("""COMPUTED_VALUE"""),"Mirrorkin")</f>
        <v>Mirrorkin</v>
      </c>
      <c r="C665" s="187">
        <f t="shared" si="1"/>
        <v>1</v>
      </c>
      <c r="D665" s="20" t="s">
        <v>3471</v>
      </c>
      <c r="E665" s="20">
        <v>1.0</v>
      </c>
    </row>
    <row r="666">
      <c r="A666" s="182"/>
      <c r="B666" s="187" t="str">
        <f>IFERROR(__xludf.DUMMYFUNCTION("""COMPUTED_VALUE"""),"Ticking")</f>
        <v>Ticking</v>
      </c>
      <c r="C666" s="187">
        <f t="shared" si="1"/>
        <v>1</v>
      </c>
      <c r="D666" s="20" t="s">
        <v>3472</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3473</v>
      </c>
      <c r="E668" s="20">
        <v>1.0</v>
      </c>
    </row>
    <row r="669">
      <c r="A669" s="182"/>
      <c r="B669" s="187" t="str">
        <f>IFERROR(__xludf.DUMMYFUNCTION("""COMPUTED_VALUE"""),"Conduit")</f>
        <v>Conduit</v>
      </c>
      <c r="C669" s="187">
        <f t="shared" si="1"/>
        <v>1</v>
      </c>
      <c r="D669" s="20" t="s">
        <v>3474</v>
      </c>
      <c r="E669" s="20">
        <v>1.0</v>
      </c>
    </row>
    <row r="670">
      <c r="A670" s="182"/>
      <c r="B670" s="187" t="str">
        <f>IFERROR(__xludf.DUMMYFUNCTION("""COMPUTED_VALUE"""),"Scale")</f>
        <v>Scale</v>
      </c>
      <c r="C670" s="187">
        <f t="shared" si="1"/>
        <v>1</v>
      </c>
      <c r="D670" s="20" t="s">
        <v>3475</v>
      </c>
      <c r="E670" s="20">
        <v>1.0</v>
      </c>
    </row>
    <row r="671">
      <c r="A671" s="182"/>
      <c r="B671" s="187" t="str">
        <f>IFERROR(__xludf.DUMMYFUNCTION("""COMPUTED_VALUE"""),"Nethersilk")</f>
        <v>Nethersilk</v>
      </c>
      <c r="C671" s="187">
        <f t="shared" si="1"/>
        <v>1</v>
      </c>
      <c r="D671" s="20" t="s">
        <v>2501</v>
      </c>
      <c r="E671" s="20">
        <v>1.0</v>
      </c>
    </row>
    <row r="672">
      <c r="A672" s="182" t="str">
        <f>IFERROR(__xludf.DUMMYFUNCTION("""COMPUTED_VALUE"""),"Crazed")</f>
        <v>Crazed</v>
      </c>
      <c r="B672" s="187" t="str">
        <f>IFERROR(__xludf.DUMMYFUNCTION("""COMPUTED_VALUE"""),"Moth")</f>
        <v>Moth</v>
      </c>
      <c r="C672" s="187">
        <f t="shared" si="1"/>
        <v>1</v>
      </c>
      <c r="D672" s="20" t="s">
        <v>3476</v>
      </c>
      <c r="E672" s="20">
        <v>1.0</v>
      </c>
    </row>
    <row r="673">
      <c r="A673" s="182" t="str">
        <f>IFERROR(__xludf.DUMMYFUNCTION("""COMPUTED_VALUE"""),"Hermit")</f>
        <v>Hermit</v>
      </c>
      <c r="B673" s="187" t="str">
        <f>IFERROR(__xludf.DUMMYFUNCTION("""COMPUTED_VALUE"""),"Penguin")</f>
        <v>Penguin</v>
      </c>
      <c r="C673" s="187">
        <f t="shared" si="1"/>
        <v>1</v>
      </c>
      <c r="D673" s="20" t="s">
        <v>3477</v>
      </c>
      <c r="E673" s="20">
        <v>1.0</v>
      </c>
    </row>
    <row r="674">
      <c r="A674" s="182"/>
      <c r="B674" s="187" t="str">
        <f>IFERROR(__xludf.DUMMYFUNCTION("""COMPUTED_VALUE"""),"Possessed")</f>
        <v>Possessed</v>
      </c>
      <c r="C674" s="187">
        <f t="shared" si="1"/>
        <v>1</v>
      </c>
      <c r="D674" s="20" t="s">
        <v>3478</v>
      </c>
      <c r="E674" s="20">
        <v>1.0</v>
      </c>
    </row>
    <row r="675">
      <c r="A675" s="182"/>
      <c r="B675" s="187" t="str">
        <f>IFERROR(__xludf.DUMMYFUNCTION("""COMPUTED_VALUE"""),"Vermin")</f>
        <v>Vermin</v>
      </c>
      <c r="C675" s="187">
        <f t="shared" si="1"/>
        <v>1</v>
      </c>
      <c r="D675" s="20" t="s">
        <v>3479</v>
      </c>
      <c r="E675" s="20">
        <v>1.0</v>
      </c>
    </row>
    <row r="676">
      <c r="A676" s="182"/>
      <c r="B676" s="187" t="str">
        <f>IFERROR(__xludf.DUMMYFUNCTION("""COMPUTED_VALUE"""),"Brood")</f>
        <v>Brood</v>
      </c>
      <c r="C676" s="187">
        <f t="shared" si="1"/>
        <v>1</v>
      </c>
      <c r="D676" s="20" t="s">
        <v>3480</v>
      </c>
      <c r="E676" s="20">
        <v>1.0</v>
      </c>
    </row>
    <row r="677">
      <c r="A677" s="182" t="str">
        <f>IFERROR(__xludf.DUMMYFUNCTION("""COMPUTED_VALUE"""),"Galeweaver")</f>
        <v>Galeweaver</v>
      </c>
      <c r="B677" s="187" t="str">
        <f>IFERROR(__xludf.DUMMYFUNCTION("""COMPUTED_VALUE"""),"Shadowsting")</f>
        <v>Shadowsting</v>
      </c>
      <c r="C677" s="187">
        <f t="shared" si="1"/>
        <v>1</v>
      </c>
      <c r="D677" s="20" t="s">
        <v>3481</v>
      </c>
      <c r="E677" s="20">
        <v>1.0</v>
      </c>
    </row>
    <row r="678">
      <c r="A678" s="182"/>
      <c r="B678" s="187" t="str">
        <f>IFERROR(__xludf.DUMMYFUNCTION("""COMPUTED_VALUE"""),"Shiverskull")</f>
        <v>Shiverskull</v>
      </c>
      <c r="C678" s="187">
        <f t="shared" si="1"/>
        <v>1</v>
      </c>
      <c r="D678" s="20" t="s">
        <v>3482</v>
      </c>
      <c r="E678" s="20">
        <v>1.0</v>
      </c>
    </row>
    <row r="679">
      <c r="A679" s="182"/>
      <c r="B679" s="187" t="str">
        <f>IFERROR(__xludf.DUMMYFUNCTION("""COMPUTED_VALUE"""),"Skull")</f>
        <v>Skull</v>
      </c>
      <c r="C679" s="187">
        <f t="shared" si="1"/>
        <v>1</v>
      </c>
      <c r="D679" s="20" t="s">
        <v>3483</v>
      </c>
      <c r="E679" s="20">
        <v>1.0</v>
      </c>
    </row>
    <row r="680">
      <c r="A680" s="182"/>
      <c r="B680" s="187" t="str">
        <f>IFERROR(__xludf.DUMMYFUNCTION("""COMPUTED_VALUE"""),"Crow")</f>
        <v>Crow</v>
      </c>
      <c r="C680" s="187">
        <f t="shared" si="1"/>
        <v>1</v>
      </c>
      <c r="D680" s="20" t="s">
        <v>3484</v>
      </c>
      <c r="E680" s="20">
        <v>1.0</v>
      </c>
    </row>
    <row r="681">
      <c r="A681" s="182"/>
      <c r="B681" s="187" t="str">
        <f>IFERROR(__xludf.DUMMYFUNCTION("""COMPUTED_VALUE"""),"Symbiotic")</f>
        <v>Symbiotic</v>
      </c>
      <c r="C681" s="187">
        <f t="shared" si="1"/>
        <v>1</v>
      </c>
      <c r="D681" s="20" t="s">
        <v>3485</v>
      </c>
      <c r="E681" s="20">
        <v>1.0</v>
      </c>
    </row>
    <row r="682">
      <c r="A682" s="182" t="str">
        <f>IFERROR(__xludf.DUMMYFUNCTION("""COMPUTED_VALUE"""),"Lurking")</f>
        <v>Lurking</v>
      </c>
      <c r="B682" s="187" t="str">
        <f>IFERROR(__xludf.DUMMYFUNCTION("""COMPUTED_VALUE"""),"Crawler")</f>
        <v>Crawler</v>
      </c>
      <c r="C682" s="187">
        <f t="shared" si="1"/>
        <v>1</v>
      </c>
      <c r="D682" s="20" t="s">
        <v>3486</v>
      </c>
      <c r="E682" s="20">
        <v>1.0</v>
      </c>
    </row>
    <row r="683">
      <c r="A683" s="182" t="str">
        <f>IFERROR(__xludf.DUMMYFUNCTION("""COMPUTED_VALUE"""),"Canopystomper")</f>
        <v>Canopystomper</v>
      </c>
      <c r="B683" s="187" t="str">
        <f>IFERROR(__xludf.DUMMYFUNCTION("""COMPUTED_VALUE"""),"Nightreaper")</f>
        <v>Nightreaper</v>
      </c>
      <c r="C683" s="187">
        <f t="shared" si="1"/>
        <v>1</v>
      </c>
      <c r="D683" s="20" t="s">
        <v>2558</v>
      </c>
      <c r="E683" s="20">
        <v>1.0</v>
      </c>
    </row>
    <row r="684">
      <c r="A684" s="182"/>
      <c r="B684" s="187" t="str">
        <f>IFERROR(__xludf.DUMMYFUNCTION("""COMPUTED_VALUE"""),"King")</f>
        <v>King</v>
      </c>
      <c r="C684" s="187">
        <f t="shared" si="1"/>
        <v>1</v>
      </c>
      <c r="D684" s="20" t="s">
        <v>3487</v>
      </c>
      <c r="E684" s="20">
        <v>1.0</v>
      </c>
    </row>
    <row r="685">
      <c r="A685" s="182"/>
      <c r="B685" s="187" t="str">
        <f>IFERROR(__xludf.DUMMYFUNCTION("""COMPUTED_VALUE"""),"Gorgon")</f>
        <v>Gorgon</v>
      </c>
      <c r="C685" s="187">
        <f t="shared" si="1"/>
        <v>1</v>
      </c>
      <c r="D685" s="20" t="s">
        <v>3488</v>
      </c>
      <c r="E685" s="20">
        <v>1.0</v>
      </c>
    </row>
    <row r="686">
      <c r="A686" s="182"/>
      <c r="B686" s="187" t="str">
        <f>IFERROR(__xludf.DUMMYFUNCTION("""COMPUTED_VALUE"""),"Serpentress")</f>
        <v>Serpentress</v>
      </c>
      <c r="C686" s="187">
        <f t="shared" si="1"/>
        <v>1</v>
      </c>
      <c r="D686" s="20" t="s">
        <v>3489</v>
      </c>
      <c r="E686" s="20">
        <v>1.0</v>
      </c>
    </row>
    <row r="687">
      <c r="A687" s="182" t="str">
        <f>IFERROR(__xludf.DUMMYFUNCTION("""COMPUTED_VALUE"""),"Resourceful")</f>
        <v>Resourceful</v>
      </c>
      <c r="B687" s="187" t="str">
        <f>IFERROR(__xludf.DUMMYFUNCTION("""COMPUTED_VALUE"""),"Ill-Tempered")</f>
        <v>Ill-Tempered</v>
      </c>
      <c r="C687" s="187">
        <f t="shared" si="1"/>
        <v>1</v>
      </c>
      <c r="D687" s="20" t="s">
        <v>3490</v>
      </c>
      <c r="E687" s="20">
        <v>1.0</v>
      </c>
    </row>
    <row r="688">
      <c r="A688" s="182" t="str">
        <f>IFERROR(__xludf.DUMMYFUNCTION("""COMPUTED_VALUE"""),"Poacher")</f>
        <v>Poacher</v>
      </c>
      <c r="B688" s="187" t="str">
        <f>IFERROR(__xludf.DUMMYFUNCTION("""COMPUTED_VALUE"""),"Nightbloom")</f>
        <v>Nightbloom</v>
      </c>
      <c r="C688" s="187">
        <f t="shared" si="1"/>
        <v>1</v>
      </c>
      <c r="D688" s="20" t="s">
        <v>2588</v>
      </c>
      <c r="E688" s="20">
        <v>1.0</v>
      </c>
    </row>
    <row r="689">
      <c r="A689" s="182"/>
      <c r="B689" s="187" t="str">
        <f>IFERROR(__xludf.DUMMYFUNCTION("""COMPUTED_VALUE"""),"Owl")</f>
        <v>Owl</v>
      </c>
      <c r="C689" s="187">
        <f t="shared" si="1"/>
        <v>1</v>
      </c>
      <c r="D689" s="20" t="s">
        <v>3491</v>
      </c>
      <c r="E689" s="20">
        <v>1.0</v>
      </c>
    </row>
    <row r="690">
      <c r="A690" s="182"/>
      <c r="B690" s="187" t="str">
        <f>IFERROR(__xludf.DUMMYFUNCTION("""COMPUTED_VALUE"""),"Shroom")</f>
        <v>Shroom</v>
      </c>
      <c r="C690" s="187">
        <f t="shared" si="1"/>
        <v>1</v>
      </c>
      <c r="D690" s="20" t="s">
        <v>3492</v>
      </c>
      <c r="E690" s="20">
        <v>1.0</v>
      </c>
    </row>
    <row r="691">
      <c r="A691" s="182"/>
      <c r="B691" s="187" t="str">
        <f>IFERROR(__xludf.DUMMYFUNCTION("""COMPUTED_VALUE"""),"Hellblade")</f>
        <v>Hellblade</v>
      </c>
      <c r="C691" s="187">
        <f t="shared" si="1"/>
        <v>1</v>
      </c>
      <c r="D691" s="20" t="s">
        <v>3493</v>
      </c>
      <c r="E691" s="20">
        <v>1.0</v>
      </c>
    </row>
    <row r="692">
      <c r="A692" s="182" t="str">
        <f>IFERROR(__xludf.DUMMYFUNCTION("""COMPUTED_VALUE"""),"Infernoblight")</f>
        <v>Infernoblight</v>
      </c>
      <c r="B692" s="187" t="str">
        <f>IFERROR(__xludf.DUMMYFUNCTION("""COMPUTED_VALUE"""),"Eclipse")</f>
        <v>Eclipse</v>
      </c>
      <c r="C692" s="187">
        <f t="shared" si="1"/>
        <v>1</v>
      </c>
      <c r="D692" s="20" t="s">
        <v>3494</v>
      </c>
      <c r="E692" s="20">
        <v>1.0</v>
      </c>
    </row>
    <row r="693">
      <c r="A693" s="182"/>
      <c r="B693" s="187" t="str">
        <f>IFERROR(__xludf.DUMMYFUNCTION("""COMPUTED_VALUE"""),"Scythe")</f>
        <v>Scythe</v>
      </c>
      <c r="C693" s="187">
        <f t="shared" si="1"/>
        <v>1</v>
      </c>
      <c r="D693" s="20" t="s">
        <v>3495</v>
      </c>
      <c r="E693" s="20">
        <v>1.0</v>
      </c>
    </row>
    <row r="694">
      <c r="A694" s="182"/>
      <c r="B694" s="187" t="str">
        <f>IFERROR(__xludf.DUMMYFUNCTION("""COMPUTED_VALUE"""),"Rotten")</f>
        <v>Rotten</v>
      </c>
      <c r="C694" s="187">
        <f t="shared" si="1"/>
        <v>1</v>
      </c>
      <c r="D694" s="20" t="s">
        <v>3496</v>
      </c>
      <c r="E694" s="20">
        <v>1.0</v>
      </c>
    </row>
    <row r="695">
      <c r="A695" s="182"/>
      <c r="B695" s="187" t="str">
        <f>IFERROR(__xludf.DUMMYFUNCTION("""COMPUTED_VALUE"""),"Stalker")</f>
        <v>Stalker</v>
      </c>
      <c r="C695" s="187">
        <f t="shared" si="1"/>
        <v>1</v>
      </c>
      <c r="D695" s="20" t="s">
        <v>3497</v>
      </c>
      <c r="E695" s="20">
        <v>1.0</v>
      </c>
    </row>
    <row r="696">
      <c r="A696" s="182"/>
      <c r="B696" s="187" t="str">
        <f>IFERROR(__xludf.DUMMYFUNCTION("""COMPUTED_VALUE"""),"Wringing")</f>
        <v>Wringing</v>
      </c>
      <c r="C696" s="187">
        <f t="shared" si="1"/>
        <v>1</v>
      </c>
      <c r="D696" s="20" t="s">
        <v>2639</v>
      </c>
      <c r="E696" s="20">
        <v>1.0</v>
      </c>
    </row>
    <row r="697">
      <c r="A697" s="182" t="str">
        <f>IFERROR(__xludf.DUMMYFUNCTION("""COMPUTED_VALUE"""),"The")</f>
        <v>The</v>
      </c>
      <c r="B697" s="187" t="str">
        <f>IFERROR(__xludf.DUMMYFUNCTION("""COMPUTED_VALUE"""),"Clawing")</f>
        <v>Clawing</v>
      </c>
      <c r="C697" s="187">
        <f t="shared" si="1"/>
        <v>1</v>
      </c>
      <c r="D697" s="20" t="s">
        <v>3498</v>
      </c>
      <c r="E697" s="20">
        <v>1.0</v>
      </c>
    </row>
    <row r="698">
      <c r="A698" s="182" t="str">
        <f>IFERROR(__xludf.DUMMYFUNCTION("""COMPUTED_VALUE"""),"Skyshrieker")</f>
        <v>Skyshrieker</v>
      </c>
      <c r="B698" s="187" t="str">
        <f>IFERROR(__xludf.DUMMYFUNCTION("""COMPUTED_VALUE"""),"Centipede")</f>
        <v>Centipede</v>
      </c>
      <c r="C698" s="187">
        <f t="shared" si="1"/>
        <v>1</v>
      </c>
      <c r="D698" s="20" t="s">
        <v>3499</v>
      </c>
      <c r="E698" s="20">
        <v>1.0</v>
      </c>
    </row>
    <row r="699">
      <c r="A699" s="182"/>
      <c r="B699" s="187" t="str">
        <f>IFERROR(__xludf.DUMMYFUNCTION("""COMPUTED_VALUE"""),"Voidsinger")</f>
        <v>Voidsinger</v>
      </c>
      <c r="C699" s="187">
        <f t="shared" si="1"/>
        <v>1</v>
      </c>
      <c r="D699" s="20" t="s">
        <v>3500</v>
      </c>
      <c r="E699" s="20">
        <v>1.0</v>
      </c>
    </row>
    <row r="700">
      <c r="A700" s="182"/>
      <c r="B700" s="187" t="str">
        <f>IFERROR(__xludf.DUMMYFUNCTION("""COMPUTED_VALUE"""),"Graverobbing")</f>
        <v>Graverobbing</v>
      </c>
      <c r="C700" s="187">
        <f t="shared" si="1"/>
        <v>1</v>
      </c>
      <c r="D700" s="20" t="s">
        <v>3501</v>
      </c>
      <c r="E700" s="20">
        <v>1.0</v>
      </c>
    </row>
    <row r="701">
      <c r="A701" s="182"/>
      <c r="B701" s="187" t="str">
        <f>IFERROR(__xludf.DUMMYFUNCTION("""COMPUTED_VALUE"""),"Robot")</f>
        <v>Robot</v>
      </c>
      <c r="C701" s="187">
        <f t="shared" si="1"/>
        <v>1</v>
      </c>
      <c r="D701" s="20" t="s">
        <v>3502</v>
      </c>
      <c r="E701" s="20">
        <v>1.0</v>
      </c>
    </row>
    <row r="702">
      <c r="A702" s="182" t="str">
        <f>IFERROR(__xludf.DUMMYFUNCTION("""COMPUTED_VALUE"""),"Mistborn")</f>
        <v>Mistborn</v>
      </c>
      <c r="B702" s="187" t="str">
        <f>IFERROR(__xludf.DUMMYFUNCTION("""COMPUTED_VALUE"""),"Bandage")</f>
        <v>Bandage</v>
      </c>
      <c r="C702" s="187">
        <f t="shared" si="1"/>
        <v>1</v>
      </c>
      <c r="D702" s="20" t="s">
        <v>3503</v>
      </c>
      <c r="E702" s="20">
        <v>1.0</v>
      </c>
    </row>
    <row r="703">
      <c r="A703" s="182" t="str">
        <f>IFERROR(__xludf.DUMMYFUNCTION("""COMPUTED_VALUE"""),"Serpent")</f>
        <v>Serpent</v>
      </c>
      <c r="B703" s="187" t="str">
        <f>IFERROR(__xludf.DUMMYFUNCTION("""COMPUTED_VALUE"""),"Deadfield")</f>
        <v>Deadfield</v>
      </c>
      <c r="C703" s="187">
        <f t="shared" si="1"/>
        <v>1</v>
      </c>
      <c r="D703" s="20" t="s">
        <v>3504</v>
      </c>
      <c r="E703" s="20">
        <v>1.0</v>
      </c>
    </row>
    <row r="704">
      <c r="A704" s="182"/>
      <c r="B704" s="187" t="str">
        <f>IFERROR(__xludf.DUMMYFUNCTION("""COMPUTED_VALUE"""),"Tiller")</f>
        <v>Tiller</v>
      </c>
      <c r="C704" s="187">
        <f t="shared" si="1"/>
        <v>1</v>
      </c>
      <c r="D704" s="20" t="s">
        <v>2684</v>
      </c>
      <c r="E704" s="20">
        <v>1.0</v>
      </c>
    </row>
    <row r="705">
      <c r="A705" s="182"/>
      <c r="B705" s="187" t="str">
        <f>IFERROR(__xludf.DUMMYFUNCTION("""COMPUTED_VALUE"""),"Frightweaver")</f>
        <v>Frightweaver</v>
      </c>
      <c r="C705" s="187">
        <f t="shared" si="1"/>
        <v>1</v>
      </c>
      <c r="D705" s="20" t="s">
        <v>3505</v>
      </c>
      <c r="E705" s="20">
        <v>1.0</v>
      </c>
    </row>
    <row r="706">
      <c r="A706" s="182"/>
      <c r="B706" s="187" t="str">
        <f>IFERROR(__xludf.DUMMYFUNCTION("""COMPUTED_VALUE"""),"Mini")</f>
        <v>Mini</v>
      </c>
      <c r="C706" s="187">
        <f t="shared" si="1"/>
        <v>1</v>
      </c>
      <c r="D706" s="20" t="s">
        <v>3506</v>
      </c>
      <c r="E706" s="20">
        <v>1.0</v>
      </c>
    </row>
    <row r="707">
      <c r="A707" s="182" t="str">
        <f>IFERROR(__xludf.DUMMYFUNCTION("""COMPUTED_VALUE"""),"Bringer")</f>
        <v>Bringer</v>
      </c>
      <c r="B707" s="187" t="str">
        <f>IFERROR(__xludf.DUMMYFUNCTION("""COMPUTED_VALUE"""),"Clocktower")</f>
        <v>Clocktower</v>
      </c>
      <c r="C707" s="187">
        <f t="shared" si="1"/>
        <v>1</v>
      </c>
      <c r="D707" s="20" t="s">
        <v>3507</v>
      </c>
      <c r="E707" s="20">
        <v>1.0</v>
      </c>
    </row>
    <row r="708">
      <c r="A708" s="182" t="str">
        <f>IFERROR(__xludf.DUMMYFUNCTION("""COMPUTED_VALUE"""),"of")</f>
        <v>of</v>
      </c>
      <c r="B708" s="187" t="str">
        <f>IFERROR(__xludf.DUMMYFUNCTION("""COMPUTED_VALUE"""),"Drake")</f>
        <v>Drake</v>
      </c>
      <c r="C708" s="187">
        <f t="shared" si="1"/>
        <v>1</v>
      </c>
      <c r="D708" s="20" t="s">
        <v>3508</v>
      </c>
      <c r="E708" s="20">
        <v>1.0</v>
      </c>
    </row>
    <row r="709">
      <c r="A709" s="182" t="str">
        <f>IFERROR(__xludf.DUMMYFUNCTION("""COMPUTED_VALUE"""),"Bad")</f>
        <v>Bad</v>
      </c>
      <c r="B709" s="187" t="str">
        <f>IFERROR(__xludf.DUMMYFUNCTION("""COMPUTED_VALUE"""),"Roaming")</f>
        <v>Roaming</v>
      </c>
      <c r="C709" s="187">
        <f t="shared" si="1"/>
        <v>1</v>
      </c>
      <c r="D709" s="20" t="s">
        <v>3509</v>
      </c>
      <c r="E709" s="20">
        <v>1.0</v>
      </c>
    </row>
    <row r="710">
      <c r="A710" s="182" t="str">
        <f>IFERROR(__xludf.DUMMYFUNCTION("""COMPUTED_VALUE"""),"Omens")</f>
        <v>Omens</v>
      </c>
      <c r="B710" s="187" t="str">
        <f>IFERROR(__xludf.DUMMYFUNCTION("""COMPUTED_VALUE"""),"Cherub")</f>
        <v>Cherub</v>
      </c>
      <c r="C710" s="187">
        <f t="shared" si="1"/>
        <v>1</v>
      </c>
      <c r="D710" s="20" t="s">
        <v>2712</v>
      </c>
      <c r="E710" s="20">
        <v>1.0</v>
      </c>
    </row>
    <row r="711">
      <c r="A711" s="182"/>
      <c r="B711" s="187" t="str">
        <f>IFERROR(__xludf.DUMMYFUNCTION("""COMPUTED_VALUE"""),"Bessy")</f>
        <v>Bessy</v>
      </c>
      <c r="C711" s="187">
        <f t="shared" si="1"/>
        <v>1</v>
      </c>
      <c r="D711" s="20" t="s">
        <v>3510</v>
      </c>
      <c r="E711" s="20">
        <v>1.0</v>
      </c>
    </row>
    <row r="712">
      <c r="A712" s="182" t="str">
        <f>IFERROR(__xludf.DUMMYFUNCTION("""COMPUTED_VALUE"""),"Gaunt")</f>
        <v>Gaunt</v>
      </c>
      <c r="B712" s="187" t="str">
        <f>IFERROR(__xludf.DUMMYFUNCTION("""COMPUTED_VALUE"""),"Realmshifter")</f>
        <v>Realmshifter</v>
      </c>
      <c r="C712" s="187">
        <f t="shared" si="1"/>
        <v>1</v>
      </c>
      <c r="D712" s="20" t="s">
        <v>3511</v>
      </c>
      <c r="E712" s="20">
        <v>1.0</v>
      </c>
    </row>
    <row r="713">
      <c r="A713" s="182" t="str">
        <f>IFERROR(__xludf.DUMMYFUNCTION("""COMPUTED_VALUE"""),"Visitation")</f>
        <v>Visitation</v>
      </c>
      <c r="B713" s="187" t="str">
        <f>IFERROR(__xludf.DUMMYFUNCTION("""COMPUTED_VALUE"""),"Shapeshifter")</f>
        <v>Shapeshifter</v>
      </c>
      <c r="C713" s="187">
        <f t="shared" si="1"/>
        <v>1</v>
      </c>
      <c r="D713" s="20" t="s">
        <v>3512</v>
      </c>
      <c r="E713" s="20">
        <v>1.0</v>
      </c>
    </row>
    <row r="714">
      <c r="A714" s="182"/>
      <c r="B714" s="187" t="str">
        <f>IFERROR(__xludf.DUMMYFUNCTION("""COMPUTED_VALUE"""),"Big")</f>
        <v>Big</v>
      </c>
      <c r="C714" s="187">
        <f t="shared" si="1"/>
        <v>1</v>
      </c>
      <c r="D714" s="20" t="s">
        <v>3513</v>
      </c>
      <c r="E714" s="20">
        <v>1.0</v>
      </c>
    </row>
    <row r="715">
      <c r="A715" s="182"/>
      <c r="B715" s="187" t="str">
        <f>IFERROR(__xludf.DUMMYFUNCTION("""COMPUTED_VALUE"""),"Dino")</f>
        <v>Dino</v>
      </c>
      <c r="C715" s="187">
        <f t="shared" si="1"/>
        <v>2</v>
      </c>
      <c r="D715" s="20" t="s">
        <v>3514</v>
      </c>
      <c r="E715" s="20">
        <v>1.0</v>
      </c>
    </row>
    <row r="716">
      <c r="A716" s="182"/>
      <c r="B716" s="187" t="str">
        <f>IFERROR(__xludf.DUMMYFUNCTION("""COMPUTED_VALUE"""),"Boy")</f>
        <v>Boy</v>
      </c>
      <c r="C716" s="187">
        <f t="shared" si="1"/>
        <v>2</v>
      </c>
      <c r="D716" s="20" t="s">
        <v>3515</v>
      </c>
      <c r="E716" s="20">
        <v>1.0</v>
      </c>
    </row>
    <row r="717">
      <c r="A717" s="182" t="str">
        <f>IFERROR(__xludf.DUMMYFUNCTION("""COMPUTED_VALUE"""),"Lightning")</f>
        <v>Lightning</v>
      </c>
      <c r="B717" s="187" t="str">
        <f>IFERROR(__xludf.DUMMYFUNCTION("""COMPUTED_VALUE"""),"Middle")</f>
        <v>Middle</v>
      </c>
      <c r="C717" s="187">
        <f t="shared" si="1"/>
        <v>1</v>
      </c>
      <c r="D717" s="20" t="s">
        <v>2753</v>
      </c>
      <c r="E717" s="20">
        <v>1.0</v>
      </c>
    </row>
    <row r="718">
      <c r="A718" s="182" t="str">
        <f>IFERROR(__xludf.DUMMYFUNCTION("""COMPUTED_VALUE"""),"Manticore")</f>
        <v>Manticore</v>
      </c>
      <c r="B718" s="187" t="str">
        <f>IFERROR(__xludf.DUMMYFUNCTION("""COMPUTED_VALUE"""),"Tsagan")</f>
        <v>Tsagan</v>
      </c>
      <c r="C718" s="187">
        <f t="shared" si="1"/>
        <v>1</v>
      </c>
      <c r="D718" s="20" t="s">
        <v>2760</v>
      </c>
      <c r="E718" s="20">
        <v>1.0</v>
      </c>
    </row>
    <row r="719">
      <c r="A719" s="182"/>
      <c r="B719" s="187" t="str">
        <f>IFERROR(__xludf.DUMMYFUNCTION("""COMPUTED_VALUE"""),"Battlegrounds")</f>
        <v>Battlegrounds</v>
      </c>
      <c r="C719" s="187">
        <f t="shared" si="1"/>
        <v>1</v>
      </c>
      <c r="D719" s="20" t="s">
        <v>3516</v>
      </c>
      <c r="E719" s="20">
        <v>1.0</v>
      </c>
    </row>
    <row r="720">
      <c r="A720" s="182"/>
      <c r="B720" s="187" t="str">
        <f>IFERROR(__xludf.DUMMYFUNCTION("""COMPUTED_VALUE"""),"Metropoleia")</f>
        <v>Metropoleia</v>
      </c>
      <c r="C720" s="187">
        <f t="shared" si="1"/>
        <v>2</v>
      </c>
      <c r="D720" s="20" t="s">
        <v>3517</v>
      </c>
      <c r="E720" s="20">
        <v>1.0</v>
      </c>
    </row>
    <row r="721">
      <c r="A721" s="182"/>
      <c r="B721" s="187" t="str">
        <f>IFERROR(__xludf.DUMMYFUNCTION("""COMPUTED_VALUE"""),"Black")</f>
        <v>Black</v>
      </c>
      <c r="C721" s="187">
        <f t="shared" si="1"/>
        <v>1</v>
      </c>
      <c r="D721" s="20" t="s">
        <v>3518</v>
      </c>
      <c r="E721" s="20">
        <v>1.0</v>
      </c>
    </row>
    <row r="722">
      <c r="A722" s="182" t="str">
        <f>IFERROR(__xludf.DUMMYFUNCTION("""COMPUTED_VALUE"""),"Featherfrost")</f>
        <v>Featherfrost</v>
      </c>
      <c r="B722" s="187" t="str">
        <f>IFERROR(__xludf.DUMMYFUNCTION("""COMPUTED_VALUE"""),"Colosseum")</f>
        <v>Colosseum</v>
      </c>
      <c r="C722" s="187">
        <f t="shared" si="1"/>
        <v>1</v>
      </c>
      <c r="D722" s="20" t="s">
        <v>3519</v>
      </c>
      <c r="E722" s="20">
        <v>1.0</v>
      </c>
    </row>
    <row r="723">
      <c r="A723" s="182" t="str">
        <f>IFERROR(__xludf.DUMMYFUNCTION("""COMPUTED_VALUE"""),"Harpy")</f>
        <v>Harpy</v>
      </c>
      <c r="B723" s="187" t="str">
        <f>IFERROR(__xludf.DUMMYFUNCTION("""COMPUTED_VALUE"""),"Miststrider")</f>
        <v>Miststrider</v>
      </c>
      <c r="C723" s="187">
        <f t="shared" si="1"/>
        <v>2</v>
      </c>
      <c r="D723" s="20" t="s">
        <v>3520</v>
      </c>
      <c r="E723" s="20">
        <v>1.0</v>
      </c>
    </row>
    <row r="724">
      <c r="A724" s="182"/>
      <c r="B724" s="187" t="str">
        <f>IFERROR(__xludf.DUMMYFUNCTION("""COMPUTED_VALUE"""),"Hideout")</f>
        <v>Hideout</v>
      </c>
      <c r="C724" s="187">
        <f t="shared" si="1"/>
        <v>1</v>
      </c>
      <c r="D724" s="20" t="s">
        <v>3521</v>
      </c>
      <c r="E724" s="20">
        <v>1.0</v>
      </c>
    </row>
    <row r="725">
      <c r="A725" s="182"/>
      <c r="B725" s="187" t="str">
        <f>IFERROR(__xludf.DUMMYFUNCTION("""COMPUTED_VALUE"""),"Coatlanti")</f>
        <v>Coatlanti</v>
      </c>
      <c r="C725" s="187">
        <f t="shared" si="1"/>
        <v>1</v>
      </c>
      <c r="D725" s="20" t="s">
        <v>3522</v>
      </c>
      <c r="E725" s="20">
        <v>1.0</v>
      </c>
    </row>
    <row r="726">
      <c r="A726" s="182"/>
      <c r="B726" s="187" t="str">
        <f>IFERROR(__xludf.DUMMYFUNCTION("""COMPUTED_VALUE"""),"Underbrush")</f>
        <v>Underbrush</v>
      </c>
      <c r="C726" s="187">
        <f t="shared" si="1"/>
        <v>1</v>
      </c>
      <c r="D726" s="20" t="s">
        <v>3523</v>
      </c>
      <c r="E726" s="20">
        <v>1.0</v>
      </c>
    </row>
    <row r="727">
      <c r="A727" s="182" t="str">
        <f>IFERROR(__xludf.DUMMYFUNCTION("""COMPUTED_VALUE"""),"Raging")</f>
        <v>Raging</v>
      </c>
      <c r="B727" s="187" t="str">
        <f>IFERROR(__xludf.DUMMYFUNCTION("""COMPUTED_VALUE"""),"Moonspire")</f>
        <v>Moonspire</v>
      </c>
      <c r="C727" s="187">
        <f t="shared" si="1"/>
        <v>1</v>
      </c>
      <c r="D727" s="20" t="s">
        <v>3524</v>
      </c>
      <c r="E727" s="20">
        <v>1.0</v>
      </c>
    </row>
    <row r="728">
      <c r="A728" s="182" t="str">
        <f>IFERROR(__xludf.DUMMYFUNCTION("""COMPUTED_VALUE"""),"Minotaur")</f>
        <v>Minotaur</v>
      </c>
      <c r="B728" s="187" t="str">
        <f>IFERROR(__xludf.DUMMYFUNCTION("""COMPUTED_VALUE"""),"Outpost")</f>
        <v>Outpost</v>
      </c>
      <c r="C728" s="187">
        <f t="shared" si="1"/>
        <v>1</v>
      </c>
      <c r="D728" s="20" t="s">
        <v>3525</v>
      </c>
      <c r="E728" s="20">
        <v>1.0</v>
      </c>
    </row>
    <row r="729">
      <c r="A729" s="182"/>
      <c r="B729" s="187" t="str">
        <f>IFERROR(__xludf.DUMMYFUNCTION("""COMPUTED_VALUE"""),"Thundercrest")</f>
        <v>Thundercrest</v>
      </c>
      <c r="C729" s="187">
        <f t="shared" si="1"/>
        <v>1</v>
      </c>
      <c r="D729" s="20" t="s">
        <v>3526</v>
      </c>
      <c r="E729" s="20">
        <v>1.0</v>
      </c>
    </row>
    <row r="730">
      <c r="A730" s="182"/>
      <c r="B730" s="187" t="str">
        <f>IFERROR(__xludf.DUMMYFUNCTION("""COMPUTED_VALUE"""),"Peaks")</f>
        <v>Peaks</v>
      </c>
      <c r="C730" s="187">
        <f t="shared" si="1"/>
        <v>1</v>
      </c>
      <c r="D730" s="20" t="s">
        <v>3527</v>
      </c>
      <c r="E730" s="20">
        <v>1.0</v>
      </c>
    </row>
    <row r="731">
      <c r="A731" s="182"/>
      <c r="B731" s="187" t="str">
        <f>IFERROR(__xludf.DUMMYFUNCTION("""COMPUTED_VALUE"""),"Empire")</f>
        <v>Empire</v>
      </c>
      <c r="C731" s="187">
        <f t="shared" si="1"/>
        <v>1</v>
      </c>
      <c r="D731" s="20" t="s">
        <v>3528</v>
      </c>
      <c r="E731" s="20">
        <v>1.0</v>
      </c>
    </row>
    <row r="732">
      <c r="A732" s="182" t="str">
        <f>IFERROR(__xludf.DUMMYFUNCTION("""COMPUTED_VALUE"""),"Raijin")</f>
        <v>Raijin</v>
      </c>
      <c r="B732" s="187" t="str">
        <f>IFERROR(__xludf.DUMMYFUNCTION("""COMPUTED_VALUE"""),"Barracks")</f>
        <v>Barracks</v>
      </c>
      <c r="C732" s="187">
        <f t="shared" si="1"/>
        <v>1</v>
      </c>
      <c r="D732" s="20" t="s">
        <v>3529</v>
      </c>
      <c r="E732" s="20">
        <v>1.0</v>
      </c>
    </row>
    <row r="733">
      <c r="A733" s="182"/>
      <c r="B733" s="187" t="str">
        <f>IFERROR(__xludf.DUMMYFUNCTION("""COMPUTED_VALUE"""),"Xotchli")</f>
        <v>Xotchli</v>
      </c>
      <c r="C733" s="187">
        <f t="shared" si="1"/>
        <v>1</v>
      </c>
      <c r="D733" s="20" t="s">
        <v>3530</v>
      </c>
      <c r="E733" s="20">
        <v>1.0</v>
      </c>
    </row>
    <row r="734">
      <c r="A734" s="182"/>
      <c r="B734" s="187" t="str">
        <f>IFERROR(__xludf.DUMMYFUNCTION("""COMPUTED_VALUE"""),"Sanctuary")</f>
        <v>Sanctuary</v>
      </c>
      <c r="C734" s="187">
        <f t="shared" si="1"/>
        <v>1</v>
      </c>
      <c r="D734" s="20" t="s">
        <v>3531</v>
      </c>
      <c r="E734" s="20">
        <v>1.0</v>
      </c>
    </row>
    <row r="735">
      <c r="A735" s="182"/>
      <c r="B735" s="187" t="str">
        <f>IFERROR(__xludf.DUMMYFUNCTION("""COMPUTED_VALUE"""),"Undercity")</f>
        <v>Undercity</v>
      </c>
      <c r="C735" s="187">
        <f t="shared" si="1"/>
        <v>1</v>
      </c>
      <c r="D735" s="20" t="s">
        <v>3532</v>
      </c>
      <c r="E735" s="20">
        <v>1.0</v>
      </c>
    </row>
    <row r="736">
      <c r="A736" s="182"/>
      <c r="B736" s="187" t="str">
        <f>IFERROR(__xludf.DUMMYFUNCTION("""COMPUTED_VALUE"""),"Crypts")</f>
        <v>Crypts</v>
      </c>
      <c r="C736" s="187">
        <f t="shared" si="1"/>
        <v>1</v>
      </c>
      <c r="D736" s="20" t="s">
        <v>3533</v>
      </c>
      <c r="E736" s="20">
        <v>1.0</v>
      </c>
    </row>
    <row r="737">
      <c r="A737" s="182" t="str">
        <f>IFERROR(__xludf.DUMMYFUNCTION("""COMPUTED_VALUE"""),"Venomshade")</f>
        <v>Venomshade</v>
      </c>
      <c r="B737" s="187" t="str">
        <f>IFERROR(__xludf.DUMMYFUNCTION("""COMPUTED_VALUE"""),"Treasury")</f>
        <v>Treasury</v>
      </c>
      <c r="C737" s="187">
        <f t="shared" si="1"/>
        <v>1</v>
      </c>
      <c r="D737" s="20" t="s">
        <v>3534</v>
      </c>
      <c r="E737" s="20">
        <v>1.0</v>
      </c>
    </row>
    <row r="738">
      <c r="A738" s="182" t="str">
        <f>IFERROR(__xludf.DUMMYFUNCTION("""COMPUTED_VALUE"""),"Lamia")</f>
        <v>Lamia</v>
      </c>
      <c r="B738" s="187" t="str">
        <f>IFERROR(__xludf.DUMMYFUNCTION("""COMPUTED_VALUE"""),"Bataarbad")</f>
        <v>Bataarbad</v>
      </c>
      <c r="C738" s="187">
        <f t="shared" si="1"/>
        <v>1</v>
      </c>
      <c r="D738" s="20" t="s">
        <v>3535</v>
      </c>
      <c r="E738" s="20">
        <v>1.0</v>
      </c>
    </row>
    <row r="739">
      <c r="A739" s="182"/>
      <c r="B739" s="187" t="str">
        <f>IFERROR(__xludf.DUMMYFUNCTION("""COMPUTED_VALUE"""),"Expanse")</f>
        <v>Expanse</v>
      </c>
      <c r="C739" s="187">
        <f t="shared" si="1"/>
        <v>1</v>
      </c>
      <c r="D739" s="20" t="s">
        <v>3536</v>
      </c>
      <c r="E739" s="20">
        <v>1.0</v>
      </c>
    </row>
    <row r="740">
      <c r="A740" s="182"/>
      <c r="B740" s="187" t="str">
        <f>IFERROR(__xludf.DUMMYFUNCTION("""COMPUTED_VALUE"""),"Sunburst")</f>
        <v>Sunburst</v>
      </c>
      <c r="C740" s="187">
        <f t="shared" si="1"/>
        <v>1</v>
      </c>
      <c r="D740" s="20" t="s">
        <v>3537</v>
      </c>
      <c r="E740" s="20">
        <v>1.0</v>
      </c>
    </row>
    <row r="741">
      <c r="A741" s="182"/>
      <c r="B741" s="187" t="str">
        <f>IFERROR(__xludf.DUMMYFUNCTION("""COMPUTED_VALUE"""),"Valley")</f>
        <v>Valley</v>
      </c>
      <c r="C741" s="187">
        <f t="shared" si="1"/>
        <v>2</v>
      </c>
      <c r="D741" s="20" t="s">
        <v>3538</v>
      </c>
      <c r="E741" s="20">
        <v>1.0</v>
      </c>
    </row>
    <row r="742">
      <c r="A742" s="182" t="str">
        <f>IFERROR(__xludf.DUMMYFUNCTION("""COMPUTED_VALUE"""),"Volcano")</f>
        <v>Volcano</v>
      </c>
      <c r="B742" s="187" t="str">
        <f>IFERROR(__xludf.DUMMYFUNCTION("""COMPUTED_VALUE"""),"Terrain")</f>
        <v>Terrain</v>
      </c>
      <c r="C742" s="187">
        <f t="shared" si="1"/>
        <v>9</v>
      </c>
      <c r="D742" s="20" t="s">
        <v>3539</v>
      </c>
      <c r="E742" s="20">
        <v>1.0</v>
      </c>
    </row>
    <row r="743">
      <c r="A743" s="182" t="str">
        <f>IFERROR(__xludf.DUMMYFUNCTION("""COMPUTED_VALUE"""),"Embodiment")</f>
        <v>Embodiment</v>
      </c>
      <c r="B743" s="187" t="str">
        <f>IFERROR(__xludf.DUMMYFUNCTION("""COMPUTED_VALUE"""),"#1")</f>
        <v>#1</v>
      </c>
      <c r="C743" s="187">
        <f t="shared" si="1"/>
        <v>1</v>
      </c>
      <c r="D743" s="20" t="s">
        <v>3540</v>
      </c>
      <c r="E743" s="20">
        <v>1.0</v>
      </c>
    </row>
    <row r="744">
      <c r="A744" s="182"/>
      <c r="B744" s="187" t="str">
        <f>IFERROR(__xludf.DUMMYFUNCTION("""COMPUTED_VALUE"""),"#2")</f>
        <v>#2</v>
      </c>
      <c r="C744" s="187">
        <f t="shared" si="1"/>
        <v>1</v>
      </c>
      <c r="D744" s="20" t="s">
        <v>3541</v>
      </c>
      <c r="E744" s="20">
        <v>1.0</v>
      </c>
    </row>
    <row r="745">
      <c r="A745" s="182"/>
      <c r="B745" s="187" t="str">
        <f>IFERROR(__xludf.DUMMYFUNCTION("""COMPUTED_VALUE"""),"#3")</f>
        <v>#3</v>
      </c>
      <c r="C745" s="187">
        <f t="shared" si="1"/>
        <v>1</v>
      </c>
      <c r="D745" s="20" t="s">
        <v>3542</v>
      </c>
      <c r="E745" s="20">
        <v>1.0</v>
      </c>
    </row>
    <row r="746">
      <c r="A746" s="182"/>
      <c r="B746" s="187" t="str">
        <f>IFERROR(__xludf.DUMMYFUNCTION("""COMPUTED_VALUE"""),"#4")</f>
        <v>#4</v>
      </c>
      <c r="C746" s="187">
        <f t="shared" si="1"/>
        <v>1</v>
      </c>
      <c r="D746" s="20" t="s">
        <v>3543</v>
      </c>
      <c r="E746" s="20">
        <v>1.0</v>
      </c>
    </row>
    <row r="747">
      <c r="A747" s="182" t="str">
        <f>IFERROR(__xludf.DUMMYFUNCTION("""COMPUTED_VALUE"""),"Shardhorde")</f>
        <v>Shardhorde</v>
      </c>
      <c r="B747" s="187" t="str">
        <f>IFERROR(__xludf.DUMMYFUNCTION("""COMPUTED_VALUE"""),"#5")</f>
        <v>#5</v>
      </c>
      <c r="C747" s="187">
        <f t="shared" si="1"/>
        <v>1</v>
      </c>
      <c r="D747" s="20" t="s">
        <v>3544</v>
      </c>
      <c r="E747" s="20">
        <v>1.0</v>
      </c>
    </row>
    <row r="748">
      <c r="A748" s="182" t="str">
        <f>IFERROR(__xludf.DUMMYFUNCTION("""COMPUTED_VALUE"""),"Leviathan")</f>
        <v>Leviathan</v>
      </c>
      <c r="B748" s="187" t="str">
        <f>IFERROR(__xludf.DUMMYFUNCTION("""COMPUTED_VALUE"""),"#6")</f>
        <v>#6</v>
      </c>
      <c r="C748" s="187">
        <f t="shared" si="1"/>
        <v>1</v>
      </c>
      <c r="D748" s="20" t="s">
        <v>3545</v>
      </c>
      <c r="E748" s="20">
        <v>1.0</v>
      </c>
    </row>
    <row r="749">
      <c r="A749" s="182"/>
      <c r="B749" s="187" t="str">
        <f>IFERROR(__xludf.DUMMYFUNCTION("""COMPUTED_VALUE"""),"#7")</f>
        <v>#7</v>
      </c>
      <c r="C749" s="187">
        <f t="shared" si="1"/>
        <v>1</v>
      </c>
      <c r="D749" s="20" t="s">
        <v>3546</v>
      </c>
      <c r="E749" s="20">
        <v>1.0</v>
      </c>
    </row>
    <row r="750">
      <c r="A750" s="182"/>
      <c r="B750" s="187" t="str">
        <f>IFERROR(__xludf.DUMMYFUNCTION("""COMPUTED_VALUE"""),"#8")</f>
        <v>#8</v>
      </c>
      <c r="C750" s="187">
        <f t="shared" si="1"/>
        <v>1</v>
      </c>
      <c r="D750" s="20" t="s">
        <v>3547</v>
      </c>
      <c r="E750" s="20">
        <v>1.0</v>
      </c>
    </row>
    <row r="751">
      <c r="A751" s="182"/>
      <c r="B751" s="187" t="str">
        <f>IFERROR(__xludf.DUMMYFUNCTION("""COMPUTED_VALUE"""),"#9")</f>
        <v>#9</v>
      </c>
      <c r="C751" s="187">
        <f t="shared" si="1"/>
        <v>1</v>
      </c>
      <c r="D751" s="20" t="s">
        <v>3548</v>
      </c>
      <c r="E751" s="20">
        <v>1.0</v>
      </c>
    </row>
    <row r="752">
      <c r="A752" s="182" t="str">
        <f>IFERROR(__xludf.DUMMYFUNCTION("""COMPUTED_VALUE"""),"Tectonic")</f>
        <v>Tectonic</v>
      </c>
      <c r="B752" s="187" t="str">
        <f>IFERROR(__xludf.DUMMYFUNCTION("""COMPUTED_VALUE"""),"Sainkhu")</f>
        <v>Sainkhu</v>
      </c>
      <c r="C752" s="187">
        <f t="shared" si="1"/>
        <v>1</v>
      </c>
      <c r="D752" s="20" t="s">
        <v>3549</v>
      </c>
      <c r="E752" s="20">
        <v>1.0</v>
      </c>
    </row>
    <row r="753">
      <c r="A753" s="182" t="str">
        <f>IFERROR(__xludf.DUMMYFUNCTION("""COMPUTED_VALUE"""),"Shifter")</f>
        <v>Shifter</v>
      </c>
      <c r="B753" s="187" t="str">
        <f>IFERROR(__xludf.DUMMYFUNCTION("""COMPUTED_VALUE"""),"Groves")</f>
        <v>Groves</v>
      </c>
      <c r="C753" s="187">
        <f t="shared" si="1"/>
        <v>1</v>
      </c>
      <c r="D753" s="20" t="s">
        <v>3550</v>
      </c>
      <c r="E753" s="20">
        <v>1.0</v>
      </c>
    </row>
    <row r="754">
      <c r="A754" s="182"/>
      <c r="B754" s="187" t="str">
        <f>IFERROR(__xludf.DUMMYFUNCTION("""COMPUTED_VALUE"""),"Duststorm")</f>
        <v>Duststorm</v>
      </c>
      <c r="C754" s="187">
        <f t="shared" si="1"/>
        <v>1</v>
      </c>
      <c r="D754" s="20" t="s">
        <v>3551</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3552</v>
      </c>
      <c r="L1" s="188" t="s">
        <v>3553</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540</v>
      </c>
      <c r="F143" s="34" t="s">
        <v>966</v>
      </c>
      <c r="G143" s="34" t="s">
        <v>664</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652</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991</v>
      </c>
      <c r="F147" s="34" t="s">
        <v>992</v>
      </c>
      <c r="G147" s="34" t="s">
        <v>993</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995</v>
      </c>
      <c r="G148" s="34" t="s">
        <v>996</v>
      </c>
      <c r="H148" s="34">
        <v>7.0</v>
      </c>
      <c r="I148" s="34" t="s">
        <v>997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1010</v>
      </c>
      <c r="F149" s="34" t="s">
        <v>1011</v>
      </c>
      <c r="G149" s="34" t="s">
        <v>1012</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1014</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1027</v>
      </c>
      <c r="H151" s="34">
        <v>9.0</v>
      </c>
      <c r="I151" s="34" t="s">
        <v>1028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1041</v>
      </c>
      <c r="F152" s="34" t="s">
        <v>1042</v>
      </c>
      <c r="G152" s="34" t="s">
        <v>1043</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1051</v>
      </c>
      <c r="D153" s="34">
        <v>2.0</v>
      </c>
      <c r="E153" s="34" t="s">
        <v>39</v>
      </c>
      <c r="F153" s="34" t="s">
        <v>1052</v>
      </c>
      <c r="G153" s="34" t="s">
        <v>1053</v>
      </c>
      <c r="H153" s="34">
        <v>2.0</v>
      </c>
      <c r="I153" s="34" t="s">
        <v>1054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1056</v>
      </c>
      <c r="G154" s="34" t="s">
        <v>1057</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1066</v>
      </c>
      <c r="G155" s="34" t="s">
        <v>1067</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1051</v>
      </c>
      <c r="D156" s="34">
        <v>2.0</v>
      </c>
      <c r="E156" s="34" t="s">
        <v>697</v>
      </c>
      <c r="F156" s="34" t="s">
        <v>1077</v>
      </c>
      <c r="G156" s="34" t="s">
        <v>698</v>
      </c>
      <c r="H156" s="34">
        <v>2.0</v>
      </c>
      <c r="I156" s="34" t="s">
        <v>1078</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1080</v>
      </c>
      <c r="F157" s="34" t="s">
        <v>1081</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1090</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1100</v>
      </c>
      <c r="G159" s="34" t="s">
        <v>1101</v>
      </c>
      <c r="H159" s="34">
        <v>1.0</v>
      </c>
      <c r="I159" s="34" t="s">
        <v>1102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1051</v>
      </c>
      <c r="D160" s="34">
        <v>2.0</v>
      </c>
      <c r="E160" s="34" t="s">
        <v>1109</v>
      </c>
      <c r="F160" s="34" t="s">
        <v>1110</v>
      </c>
      <c r="G160" s="34" t="s">
        <v>1111</v>
      </c>
      <c r="H160" s="34">
        <v>4.0</v>
      </c>
      <c r="I160" s="34" t="s">
        <v>1112</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1114</v>
      </c>
      <c r="F161" s="34" t="s">
        <v>1115</v>
      </c>
      <c r="G161" s="34" t="s">
        <v>1116</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1129</v>
      </c>
      <c r="G162" s="34" t="s">
        <v>1130</v>
      </c>
      <c r="H162" s="34">
        <v>5.0</v>
      </c>
      <c r="I162" s="34" t="s">
        <v>1131</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1051</v>
      </c>
      <c r="D163" s="34">
        <v>2.0</v>
      </c>
      <c r="E163" s="34" t="s">
        <v>39</v>
      </c>
      <c r="F163" s="34" t="s">
        <v>1142</v>
      </c>
      <c r="G163" s="34" t="s">
        <v>215</v>
      </c>
      <c r="H163" s="34">
        <v>2.0</v>
      </c>
      <c r="I163" s="34" t="s">
        <v>1143</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1051</v>
      </c>
      <c r="D164" s="34">
        <v>2.0</v>
      </c>
      <c r="E164" s="34" t="s">
        <v>151</v>
      </c>
      <c r="F164" s="34" t="s">
        <v>1145</v>
      </c>
      <c r="G164" s="34" t="s">
        <v>1146</v>
      </c>
      <c r="H164" s="34">
        <v>4.0</v>
      </c>
      <c r="I164" s="34" t="s">
        <v>1143</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1148</v>
      </c>
      <c r="F165" s="34"/>
      <c r="G165" s="34" t="s">
        <v>1149</v>
      </c>
      <c r="H165" s="34">
        <v>2.0</v>
      </c>
      <c r="I165" s="34" t="s">
        <v>1150</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1163</v>
      </c>
      <c r="G166" s="34" t="s">
        <v>1164</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1051</v>
      </c>
      <c r="D167" s="34">
        <v>2.0</v>
      </c>
      <c r="E167" s="34" t="s">
        <v>39</v>
      </c>
      <c r="F167" s="34" t="s">
        <v>1177</v>
      </c>
      <c r="G167" s="34" t="s">
        <v>660</v>
      </c>
      <c r="H167" s="34">
        <v>3.0</v>
      </c>
      <c r="I167" s="34" t="s">
        <v>1078</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1179</v>
      </c>
      <c r="G168" s="34" t="s">
        <v>1180</v>
      </c>
      <c r="H168" s="34">
        <v>6.0</v>
      </c>
      <c r="I168" s="34" t="s">
        <v>1181</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1194</v>
      </c>
      <c r="F169" s="34"/>
      <c r="G169" s="34" t="s">
        <v>1195</v>
      </c>
      <c r="H169" s="34">
        <v>2.0</v>
      </c>
      <c r="I169" s="34" t="s">
        <v>1196</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1051</v>
      </c>
      <c r="D170" s="34">
        <v>2.0</v>
      </c>
      <c r="E170" s="34" t="s">
        <v>324</v>
      </c>
      <c r="F170" s="34" t="s">
        <v>1207</v>
      </c>
      <c r="G170" s="34" t="s">
        <v>1208</v>
      </c>
      <c r="H170" s="34">
        <v>3.0</v>
      </c>
      <c r="I170" s="34" t="s">
        <v>1054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1051</v>
      </c>
      <c r="D171" s="34">
        <v>2.0</v>
      </c>
      <c r="E171" s="34" t="s">
        <v>448</v>
      </c>
      <c r="F171" s="34" t="s">
        <v>1210</v>
      </c>
      <c r="G171" s="34" t="s">
        <v>1211</v>
      </c>
      <c r="H171" s="34">
        <v>2.0</v>
      </c>
      <c r="I171" s="34" t="s">
        <v>1212</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1051</v>
      </c>
      <c r="D172" s="34">
        <v>2.0</v>
      </c>
      <c r="E172" s="34" t="s">
        <v>151</v>
      </c>
      <c r="F172" s="34" t="s">
        <v>1214</v>
      </c>
      <c r="G172" s="34" t="s">
        <v>664</v>
      </c>
      <c r="H172" s="34">
        <v>4.0</v>
      </c>
      <c r="I172" s="34" t="s">
        <v>1215</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1051</v>
      </c>
      <c r="D173" s="34">
        <v>2.0</v>
      </c>
      <c r="E173" s="34" t="s">
        <v>324</v>
      </c>
      <c r="F173" s="34" t="s">
        <v>1217</v>
      </c>
      <c r="G173" s="34" t="s">
        <v>1218</v>
      </c>
      <c r="H173" s="34">
        <v>4.0</v>
      </c>
      <c r="I173" s="34" t="s">
        <v>1215</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1051</v>
      </c>
      <c r="D174" s="34">
        <v>2.0</v>
      </c>
      <c r="E174" s="34" t="s">
        <v>39</v>
      </c>
      <c r="F174" s="34" t="s">
        <v>1220</v>
      </c>
      <c r="G174" s="34" t="s">
        <v>1221</v>
      </c>
      <c r="H174" s="34">
        <v>1.0</v>
      </c>
      <c r="I174" s="34" t="s">
        <v>1212</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1223</v>
      </c>
      <c r="F175" s="34" t="s">
        <v>1224</v>
      </c>
      <c r="G175" s="34" t="s">
        <v>1225</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1051</v>
      </c>
      <c r="D176" s="34">
        <v>2.0</v>
      </c>
      <c r="E176" s="34" t="s">
        <v>151</v>
      </c>
      <c r="F176" s="34" t="s">
        <v>1234</v>
      </c>
      <c r="G176" s="34" t="s">
        <v>1235</v>
      </c>
      <c r="H176" s="34">
        <v>3.0</v>
      </c>
      <c r="I176" s="34" t="s">
        <v>1215</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814</v>
      </c>
      <c r="F177" s="34" t="s">
        <v>1237</v>
      </c>
      <c r="G177" s="34" t="s">
        <v>1238</v>
      </c>
      <c r="H177" s="34">
        <v>5.0</v>
      </c>
      <c r="I177" s="34" t="s">
        <v>1239</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1051</v>
      </c>
      <c r="D178" s="34">
        <v>2.0</v>
      </c>
      <c r="E178" s="34" t="s">
        <v>337</v>
      </c>
      <c r="F178" s="34" t="s">
        <v>1245</v>
      </c>
      <c r="G178" s="34" t="s">
        <v>1246</v>
      </c>
      <c r="H178" s="34">
        <v>3.0</v>
      </c>
      <c r="I178" s="34" t="s">
        <v>1143</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1248</v>
      </c>
      <c r="F179" s="34"/>
      <c r="G179" s="34" t="s">
        <v>1249</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1051</v>
      </c>
      <c r="D180" s="34">
        <v>1.0</v>
      </c>
      <c r="E180" s="34" t="s">
        <v>655</v>
      </c>
      <c r="F180" s="34" t="s">
        <v>1262</v>
      </c>
      <c r="G180" s="34" t="s">
        <v>1263</v>
      </c>
      <c r="H180" s="34">
        <v>3.0</v>
      </c>
      <c r="I180" s="34" t="s">
        <v>1054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1051</v>
      </c>
      <c r="D181" s="34">
        <v>2.0</v>
      </c>
      <c r="E181" s="34" t="s">
        <v>82</v>
      </c>
      <c r="F181" s="34" t="s">
        <v>1272</v>
      </c>
      <c r="G181" s="34" t="s">
        <v>1273</v>
      </c>
      <c r="H181" s="34">
        <v>3.0</v>
      </c>
      <c r="I181" s="34" t="s">
        <v>1143</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1051</v>
      </c>
      <c r="D182" s="34">
        <v>1.0</v>
      </c>
      <c r="E182" s="34" t="s">
        <v>662</v>
      </c>
      <c r="F182" s="34" t="s">
        <v>1275</v>
      </c>
      <c r="G182" s="34" t="s">
        <v>1276</v>
      </c>
      <c r="H182" s="34">
        <v>1.0</v>
      </c>
      <c r="I182" s="34" t="s">
        <v>1078</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1051</v>
      </c>
      <c r="D183" s="34">
        <v>2.0</v>
      </c>
      <c r="E183" s="34" t="s">
        <v>39</v>
      </c>
      <c r="F183" s="34" t="s">
        <v>1286</v>
      </c>
      <c r="G183" s="34" t="s">
        <v>1287</v>
      </c>
      <c r="H183" s="34">
        <v>3.0</v>
      </c>
      <c r="I183" s="34" t="s">
        <v>1143</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1051</v>
      </c>
      <c r="D184" s="34">
        <v>0.0</v>
      </c>
      <c r="E184" s="34" t="s">
        <v>240</v>
      </c>
      <c r="F184" s="34" t="s">
        <v>1289</v>
      </c>
      <c r="G184" s="34" t="s">
        <v>1290</v>
      </c>
      <c r="H184" s="34">
        <v>4.0</v>
      </c>
      <c r="I184" s="34" t="s">
        <v>1215</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1051</v>
      </c>
      <c r="D185" s="34">
        <v>2.0</v>
      </c>
      <c r="E185" s="34" t="s">
        <v>1010</v>
      </c>
      <c r="F185" s="34" t="s">
        <v>1292</v>
      </c>
      <c r="G185" s="34" t="s">
        <v>660</v>
      </c>
      <c r="H185" s="34">
        <v>2.0</v>
      </c>
      <c r="I185" s="34" t="s">
        <v>1293</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1051</v>
      </c>
      <c r="D186" s="34">
        <v>1.0</v>
      </c>
      <c r="E186" s="34" t="s">
        <v>39</v>
      </c>
      <c r="F186" s="34" t="s">
        <v>62</v>
      </c>
      <c r="G186" s="34" t="s">
        <v>1295</v>
      </c>
      <c r="H186" s="34">
        <v>1.0</v>
      </c>
      <c r="I186" s="34" t="s">
        <v>1212</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1051</v>
      </c>
      <c r="D187" s="34">
        <v>2.0</v>
      </c>
      <c r="E187" s="34" t="s">
        <v>113</v>
      </c>
      <c r="F187" s="34" t="s">
        <v>1307</v>
      </c>
      <c r="G187" s="34" t="s">
        <v>1308</v>
      </c>
      <c r="H187" s="34">
        <v>1.0</v>
      </c>
      <c r="I187" s="34" t="s">
        <v>1212</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1051</v>
      </c>
      <c r="D188" s="34">
        <v>1.0</v>
      </c>
      <c r="E188" s="34" t="s">
        <v>135</v>
      </c>
      <c r="F188" s="34" t="s">
        <v>1310</v>
      </c>
      <c r="G188" s="34" t="s">
        <v>1311</v>
      </c>
      <c r="H188" s="34">
        <v>3.0</v>
      </c>
      <c r="I188" s="34" t="s">
        <v>1312</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1051</v>
      </c>
      <c r="D189" s="34">
        <v>1.0</v>
      </c>
      <c r="E189" s="34" t="s">
        <v>435</v>
      </c>
      <c r="F189" s="34" t="s">
        <v>1320</v>
      </c>
      <c r="G189" s="34" t="s">
        <v>1321</v>
      </c>
      <c r="H189" s="34">
        <v>2.0</v>
      </c>
      <c r="I189" s="34" t="s">
        <v>1143</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1051</v>
      </c>
      <c r="D190" s="34">
        <v>1.0</v>
      </c>
      <c r="E190" s="34" t="s">
        <v>82</v>
      </c>
      <c r="F190" s="34" t="s">
        <v>1331</v>
      </c>
      <c r="G190" s="34" t="s">
        <v>1332</v>
      </c>
      <c r="H190" s="34">
        <v>4.0</v>
      </c>
      <c r="I190" s="34" t="s">
        <v>1333</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1051</v>
      </c>
      <c r="D191" s="34">
        <v>1.0</v>
      </c>
      <c r="E191" s="34" t="s">
        <v>1010</v>
      </c>
      <c r="F191" s="34" t="s">
        <v>1341</v>
      </c>
      <c r="G191" s="34" t="s">
        <v>1342</v>
      </c>
      <c r="H191" s="34">
        <v>6.0</v>
      </c>
      <c r="I191" s="34" t="s">
        <v>1343</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1051</v>
      </c>
      <c r="D192" s="34">
        <v>2.0</v>
      </c>
      <c r="E192" s="34" t="s">
        <v>113</v>
      </c>
      <c r="F192" s="34" t="s">
        <v>1352</v>
      </c>
      <c r="G192" s="34" t="s">
        <v>1353</v>
      </c>
      <c r="H192" s="34">
        <v>1.0</v>
      </c>
      <c r="I192" s="34" t="s">
        <v>1078</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1051</v>
      </c>
      <c r="D193" s="34">
        <v>2.0</v>
      </c>
      <c r="E193" s="34" t="s">
        <v>252</v>
      </c>
      <c r="F193" s="34" t="s">
        <v>1355</v>
      </c>
      <c r="G193" s="34" t="s">
        <v>26</v>
      </c>
      <c r="H193" s="34">
        <v>6.0</v>
      </c>
      <c r="I193" s="34" t="s">
        <v>1312</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1051</v>
      </c>
      <c r="D194" s="34">
        <v>1.0</v>
      </c>
      <c r="E194" s="34" t="s">
        <v>113</v>
      </c>
      <c r="F194" s="34" t="s">
        <v>1357</v>
      </c>
      <c r="G194" s="34" t="s">
        <v>1358</v>
      </c>
      <c r="H194" s="34">
        <v>2.0</v>
      </c>
      <c r="I194" s="34" t="s">
        <v>1359</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1051</v>
      </c>
      <c r="D195" s="34">
        <v>2.0</v>
      </c>
      <c r="E195" s="34" t="s">
        <v>1010</v>
      </c>
      <c r="F195" s="34" t="s">
        <v>1367</v>
      </c>
      <c r="G195" s="34" t="s">
        <v>26</v>
      </c>
      <c r="H195" s="34">
        <v>1.0</v>
      </c>
      <c r="I195" s="34" t="s">
        <v>1212</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1051</v>
      </c>
      <c r="D196" s="34">
        <v>1.0</v>
      </c>
      <c r="E196" s="34" t="s">
        <v>448</v>
      </c>
      <c r="F196" s="34" t="s">
        <v>1369</v>
      </c>
      <c r="G196" s="34" t="s">
        <v>1370</v>
      </c>
      <c r="H196" s="34">
        <v>1.0</v>
      </c>
      <c r="I196" s="34" t="s">
        <v>1078</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1051</v>
      </c>
      <c r="D197" s="34">
        <v>1.0</v>
      </c>
      <c r="E197" s="34" t="s">
        <v>1010</v>
      </c>
      <c r="F197" s="34" t="s">
        <v>1380</v>
      </c>
      <c r="G197" s="34" t="s">
        <v>1381</v>
      </c>
      <c r="H197" s="34">
        <v>0.0</v>
      </c>
      <c r="I197" s="34" t="s">
        <v>1333</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1051</v>
      </c>
      <c r="D198" s="34">
        <v>1.0</v>
      </c>
      <c r="E198" s="34" t="s">
        <v>113</v>
      </c>
      <c r="F198" s="34" t="s">
        <v>1389</v>
      </c>
      <c r="G198" s="34" t="s">
        <v>1390</v>
      </c>
      <c r="H198" s="34">
        <v>2.0</v>
      </c>
      <c r="I198" s="34" t="s">
        <v>1054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1051</v>
      </c>
      <c r="D199" s="34">
        <v>1.0</v>
      </c>
      <c r="E199" s="34" t="s">
        <v>151</v>
      </c>
      <c r="F199" s="34" t="s">
        <v>1395</v>
      </c>
      <c r="G199" s="34" t="s">
        <v>1396</v>
      </c>
      <c r="H199" s="34">
        <v>4.0</v>
      </c>
      <c r="I199" s="34" t="s">
        <v>1143</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1051</v>
      </c>
      <c r="D200" s="34">
        <v>1.0</v>
      </c>
      <c r="E200" s="34" t="s">
        <v>39</v>
      </c>
      <c r="F200" s="34" t="s">
        <v>1406</v>
      </c>
      <c r="G200" s="34" t="s">
        <v>1407</v>
      </c>
      <c r="H200" s="34">
        <v>1.0</v>
      </c>
      <c r="I200" s="34" t="s">
        <v>1078</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1051</v>
      </c>
      <c r="D201" s="34">
        <v>2.0</v>
      </c>
      <c r="E201" s="34" t="s">
        <v>1413</v>
      </c>
      <c r="F201" s="34" t="s">
        <v>1414</v>
      </c>
      <c r="G201" s="34" t="s">
        <v>1415</v>
      </c>
      <c r="H201" s="34">
        <v>5.0</v>
      </c>
      <c r="I201" s="34" t="s">
        <v>1112</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1417</v>
      </c>
      <c r="D202" s="34">
        <v>2.0</v>
      </c>
      <c r="E202" s="34" t="s">
        <v>1418</v>
      </c>
      <c r="F202" s="34" t="s">
        <v>1419</v>
      </c>
      <c r="G202" s="34" t="s">
        <v>26</v>
      </c>
      <c r="H202" s="34">
        <v>7.0</v>
      </c>
      <c r="I202" s="34" t="s">
        <v>1420</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1051</v>
      </c>
      <c r="D203" s="34">
        <v>1.0</v>
      </c>
      <c r="E203" s="34" t="s">
        <v>252</v>
      </c>
      <c r="F203" s="34" t="s">
        <v>1422</v>
      </c>
      <c r="G203" s="34" t="s">
        <v>1423</v>
      </c>
      <c r="H203" s="34">
        <v>2.0</v>
      </c>
      <c r="I203" s="34" t="s">
        <v>1054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1417</v>
      </c>
      <c r="D204" s="34">
        <v>2.0</v>
      </c>
      <c r="E204" s="34" t="s">
        <v>410</v>
      </c>
      <c r="F204" s="34" t="s">
        <v>1429</v>
      </c>
      <c r="G204" s="34" t="s">
        <v>1430</v>
      </c>
      <c r="H204" s="34">
        <v>3.0</v>
      </c>
      <c r="I204" s="34" t="s">
        <v>1431</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1051</v>
      </c>
      <c r="D205" s="34">
        <v>1.0</v>
      </c>
      <c r="E205" s="34" t="s">
        <v>82</v>
      </c>
      <c r="F205" s="34" t="s">
        <v>1433</v>
      </c>
      <c r="G205" s="34" t="s">
        <v>1434</v>
      </c>
      <c r="H205" s="34">
        <v>2.0</v>
      </c>
      <c r="I205" s="34" t="s">
        <v>1143</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1417</v>
      </c>
      <c r="D206" s="34">
        <v>2.0</v>
      </c>
      <c r="E206" s="34" t="s">
        <v>240</v>
      </c>
      <c r="F206" s="34" t="s">
        <v>1442</v>
      </c>
      <c r="G206" s="34" t="s">
        <v>169</v>
      </c>
      <c r="H206" s="34">
        <v>2.0</v>
      </c>
      <c r="I206" s="34" t="s">
        <v>1443</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1417</v>
      </c>
      <c r="D207" s="34">
        <v>2.0</v>
      </c>
      <c r="E207" s="34" t="s">
        <v>1445</v>
      </c>
      <c r="F207" s="34" t="s">
        <v>1446</v>
      </c>
      <c r="G207" s="34"/>
      <c r="H207" s="34">
        <v>3.0</v>
      </c>
      <c r="I207" s="34" t="s">
        <v>1431</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1051</v>
      </c>
      <c r="D208" s="34">
        <v>1.0</v>
      </c>
      <c r="E208" s="34" t="s">
        <v>938</v>
      </c>
      <c r="F208" s="34" t="s">
        <v>1448</v>
      </c>
      <c r="G208" s="34" t="s">
        <v>1449</v>
      </c>
      <c r="H208" s="34">
        <v>3.0</v>
      </c>
      <c r="I208" s="34" t="s">
        <v>1143</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1417</v>
      </c>
      <c r="D209" s="34">
        <v>2.0</v>
      </c>
      <c r="E209" s="34" t="s">
        <v>448</v>
      </c>
      <c r="F209" s="34" t="s">
        <v>1460</v>
      </c>
      <c r="G209" s="34" t="s">
        <v>1461</v>
      </c>
      <c r="H209" s="34">
        <v>3.0</v>
      </c>
      <c r="I209" s="34" t="s">
        <v>1431</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1051</v>
      </c>
      <c r="D210" s="34">
        <v>1.0</v>
      </c>
      <c r="E210" s="34" t="s">
        <v>151</v>
      </c>
      <c r="F210" s="34" t="s">
        <v>1463</v>
      </c>
      <c r="G210" s="34" t="s">
        <v>1464</v>
      </c>
      <c r="H210" s="34">
        <v>3.0</v>
      </c>
      <c r="I210" s="34" t="s">
        <v>1333</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1477</v>
      </c>
      <c r="D211" s="34">
        <v>2.0</v>
      </c>
      <c r="E211" s="34" t="s">
        <v>39</v>
      </c>
      <c r="F211" s="34" t="s">
        <v>1478</v>
      </c>
      <c r="G211" s="34" t="s">
        <v>838</v>
      </c>
      <c r="H211" s="34">
        <v>3.0</v>
      </c>
      <c r="I211" s="34" t="s">
        <v>1479</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1051</v>
      </c>
      <c r="D212" s="34">
        <v>1.0</v>
      </c>
      <c r="E212" s="34" t="s">
        <v>151</v>
      </c>
      <c r="F212" s="34" t="s">
        <v>1481</v>
      </c>
      <c r="G212" s="34" t="s">
        <v>1482</v>
      </c>
      <c r="H212" s="34">
        <v>2.0</v>
      </c>
      <c r="I212" s="34" t="s">
        <v>1293</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1477</v>
      </c>
      <c r="D213" s="34">
        <v>2.0</v>
      </c>
      <c r="E213" s="34" t="s">
        <v>1494</v>
      </c>
      <c r="F213" s="34" t="s">
        <v>1495</v>
      </c>
      <c r="G213" s="34" t="s">
        <v>838</v>
      </c>
      <c r="H213" s="34">
        <v>3.0</v>
      </c>
      <c r="I213" s="34" t="s">
        <v>1496</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1051</v>
      </c>
      <c r="D214" s="34">
        <v>1.0</v>
      </c>
      <c r="E214" s="34" t="s">
        <v>324</v>
      </c>
      <c r="F214" s="34" t="s">
        <v>1498</v>
      </c>
      <c r="G214" s="34"/>
      <c r="H214" s="34">
        <v>4.0</v>
      </c>
      <c r="I214" s="34" t="s">
        <v>1112</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1477</v>
      </c>
      <c r="D215" s="34">
        <v>2.0</v>
      </c>
      <c r="E215" s="34" t="s">
        <v>344</v>
      </c>
      <c r="F215" s="34" t="s">
        <v>1509</v>
      </c>
      <c r="G215" s="34" t="s">
        <v>1510</v>
      </c>
      <c r="H215" s="34">
        <v>2.0</v>
      </c>
      <c r="I215" s="34" t="s">
        <v>1479</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1477</v>
      </c>
      <c r="D216" s="34">
        <v>2.0</v>
      </c>
      <c r="E216" s="34" t="s">
        <v>1512</v>
      </c>
      <c r="F216" s="34" t="s">
        <v>1513</v>
      </c>
      <c r="G216" s="34"/>
      <c r="H216" s="34">
        <v>3.0</v>
      </c>
      <c r="I216" s="34" t="s">
        <v>1514</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1477</v>
      </c>
      <c r="D217" s="34">
        <v>2.0</v>
      </c>
      <c r="E217" s="34" t="s">
        <v>1223</v>
      </c>
      <c r="F217" s="34" t="s">
        <v>1516</v>
      </c>
      <c r="G217" s="34"/>
      <c r="H217" s="34">
        <v>7.0</v>
      </c>
      <c r="I217" s="34" t="s">
        <v>1517</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1477</v>
      </c>
      <c r="D218" s="34">
        <v>2.0</v>
      </c>
      <c r="E218" s="34" t="s">
        <v>39</v>
      </c>
      <c r="F218" s="34" t="s">
        <v>1519</v>
      </c>
      <c r="G218" s="34"/>
      <c r="H218" s="34">
        <v>1.0</v>
      </c>
      <c r="I218" s="34" t="s">
        <v>1520</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1051</v>
      </c>
      <c r="D219" s="34">
        <v>1.0</v>
      </c>
      <c r="E219" s="34" t="s">
        <v>151</v>
      </c>
      <c r="F219" s="34" t="s">
        <v>1522</v>
      </c>
      <c r="G219" s="34" t="s">
        <v>1523</v>
      </c>
      <c r="H219" s="34">
        <v>2.0</v>
      </c>
      <c r="I219" s="34" t="s">
        <v>1112</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1051</v>
      </c>
      <c r="D220" s="34">
        <v>1.0</v>
      </c>
      <c r="E220" s="34" t="s">
        <v>135</v>
      </c>
      <c r="F220" s="34" t="s">
        <v>1531</v>
      </c>
      <c r="G220" s="34" t="s">
        <v>1532</v>
      </c>
      <c r="H220" s="34">
        <v>3.0</v>
      </c>
      <c r="I220" s="34" t="s">
        <v>1054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1051</v>
      </c>
      <c r="D221" s="34">
        <v>1.0</v>
      </c>
      <c r="E221" s="34" t="s">
        <v>1512</v>
      </c>
      <c r="F221" s="34" t="s">
        <v>1539</v>
      </c>
      <c r="G221" s="34" t="s">
        <v>1540</v>
      </c>
      <c r="H221" s="34">
        <v>4.0</v>
      </c>
      <c r="I221" s="34" t="s">
        <v>1143</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1549</v>
      </c>
      <c r="D222" s="34">
        <v>2.0</v>
      </c>
      <c r="E222" s="34" t="s">
        <v>113</v>
      </c>
      <c r="F222" s="34" t="s">
        <v>1550</v>
      </c>
      <c r="G222" s="34" t="s">
        <v>26</v>
      </c>
      <c r="H222" s="34">
        <v>0.0</v>
      </c>
      <c r="I222" s="34" t="s">
        <v>1551</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1051</v>
      </c>
      <c r="D223" s="34">
        <v>1.0</v>
      </c>
      <c r="E223" s="34" t="s">
        <v>448</v>
      </c>
      <c r="F223" s="34" t="s">
        <v>1553</v>
      </c>
      <c r="G223" s="34" t="s">
        <v>660</v>
      </c>
      <c r="H223" s="34">
        <v>7.0</v>
      </c>
      <c r="I223" s="34" t="s">
        <v>1554</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1051</v>
      </c>
      <c r="D224" s="34">
        <v>1.0</v>
      </c>
      <c r="E224" s="34" t="s">
        <v>389</v>
      </c>
      <c r="F224" s="34" t="s">
        <v>1564</v>
      </c>
      <c r="G224" s="34" t="s">
        <v>1565</v>
      </c>
      <c r="H224" s="34">
        <v>4.0</v>
      </c>
      <c r="I224" s="34" t="s">
        <v>1312</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1549</v>
      </c>
      <c r="D225" s="34">
        <v>2.0</v>
      </c>
      <c r="E225" s="34" t="s">
        <v>1572</v>
      </c>
      <c r="F225" s="34" t="s">
        <v>1573</v>
      </c>
      <c r="G225" s="34" t="s">
        <v>242</v>
      </c>
      <c r="H225" s="34">
        <v>3.0</v>
      </c>
      <c r="I225" s="34" t="s">
        <v>1574</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1549</v>
      </c>
      <c r="D226" s="34">
        <v>2.0</v>
      </c>
      <c r="E226" s="34" t="s">
        <v>39</v>
      </c>
      <c r="F226" s="34" t="s">
        <v>1576</v>
      </c>
      <c r="G226" s="34" t="s">
        <v>1577</v>
      </c>
      <c r="H226" s="34">
        <v>2.0</v>
      </c>
      <c r="I226" s="34" t="s">
        <v>1578</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1549</v>
      </c>
      <c r="D227" s="34">
        <v>2.0</v>
      </c>
      <c r="E227" s="34" t="s">
        <v>1580</v>
      </c>
      <c r="F227" s="34" t="s">
        <v>1581</v>
      </c>
      <c r="G227" s="34" t="s">
        <v>1582</v>
      </c>
      <c r="H227" s="34">
        <v>5.0</v>
      </c>
      <c r="I227" s="34" t="s">
        <v>1583</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1549</v>
      </c>
      <c r="D228" s="34">
        <v>2.0</v>
      </c>
      <c r="E228" s="34" t="s">
        <v>1585</v>
      </c>
      <c r="F228" s="34" t="s">
        <v>1586</v>
      </c>
      <c r="G228" s="34" t="s">
        <v>215</v>
      </c>
      <c r="H228" s="34">
        <v>4.0</v>
      </c>
      <c r="I228" s="34" t="s">
        <v>1574</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1051</v>
      </c>
      <c r="D229" s="34">
        <v>1.0</v>
      </c>
      <c r="E229" s="34" t="s">
        <v>448</v>
      </c>
      <c r="F229" s="34" t="s">
        <v>1588</v>
      </c>
      <c r="G229" s="34"/>
      <c r="H229" s="34">
        <v>7.0</v>
      </c>
      <c r="I229" s="34" t="s">
        <v>1554</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1051</v>
      </c>
      <c r="D230" s="34">
        <v>1.0</v>
      </c>
      <c r="E230" s="34" t="s">
        <v>252</v>
      </c>
      <c r="F230" s="34" t="s">
        <v>1597</v>
      </c>
      <c r="G230" s="34"/>
      <c r="H230" s="34">
        <v>3.0</v>
      </c>
      <c r="I230" s="34" t="s">
        <v>1078</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1051</v>
      </c>
      <c r="D231" s="34">
        <v>1.0</v>
      </c>
      <c r="E231" s="34" t="s">
        <v>337</v>
      </c>
      <c r="F231" s="34" t="s">
        <v>1606</v>
      </c>
      <c r="G231" s="34"/>
      <c r="H231" s="34">
        <v>2.0</v>
      </c>
      <c r="I231" s="34" t="s">
        <v>1212</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1051</v>
      </c>
      <c r="D232" s="34">
        <v>1.0</v>
      </c>
      <c r="E232" s="34" t="s">
        <v>448</v>
      </c>
      <c r="F232" s="34"/>
      <c r="G232" s="34" t="s">
        <v>1613</v>
      </c>
      <c r="H232" s="34">
        <v>5.0</v>
      </c>
      <c r="I232" s="34" t="s">
        <v>1215</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1051</v>
      </c>
      <c r="D233" s="34">
        <v>1.0</v>
      </c>
      <c r="E233" s="34" t="s">
        <v>151</v>
      </c>
      <c r="F233" s="34"/>
      <c r="G233" s="34" t="s">
        <v>1623</v>
      </c>
      <c r="H233" s="34">
        <v>4.0</v>
      </c>
      <c r="I233" s="34" t="s">
        <v>1333</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1051</v>
      </c>
      <c r="D234" s="34">
        <v>1.0</v>
      </c>
      <c r="E234" s="34" t="s">
        <v>1635</v>
      </c>
      <c r="F234" s="34"/>
      <c r="G234" s="34"/>
      <c r="H234" s="34">
        <v>3.0</v>
      </c>
      <c r="I234" s="34" t="s">
        <v>1054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1549</v>
      </c>
      <c r="D235" s="34">
        <v>2.0</v>
      </c>
      <c r="E235" s="34" t="s">
        <v>919</v>
      </c>
      <c r="F235" s="34" t="s">
        <v>1641</v>
      </c>
      <c r="G235" s="34" t="s">
        <v>26</v>
      </c>
      <c r="H235" s="34">
        <v>2.0</v>
      </c>
      <c r="I235" s="34" t="s">
        <v>1551</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1549</v>
      </c>
      <c r="D236" s="34">
        <v>0.0</v>
      </c>
      <c r="E236" s="34" t="s">
        <v>1643</v>
      </c>
      <c r="F236" s="34" t="s">
        <v>1644</v>
      </c>
      <c r="G236" s="34" t="s">
        <v>1645</v>
      </c>
      <c r="H236" s="34">
        <v>4.0</v>
      </c>
      <c r="I236" s="34" t="s">
        <v>1574</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1051</v>
      </c>
      <c r="D237" s="34">
        <v>1.0</v>
      </c>
      <c r="E237" s="34" t="s">
        <v>197</v>
      </c>
      <c r="F237" s="34"/>
      <c r="G237" s="34" t="s">
        <v>1647</v>
      </c>
      <c r="H237" s="34">
        <v>2.0</v>
      </c>
      <c r="I237" s="34" t="s">
        <v>1078</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1549</v>
      </c>
      <c r="D238" s="34">
        <v>2.0</v>
      </c>
      <c r="E238" s="34" t="s">
        <v>662</v>
      </c>
      <c r="F238" s="34"/>
      <c r="G238" s="34" t="s">
        <v>1655</v>
      </c>
      <c r="H238" s="34">
        <v>7.0</v>
      </c>
      <c r="I238" s="34" t="s">
        <v>1656</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1549</v>
      </c>
      <c r="D239" s="34">
        <v>2.0</v>
      </c>
      <c r="E239" s="34" t="s">
        <v>1658</v>
      </c>
      <c r="F239" s="34" t="s">
        <v>277</v>
      </c>
      <c r="G239" s="34" t="s">
        <v>698</v>
      </c>
      <c r="H239" s="34">
        <v>2.0</v>
      </c>
      <c r="I239" s="34" t="s">
        <v>1551</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1549</v>
      </c>
      <c r="D240" s="34">
        <v>2.0</v>
      </c>
      <c r="E240" s="34" t="s">
        <v>135</v>
      </c>
      <c r="F240" s="34" t="s">
        <v>1660</v>
      </c>
      <c r="G240" s="34" t="s">
        <v>1661</v>
      </c>
      <c r="H240" s="34">
        <v>2.0</v>
      </c>
      <c r="I240" s="34" t="s">
        <v>1656</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1051</v>
      </c>
      <c r="D241" s="34">
        <v>1.0</v>
      </c>
      <c r="E241" s="34" t="s">
        <v>1663</v>
      </c>
      <c r="F241" s="34" t="s">
        <v>1664</v>
      </c>
      <c r="G241" s="34"/>
      <c r="H241" s="34">
        <v>2.0</v>
      </c>
      <c r="I241" s="34" t="s">
        <v>1078</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1051</v>
      </c>
      <c r="D242" s="34">
        <v>1.0</v>
      </c>
      <c r="E242" s="34" t="s">
        <v>374</v>
      </c>
      <c r="F242" s="34" t="s">
        <v>1674</v>
      </c>
      <c r="G242" s="34"/>
      <c r="H242" s="34">
        <v>1.0</v>
      </c>
      <c r="I242" s="34" t="s">
        <v>1212</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1051</v>
      </c>
      <c r="D243" s="34">
        <v>1.0</v>
      </c>
      <c r="E243" s="34" t="s">
        <v>98</v>
      </c>
      <c r="F243" s="34" t="s">
        <v>1685</v>
      </c>
      <c r="G243" s="34"/>
      <c r="H243" s="34">
        <v>3.0</v>
      </c>
      <c r="I243" s="34" t="s">
        <v>1359</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1549</v>
      </c>
      <c r="D244" s="34">
        <v>2.0</v>
      </c>
      <c r="E244" s="34" t="s">
        <v>113</v>
      </c>
      <c r="F244" s="34" t="s">
        <v>1690</v>
      </c>
      <c r="G244" s="34" t="s">
        <v>26</v>
      </c>
      <c r="H244" s="34">
        <v>1.0</v>
      </c>
      <c r="I244" s="34" t="s">
        <v>1551</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1051</v>
      </c>
      <c r="D245" s="34">
        <v>1.0</v>
      </c>
      <c r="E245" s="34" t="s">
        <v>1418</v>
      </c>
      <c r="F245" s="34" t="s">
        <v>1692</v>
      </c>
      <c r="G245" s="34" t="s">
        <v>1693</v>
      </c>
      <c r="H245" s="34">
        <v>5.0</v>
      </c>
      <c r="I245" s="34" t="s">
        <v>1694</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1051</v>
      </c>
      <c r="D246" s="34">
        <v>1.0</v>
      </c>
      <c r="E246" s="34" t="s">
        <v>337</v>
      </c>
      <c r="F246" s="34" t="s">
        <v>1703</v>
      </c>
      <c r="G246" s="34"/>
      <c r="H246" s="34">
        <v>3.0</v>
      </c>
      <c r="I246" s="34" t="s">
        <v>1112</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1417</v>
      </c>
      <c r="D247" s="34">
        <v>1.0</v>
      </c>
      <c r="E247" s="34" t="s">
        <v>1010</v>
      </c>
      <c r="F247" s="34" t="s">
        <v>1709</v>
      </c>
      <c r="G247" s="34" t="s">
        <v>1710</v>
      </c>
      <c r="H247" s="34">
        <v>3.0</v>
      </c>
      <c r="I247" s="34" t="s">
        <v>1711</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1417</v>
      </c>
      <c r="D248" s="34">
        <v>1.0</v>
      </c>
      <c r="E248" s="34" t="s">
        <v>1718</v>
      </c>
      <c r="F248" s="34" t="s">
        <v>1719</v>
      </c>
      <c r="G248" s="34" t="s">
        <v>1720</v>
      </c>
      <c r="H248" s="34">
        <v>3.0</v>
      </c>
      <c r="I248" s="34" t="s">
        <v>1721</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1417</v>
      </c>
      <c r="D249" s="34">
        <v>1.0</v>
      </c>
      <c r="E249" s="34" t="s">
        <v>1729</v>
      </c>
      <c r="F249" s="34"/>
      <c r="G249" s="34" t="s">
        <v>1730</v>
      </c>
      <c r="H249" s="34">
        <v>2.0</v>
      </c>
      <c r="I249" s="34" t="s">
        <v>1731</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1477</v>
      </c>
      <c r="D250" s="34">
        <v>1.0</v>
      </c>
      <c r="E250" s="34" t="s">
        <v>1739</v>
      </c>
      <c r="F250" s="34" t="s">
        <v>1740</v>
      </c>
      <c r="G250" s="34" t="s">
        <v>1741</v>
      </c>
      <c r="H250" s="34">
        <v>1.0</v>
      </c>
      <c r="I250" s="34" t="s">
        <v>1742</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1549</v>
      </c>
      <c r="D251" s="34">
        <v>2.0</v>
      </c>
      <c r="E251" s="34" t="s">
        <v>1750</v>
      </c>
      <c r="F251" s="34" t="s">
        <v>1751</v>
      </c>
      <c r="G251" s="34" t="s">
        <v>943</v>
      </c>
      <c r="H251" s="34">
        <v>4.0</v>
      </c>
      <c r="I251" s="34" t="s">
        <v>1752</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1549</v>
      </c>
      <c r="D252" s="34">
        <v>0.0</v>
      </c>
      <c r="E252" s="34" t="s">
        <v>1572</v>
      </c>
      <c r="F252" s="34" t="s">
        <v>1754</v>
      </c>
      <c r="G252" s="34" t="s">
        <v>1755</v>
      </c>
      <c r="H252" s="34">
        <v>5.0</v>
      </c>
      <c r="I252" s="34" t="s">
        <v>1752</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1549</v>
      </c>
      <c r="D253" s="34">
        <v>2.0</v>
      </c>
      <c r="E253" s="34" t="s">
        <v>662</v>
      </c>
      <c r="F253" s="34" t="s">
        <v>1757</v>
      </c>
      <c r="G253" s="34" t="s">
        <v>1758</v>
      </c>
      <c r="H253" s="34">
        <v>1.0</v>
      </c>
      <c r="I253" s="34" t="s">
        <v>1578</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1477</v>
      </c>
      <c r="D254" s="34">
        <v>1.0</v>
      </c>
      <c r="E254" s="34" t="s">
        <v>1494</v>
      </c>
      <c r="F254" s="34" t="s">
        <v>1760</v>
      </c>
      <c r="G254" s="34" t="s">
        <v>1761</v>
      </c>
      <c r="H254" s="34">
        <v>2.0</v>
      </c>
      <c r="I254" s="34" t="s">
        <v>1762</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1549</v>
      </c>
      <c r="D255" s="34">
        <v>2.0</v>
      </c>
      <c r="E255" s="34" t="s">
        <v>1770</v>
      </c>
      <c r="F255" s="34" t="s">
        <v>1771</v>
      </c>
      <c r="G255" s="34" t="s">
        <v>1772</v>
      </c>
      <c r="H255" s="34">
        <v>4.0</v>
      </c>
      <c r="I255" s="34" t="s">
        <v>1583</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1549</v>
      </c>
      <c r="D256" s="34">
        <v>2.0</v>
      </c>
      <c r="E256" s="34" t="s">
        <v>113</v>
      </c>
      <c r="F256" s="34" t="s">
        <v>1774</v>
      </c>
      <c r="G256" s="34" t="s">
        <v>1775</v>
      </c>
      <c r="H256" s="34">
        <v>6.0</v>
      </c>
      <c r="I256" s="34" t="s">
        <v>1776</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1549</v>
      </c>
      <c r="D257" s="34">
        <v>2.0</v>
      </c>
      <c r="E257" s="34" t="s">
        <v>299</v>
      </c>
      <c r="F257" s="34" t="s">
        <v>1778</v>
      </c>
      <c r="G257" s="34" t="s">
        <v>1221</v>
      </c>
      <c r="H257" s="34">
        <v>3.0</v>
      </c>
      <c r="I257" s="34" t="s">
        <v>1752</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1549</v>
      </c>
      <c r="D258" s="34">
        <v>0.0</v>
      </c>
      <c r="E258" s="34" t="s">
        <v>151</v>
      </c>
      <c r="F258" s="34" t="s">
        <v>1780</v>
      </c>
      <c r="G258" s="34" t="s">
        <v>1781</v>
      </c>
      <c r="H258" s="34">
        <v>3.0</v>
      </c>
      <c r="I258" s="34" t="s">
        <v>1782</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1477</v>
      </c>
      <c r="D259" s="34">
        <v>1.0</v>
      </c>
      <c r="E259" s="34" t="s">
        <v>1248</v>
      </c>
      <c r="F259" s="34"/>
      <c r="G259" s="34" t="s">
        <v>1784</v>
      </c>
      <c r="H259" s="34">
        <v>2.0</v>
      </c>
      <c r="I259" s="34" t="s">
        <v>1520</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1549</v>
      </c>
      <c r="D260" s="34">
        <v>2.0</v>
      </c>
      <c r="E260" s="34" t="s">
        <v>1792</v>
      </c>
      <c r="F260" s="34" t="s">
        <v>1793</v>
      </c>
      <c r="G260" s="34" t="s">
        <v>1794</v>
      </c>
      <c r="H260" s="34">
        <v>6.0</v>
      </c>
      <c r="I260" s="34" t="s">
        <v>1776</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1549</v>
      </c>
      <c r="D261" s="34">
        <v>2.0</v>
      </c>
      <c r="E261" s="34" t="s">
        <v>329</v>
      </c>
      <c r="F261" s="34" t="s">
        <v>1796</v>
      </c>
      <c r="G261" s="34" t="s">
        <v>1797</v>
      </c>
      <c r="H261" s="34">
        <v>3.0</v>
      </c>
      <c r="I261" s="34" t="s">
        <v>1798</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1549</v>
      </c>
      <c r="D262" s="34">
        <v>1.0</v>
      </c>
      <c r="E262" s="34" t="s">
        <v>389</v>
      </c>
      <c r="F262" s="34" t="s">
        <v>1800</v>
      </c>
      <c r="G262" s="34" t="s">
        <v>943</v>
      </c>
      <c r="H262" s="34">
        <v>3.0</v>
      </c>
      <c r="I262" s="34" t="s">
        <v>1578</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1549</v>
      </c>
      <c r="D263" s="34">
        <v>1.0</v>
      </c>
      <c r="E263" s="34" t="s">
        <v>385</v>
      </c>
      <c r="F263" s="34" t="s">
        <v>1808</v>
      </c>
      <c r="G263" s="34" t="s">
        <v>1809</v>
      </c>
      <c r="H263" s="34">
        <v>6.0</v>
      </c>
      <c r="I263" s="34" t="s">
        <v>1752</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1549</v>
      </c>
      <c r="D264" s="34">
        <v>1.0</v>
      </c>
      <c r="E264" s="34" t="s">
        <v>113</v>
      </c>
      <c r="F264" s="34" t="s">
        <v>1817</v>
      </c>
      <c r="G264" s="34" t="s">
        <v>1818</v>
      </c>
      <c r="H264" s="34">
        <v>4.0</v>
      </c>
      <c r="I264" s="34" t="s">
        <v>1752</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1549</v>
      </c>
      <c r="D265" s="34">
        <v>2.0</v>
      </c>
      <c r="E265" s="34" t="s">
        <v>1770</v>
      </c>
      <c r="F265" s="34" t="s">
        <v>1828</v>
      </c>
      <c r="G265" s="34" t="s">
        <v>1829</v>
      </c>
      <c r="H265" s="34">
        <v>3.0</v>
      </c>
      <c r="I265" s="34" t="s">
        <v>1798</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1549</v>
      </c>
      <c r="D266" s="34">
        <v>1.0</v>
      </c>
      <c r="E266" s="34" t="s">
        <v>240</v>
      </c>
      <c r="F266" s="34" t="s">
        <v>83</v>
      </c>
      <c r="G266" s="34" t="s">
        <v>1831</v>
      </c>
      <c r="H266" s="34">
        <v>1.0</v>
      </c>
      <c r="I266" s="34" t="s">
        <v>1832</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1549</v>
      </c>
      <c r="D267" s="34">
        <v>2.0</v>
      </c>
      <c r="E267" s="34" t="s">
        <v>1842</v>
      </c>
      <c r="F267" s="34" t="s">
        <v>1843</v>
      </c>
      <c r="G267" s="34" t="s">
        <v>1308</v>
      </c>
      <c r="H267" s="34">
        <v>4.0</v>
      </c>
      <c r="I267" s="34" t="s">
        <v>1798</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1549</v>
      </c>
      <c r="D268" s="34">
        <v>2.0</v>
      </c>
      <c r="E268" s="34" t="s">
        <v>1845</v>
      </c>
      <c r="F268" s="34" t="s">
        <v>1846</v>
      </c>
      <c r="G268" s="34" t="s">
        <v>1847</v>
      </c>
      <c r="H268" s="34">
        <v>6.0</v>
      </c>
      <c r="I268" s="34" t="s">
        <v>1848</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1549</v>
      </c>
      <c r="D269" s="34">
        <v>2.0</v>
      </c>
      <c r="E269" s="34" t="s">
        <v>919</v>
      </c>
      <c r="F269" s="34" t="s">
        <v>1850</v>
      </c>
      <c r="G269" s="34" t="s">
        <v>1851</v>
      </c>
      <c r="H269" s="34">
        <v>3.0</v>
      </c>
      <c r="I269" s="34" t="s">
        <v>1574</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1549</v>
      </c>
      <c r="D270" s="34">
        <v>1.0</v>
      </c>
      <c r="E270" s="34" t="s">
        <v>389</v>
      </c>
      <c r="F270" s="34" t="s">
        <v>1853</v>
      </c>
      <c r="G270" s="34" t="s">
        <v>1854</v>
      </c>
      <c r="H270" s="34">
        <v>2.0</v>
      </c>
      <c r="I270" s="34" t="s">
        <v>1578</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1549</v>
      </c>
      <c r="D271" s="34">
        <v>2.0</v>
      </c>
      <c r="E271" s="34" t="s">
        <v>540</v>
      </c>
      <c r="F271" s="34" t="s">
        <v>1866</v>
      </c>
      <c r="G271" s="34" t="s">
        <v>121</v>
      </c>
      <c r="H271" s="34">
        <v>2.0</v>
      </c>
      <c r="I271" s="34" t="s">
        <v>1578</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1549</v>
      </c>
      <c r="D272" s="34">
        <v>2.0</v>
      </c>
      <c r="E272" s="34" t="s">
        <v>1572</v>
      </c>
      <c r="F272" s="34" t="s">
        <v>1868</v>
      </c>
      <c r="G272" s="34" t="s">
        <v>1869</v>
      </c>
      <c r="H272" s="34">
        <v>5.0</v>
      </c>
      <c r="I272" s="34" t="s">
        <v>1583</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1549</v>
      </c>
      <c r="D273" s="34">
        <v>1.0</v>
      </c>
      <c r="E273" s="34" t="s">
        <v>1842</v>
      </c>
      <c r="F273" s="34" t="s">
        <v>1871</v>
      </c>
      <c r="G273" s="34" t="s">
        <v>1872</v>
      </c>
      <c r="H273" s="34">
        <v>3.0</v>
      </c>
      <c r="I273" s="34" t="s">
        <v>1578</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1549</v>
      </c>
      <c r="D274" s="34">
        <v>2.0</v>
      </c>
      <c r="E274" s="34" t="s">
        <v>1445</v>
      </c>
      <c r="F274" s="34" t="s">
        <v>1881</v>
      </c>
      <c r="G274" s="34" t="s">
        <v>1882</v>
      </c>
      <c r="H274" s="34">
        <v>1.0</v>
      </c>
      <c r="I274" s="34" t="s">
        <v>1551</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1884</v>
      </c>
      <c r="D275" s="34">
        <v>0.0</v>
      </c>
      <c r="E275" s="34" t="s">
        <v>1885</v>
      </c>
      <c r="F275" s="34" t="s">
        <v>1886</v>
      </c>
      <c r="G275" s="34" t="s">
        <v>1887</v>
      </c>
      <c r="H275" s="34">
        <v>7.0</v>
      </c>
      <c r="I275" s="34" t="s">
        <v>1888</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1884</v>
      </c>
      <c r="D276" s="34">
        <v>2.0</v>
      </c>
      <c r="E276" s="34" t="s">
        <v>1890</v>
      </c>
      <c r="F276" s="34" t="s">
        <v>1891</v>
      </c>
      <c r="G276" s="34" t="s">
        <v>1892</v>
      </c>
      <c r="H276" s="34">
        <v>3.0</v>
      </c>
      <c r="I276" s="34" t="s">
        <v>1893</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1549</v>
      </c>
      <c r="D277" s="34">
        <v>1.0</v>
      </c>
      <c r="E277" s="34" t="s">
        <v>299</v>
      </c>
      <c r="F277" s="34" t="s">
        <v>1895</v>
      </c>
      <c r="G277" s="34" t="s">
        <v>1896</v>
      </c>
      <c r="H277" s="34">
        <v>3.0</v>
      </c>
      <c r="I277" s="34" t="s">
        <v>1578</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1549</v>
      </c>
      <c r="D278" s="34">
        <v>1.0</v>
      </c>
      <c r="E278" s="34" t="s">
        <v>1770</v>
      </c>
      <c r="F278" s="34" t="s">
        <v>1903</v>
      </c>
      <c r="G278" s="34"/>
      <c r="H278" s="34">
        <v>4.0</v>
      </c>
      <c r="I278" s="34" t="s">
        <v>1798</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1549</v>
      </c>
      <c r="D279" s="34">
        <v>1.0</v>
      </c>
      <c r="E279" s="34" t="s">
        <v>385</v>
      </c>
      <c r="F279" s="34" t="s">
        <v>1909</v>
      </c>
      <c r="G279" s="34" t="s">
        <v>1910</v>
      </c>
      <c r="H279" s="34">
        <v>5.0</v>
      </c>
      <c r="I279" s="34" t="s">
        <v>1752</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1549</v>
      </c>
      <c r="D280" s="34">
        <v>0.0</v>
      </c>
      <c r="E280" s="34" t="s">
        <v>113</v>
      </c>
      <c r="F280" s="34" t="s">
        <v>1915</v>
      </c>
      <c r="G280" s="34" t="s">
        <v>1916</v>
      </c>
      <c r="H280" s="34">
        <v>2.0</v>
      </c>
      <c r="I280" s="34" t="s">
        <v>1551</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1549</v>
      </c>
      <c r="D281" s="34">
        <v>1.0</v>
      </c>
      <c r="E281" s="34" t="s">
        <v>662</v>
      </c>
      <c r="F281" s="34" t="s">
        <v>1918</v>
      </c>
      <c r="G281" s="34" t="s">
        <v>1919</v>
      </c>
      <c r="H281" s="34">
        <v>3.0</v>
      </c>
      <c r="I281" s="34" t="s">
        <v>1574</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1549</v>
      </c>
      <c r="D282" s="34">
        <v>1.0</v>
      </c>
      <c r="E282" s="34" t="s">
        <v>1445</v>
      </c>
      <c r="F282" s="34" t="s">
        <v>1925</v>
      </c>
      <c r="G282" s="34" t="s">
        <v>1926</v>
      </c>
      <c r="H282" s="34">
        <v>3.0</v>
      </c>
      <c r="I282" s="34" t="s">
        <v>1782</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1935</v>
      </c>
      <c r="D283" s="34">
        <v>2.0</v>
      </c>
      <c r="E283" s="34" t="s">
        <v>126</v>
      </c>
      <c r="F283" s="34" t="s">
        <v>1936</v>
      </c>
      <c r="G283" s="34" t="s">
        <v>1937</v>
      </c>
      <c r="H283" s="34">
        <v>1.0</v>
      </c>
      <c r="I283" s="34" t="s">
        <v>1938</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1549</v>
      </c>
      <c r="D284" s="34">
        <v>1.0</v>
      </c>
      <c r="E284" s="34" t="s">
        <v>1845</v>
      </c>
      <c r="F284" s="34" t="s">
        <v>1940</v>
      </c>
      <c r="G284" s="34" t="s">
        <v>1941</v>
      </c>
      <c r="H284" s="34">
        <v>2.0</v>
      </c>
      <c r="I284" s="34" t="s">
        <v>1551</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1935</v>
      </c>
      <c r="D285" s="34">
        <v>2.0</v>
      </c>
      <c r="E285" s="34" t="s">
        <v>1949</v>
      </c>
      <c r="F285" s="34" t="s">
        <v>1950</v>
      </c>
      <c r="G285" s="34" t="s">
        <v>1951</v>
      </c>
      <c r="H285" s="34">
        <v>4.0</v>
      </c>
      <c r="I285" s="34" t="s">
        <v>1952</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1935</v>
      </c>
      <c r="D286" s="34">
        <v>2.0</v>
      </c>
      <c r="E286" s="34" t="s">
        <v>1954</v>
      </c>
      <c r="F286" s="34" t="s">
        <v>1955</v>
      </c>
      <c r="G286" s="34" t="s">
        <v>1956</v>
      </c>
      <c r="H286" s="34">
        <v>4.0</v>
      </c>
      <c r="I286" s="34" t="s">
        <v>1957</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1935</v>
      </c>
      <c r="D287" s="34">
        <v>2.0</v>
      </c>
      <c r="E287" s="34" t="s">
        <v>1959</v>
      </c>
      <c r="F287" s="34" t="s">
        <v>1960</v>
      </c>
      <c r="G287" s="34" t="s">
        <v>1961</v>
      </c>
      <c r="H287" s="34">
        <v>3.0</v>
      </c>
      <c r="I287" s="34" t="s">
        <v>1962</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1935</v>
      </c>
      <c r="D288" s="34">
        <v>2.0</v>
      </c>
      <c r="E288" s="34" t="s">
        <v>183</v>
      </c>
      <c r="F288" s="34" t="s">
        <v>1964</v>
      </c>
      <c r="G288" s="34" t="s">
        <v>1965</v>
      </c>
      <c r="H288" s="34">
        <v>0.0</v>
      </c>
      <c r="I288" s="34" t="s">
        <v>1966</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1935</v>
      </c>
      <c r="D289" s="34">
        <v>2.0</v>
      </c>
      <c r="E289" s="34" t="s">
        <v>126</v>
      </c>
      <c r="F289" s="34" t="s">
        <v>1968</v>
      </c>
      <c r="G289" s="34" t="s">
        <v>1969</v>
      </c>
      <c r="H289" s="34">
        <v>3.0</v>
      </c>
      <c r="I289" s="34" t="s">
        <v>1962</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1935</v>
      </c>
      <c r="D290" s="34">
        <v>2.0</v>
      </c>
      <c r="E290" s="34" t="s">
        <v>991</v>
      </c>
      <c r="F290" s="34" t="s">
        <v>1971</v>
      </c>
      <c r="G290" s="34" t="s">
        <v>1972</v>
      </c>
      <c r="H290" s="34">
        <v>0.0</v>
      </c>
      <c r="I290" s="34" t="s">
        <v>1966</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1935</v>
      </c>
      <c r="D291" s="34">
        <v>2.0</v>
      </c>
      <c r="E291" s="34" t="s">
        <v>126</v>
      </c>
      <c r="F291" s="34" t="s">
        <v>1974</v>
      </c>
      <c r="G291" s="34" t="s">
        <v>664</v>
      </c>
      <c r="H291" s="34">
        <v>4.0</v>
      </c>
      <c r="I291" s="34" t="s">
        <v>1975</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1935</v>
      </c>
      <c r="D292" s="34">
        <v>2.0</v>
      </c>
      <c r="E292" s="34" t="s">
        <v>1959</v>
      </c>
      <c r="F292" s="34" t="s">
        <v>1977</v>
      </c>
      <c r="G292" s="34" t="s">
        <v>664</v>
      </c>
      <c r="H292" s="34">
        <v>1.0</v>
      </c>
      <c r="I292" s="34" t="s">
        <v>1978</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1935</v>
      </c>
      <c r="D293" s="34">
        <v>2.0</v>
      </c>
      <c r="E293" s="34" t="s">
        <v>203</v>
      </c>
      <c r="F293" s="34" t="s">
        <v>1980</v>
      </c>
      <c r="G293" s="34" t="s">
        <v>1969</v>
      </c>
      <c r="H293" s="34">
        <v>5.0</v>
      </c>
      <c r="I293" s="34" t="s">
        <v>1952</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1549</v>
      </c>
      <c r="D294" s="34">
        <v>1.0</v>
      </c>
      <c r="E294" s="34" t="s">
        <v>1445</v>
      </c>
      <c r="F294" s="34" t="s">
        <v>1982</v>
      </c>
      <c r="G294" s="34" t="s">
        <v>1983</v>
      </c>
      <c r="H294" s="34">
        <v>2.0</v>
      </c>
      <c r="I294" s="34" t="s">
        <v>1551</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1935</v>
      </c>
      <c r="D295" s="34">
        <v>2.0</v>
      </c>
      <c r="E295" s="34" t="s">
        <v>1959</v>
      </c>
      <c r="F295" s="34" t="s">
        <v>1990</v>
      </c>
      <c r="G295" s="34" t="s">
        <v>664</v>
      </c>
      <c r="H295" s="34">
        <v>1.0</v>
      </c>
      <c r="I295" s="34" t="s">
        <v>1938</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1549</v>
      </c>
      <c r="D296" s="34">
        <v>1.0</v>
      </c>
      <c r="E296" s="34" t="s">
        <v>1992</v>
      </c>
      <c r="F296" s="34" t="s">
        <v>1993</v>
      </c>
      <c r="G296" s="34" t="s">
        <v>1994</v>
      </c>
      <c r="H296" s="34">
        <v>5.0</v>
      </c>
      <c r="I296" s="34" t="s">
        <v>1995</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1549</v>
      </c>
      <c r="D297" s="34">
        <v>0.0</v>
      </c>
      <c r="E297" s="34" t="s">
        <v>662</v>
      </c>
      <c r="F297" s="34" t="s">
        <v>2002</v>
      </c>
      <c r="G297" s="34" t="s">
        <v>2003</v>
      </c>
      <c r="H297" s="34">
        <v>2.0</v>
      </c>
      <c r="I297" s="34" t="s">
        <v>1551</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1549</v>
      </c>
      <c r="D298" s="34">
        <v>1.0</v>
      </c>
      <c r="E298" s="34" t="s">
        <v>1750</v>
      </c>
      <c r="F298" s="34" t="s">
        <v>2005</v>
      </c>
      <c r="G298" s="34" t="s">
        <v>2006</v>
      </c>
      <c r="H298" s="34">
        <v>7.0</v>
      </c>
      <c r="I298" s="34" t="s">
        <v>1776</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1549</v>
      </c>
      <c r="D299" s="34">
        <v>1.0</v>
      </c>
      <c r="E299" s="34" t="s">
        <v>1792</v>
      </c>
      <c r="F299" s="34" t="s">
        <v>2014</v>
      </c>
      <c r="G299" s="34" t="s">
        <v>2015</v>
      </c>
      <c r="H299" s="34">
        <v>4.0</v>
      </c>
      <c r="I299" s="34" t="s">
        <v>1752</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1935</v>
      </c>
      <c r="D300" s="34">
        <v>2.0</v>
      </c>
      <c r="E300" s="34" t="s">
        <v>1223</v>
      </c>
      <c r="F300" s="34" t="s">
        <v>2025</v>
      </c>
      <c r="G300" s="34" t="s">
        <v>2026</v>
      </c>
      <c r="H300" s="34">
        <v>3.0</v>
      </c>
      <c r="I300" s="34" t="s">
        <v>1962</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1935</v>
      </c>
      <c r="D301" s="34">
        <v>2.0</v>
      </c>
      <c r="E301" s="34" t="s">
        <v>39</v>
      </c>
      <c r="F301" s="34" t="s">
        <v>2028</v>
      </c>
      <c r="G301" s="34" t="s">
        <v>2029</v>
      </c>
      <c r="H301" s="34">
        <v>6.0</v>
      </c>
      <c r="I301" s="34" t="s">
        <v>2030</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1935</v>
      </c>
      <c r="D302" s="34">
        <v>2.0</v>
      </c>
      <c r="E302" s="34" t="s">
        <v>1959</v>
      </c>
      <c r="F302" s="34" t="s">
        <v>2032</v>
      </c>
      <c r="G302" s="34" t="s">
        <v>2033</v>
      </c>
      <c r="H302" s="34">
        <v>2.0</v>
      </c>
      <c r="I302" s="34" t="s">
        <v>1966</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1935</v>
      </c>
      <c r="D303" s="34">
        <v>2.0</v>
      </c>
      <c r="E303" s="34" t="s">
        <v>1041</v>
      </c>
      <c r="F303" s="34" t="s">
        <v>2035</v>
      </c>
      <c r="G303" s="34" t="s">
        <v>838</v>
      </c>
      <c r="H303" s="34">
        <v>5.0</v>
      </c>
      <c r="I303" s="34" t="s">
        <v>2036</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1549</v>
      </c>
      <c r="D304" s="34">
        <v>1.0</v>
      </c>
      <c r="E304" s="34" t="s">
        <v>299</v>
      </c>
      <c r="F304" s="34" t="s">
        <v>2038</v>
      </c>
      <c r="G304" s="34" t="s">
        <v>2039</v>
      </c>
      <c r="H304" s="34">
        <v>5.0</v>
      </c>
      <c r="I304" s="34" t="s">
        <v>1752</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1549</v>
      </c>
      <c r="D305" s="34">
        <v>1.0</v>
      </c>
      <c r="E305" s="34" t="s">
        <v>389</v>
      </c>
      <c r="F305" s="34" t="s">
        <v>2045</v>
      </c>
      <c r="G305" s="34"/>
      <c r="H305" s="34">
        <v>4.0</v>
      </c>
      <c r="I305" s="34" t="s">
        <v>1752</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1935</v>
      </c>
      <c r="D306" s="34">
        <v>2.0</v>
      </c>
      <c r="E306" s="34" t="s">
        <v>2051</v>
      </c>
      <c r="F306" s="34" t="s">
        <v>2052</v>
      </c>
      <c r="G306" s="34" t="s">
        <v>2053</v>
      </c>
      <c r="H306" s="34">
        <v>3.0</v>
      </c>
      <c r="I306" s="34" t="s">
        <v>1966</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1549</v>
      </c>
      <c r="D307" s="34">
        <v>1.0</v>
      </c>
      <c r="E307" s="34" t="s">
        <v>2055</v>
      </c>
      <c r="F307" s="34" t="s">
        <v>2056</v>
      </c>
      <c r="G307" s="34" t="s">
        <v>2057</v>
      </c>
      <c r="H307" s="34">
        <v>1.0</v>
      </c>
      <c r="I307" s="34" t="s">
        <v>1551</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1549</v>
      </c>
      <c r="D308" s="34">
        <v>1.0</v>
      </c>
      <c r="E308" s="34" t="s">
        <v>299</v>
      </c>
      <c r="F308" s="34" t="s">
        <v>2070</v>
      </c>
      <c r="G308" s="34" t="s">
        <v>2071</v>
      </c>
      <c r="H308" s="34">
        <v>1.0</v>
      </c>
      <c r="I308" s="34" t="s">
        <v>1578</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1935</v>
      </c>
      <c r="D309" s="34">
        <v>2.0</v>
      </c>
      <c r="E309" s="34" t="s">
        <v>203</v>
      </c>
      <c r="F309" s="34" t="s">
        <v>2077</v>
      </c>
      <c r="G309" s="34" t="s">
        <v>1969</v>
      </c>
      <c r="H309" s="34">
        <v>2.0</v>
      </c>
      <c r="I309" s="34" t="s">
        <v>1962</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1935</v>
      </c>
      <c r="D310" s="34">
        <v>2.0</v>
      </c>
      <c r="E310" s="34" t="s">
        <v>1890</v>
      </c>
      <c r="F310" s="34" t="s">
        <v>2079</v>
      </c>
      <c r="G310" s="34" t="s">
        <v>2080</v>
      </c>
      <c r="H310" s="34">
        <v>1.0</v>
      </c>
      <c r="I310" s="34" t="s">
        <v>2036</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1549</v>
      </c>
      <c r="D311" s="34">
        <v>1.0</v>
      </c>
      <c r="E311" s="34" t="s">
        <v>1842</v>
      </c>
      <c r="F311" s="34" t="s">
        <v>2082</v>
      </c>
      <c r="G311" s="34" t="s">
        <v>2083</v>
      </c>
      <c r="H311" s="34">
        <v>2.0</v>
      </c>
      <c r="I311" s="34" t="s">
        <v>1574</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1549</v>
      </c>
      <c r="D312" s="34">
        <v>1.0</v>
      </c>
      <c r="E312" s="34" t="s">
        <v>2090</v>
      </c>
      <c r="F312" s="34" t="s">
        <v>2091</v>
      </c>
      <c r="G312" s="34" t="s">
        <v>2092</v>
      </c>
      <c r="H312" s="34">
        <v>4.0</v>
      </c>
      <c r="I312" s="34" t="s">
        <v>2093</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1549</v>
      </c>
      <c r="D313" s="34">
        <v>1.0</v>
      </c>
      <c r="E313" s="34" t="s">
        <v>1041</v>
      </c>
      <c r="F313" s="34" t="s">
        <v>2101</v>
      </c>
      <c r="G313" s="34" t="s">
        <v>2102</v>
      </c>
      <c r="H313" s="34">
        <v>6.0</v>
      </c>
      <c r="I313" s="34" t="s">
        <v>1574</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1549</v>
      </c>
      <c r="D314" s="34">
        <v>1.0</v>
      </c>
      <c r="E314" s="34" t="s">
        <v>197</v>
      </c>
      <c r="F314" s="34" t="s">
        <v>2108</v>
      </c>
      <c r="G314" s="34" t="s">
        <v>2109</v>
      </c>
      <c r="H314" s="34">
        <v>4.0</v>
      </c>
      <c r="I314" s="34" t="s">
        <v>1995</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1935</v>
      </c>
      <c r="D315" s="34">
        <v>2.0</v>
      </c>
      <c r="E315" s="34" t="s">
        <v>1959</v>
      </c>
      <c r="F315" s="34" t="s">
        <v>2122</v>
      </c>
      <c r="G315" s="34" t="s">
        <v>2123</v>
      </c>
      <c r="H315" s="34">
        <v>3.0</v>
      </c>
      <c r="I315" s="34" t="s">
        <v>1962</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1549</v>
      </c>
      <c r="D316" s="34">
        <v>1.0</v>
      </c>
      <c r="E316" s="34" t="s">
        <v>1949</v>
      </c>
      <c r="F316" s="34" t="s">
        <v>2125</v>
      </c>
      <c r="G316" s="34" t="s">
        <v>2126</v>
      </c>
      <c r="H316" s="34">
        <v>5.0</v>
      </c>
      <c r="I316" s="34" t="s">
        <v>1752</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1935</v>
      </c>
      <c r="D317" s="34">
        <v>2.0</v>
      </c>
      <c r="E317" s="34" t="s">
        <v>1658</v>
      </c>
      <c r="F317" s="34" t="s">
        <v>277</v>
      </c>
      <c r="G317" s="34" t="s">
        <v>2135</v>
      </c>
      <c r="H317" s="34">
        <v>2.0</v>
      </c>
      <c r="I317" s="34" t="s">
        <v>1966</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1935</v>
      </c>
      <c r="D318" s="34">
        <v>2.0</v>
      </c>
      <c r="E318" s="34" t="s">
        <v>126</v>
      </c>
      <c r="F318" s="34" t="s">
        <v>2137</v>
      </c>
      <c r="G318" s="34" t="s">
        <v>2138</v>
      </c>
      <c r="H318" s="34">
        <v>2.0</v>
      </c>
      <c r="I318" s="34" t="s">
        <v>1966</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1935</v>
      </c>
      <c r="D319" s="34">
        <v>2.0</v>
      </c>
      <c r="E319" s="34" t="s">
        <v>2140</v>
      </c>
      <c r="F319" s="34" t="s">
        <v>2141</v>
      </c>
      <c r="G319" s="34" t="s">
        <v>2142</v>
      </c>
      <c r="H319" s="34">
        <v>3.0</v>
      </c>
      <c r="I319" s="34" t="s">
        <v>2143</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1935</v>
      </c>
      <c r="D320" s="34">
        <v>2.0</v>
      </c>
      <c r="E320" s="34" t="s">
        <v>1949</v>
      </c>
      <c r="F320" s="34" t="s">
        <v>2145</v>
      </c>
      <c r="G320" s="34" t="s">
        <v>2146</v>
      </c>
      <c r="H320" s="34">
        <v>2.0</v>
      </c>
      <c r="I320" s="34" t="s">
        <v>2036</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1935</v>
      </c>
      <c r="D321" s="34">
        <v>2.0</v>
      </c>
      <c r="E321" s="34" t="s">
        <v>90</v>
      </c>
      <c r="F321" s="34" t="s">
        <v>2148</v>
      </c>
      <c r="G321" s="34" t="s">
        <v>2149</v>
      </c>
      <c r="H321" s="34">
        <v>0.0</v>
      </c>
      <c r="I321" s="34" t="s">
        <v>2036</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1549</v>
      </c>
      <c r="D322" s="34">
        <v>1.0</v>
      </c>
      <c r="E322" s="34" t="s">
        <v>389</v>
      </c>
      <c r="F322" s="34" t="s">
        <v>2151</v>
      </c>
      <c r="G322" s="34"/>
      <c r="H322" s="34">
        <v>6.0</v>
      </c>
      <c r="I322" s="34" t="s">
        <v>2152</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1549</v>
      </c>
      <c r="D323" s="34">
        <v>1.0</v>
      </c>
      <c r="E323" s="34" t="s">
        <v>299</v>
      </c>
      <c r="F323" s="34"/>
      <c r="G323" s="34"/>
      <c r="H323" s="34">
        <v>2.0</v>
      </c>
      <c r="I323" s="34" t="s">
        <v>1832</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1549</v>
      </c>
      <c r="D324" s="34">
        <v>1.0</v>
      </c>
      <c r="E324" s="34" t="s">
        <v>2055</v>
      </c>
      <c r="F324" s="34"/>
      <c r="G324" s="34" t="s">
        <v>2163</v>
      </c>
      <c r="H324" s="34">
        <v>4.0</v>
      </c>
      <c r="I324" s="34" t="s">
        <v>1782</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1935</v>
      </c>
      <c r="D325" s="34">
        <v>2.0</v>
      </c>
      <c r="E325" s="34" t="s">
        <v>2170</v>
      </c>
      <c r="F325" s="34" t="s">
        <v>2171</v>
      </c>
      <c r="G325" s="34" t="s">
        <v>2172</v>
      </c>
      <c r="H325" s="34">
        <v>4.0</v>
      </c>
      <c r="I325" s="34" t="s">
        <v>2036</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1549</v>
      </c>
      <c r="D326" s="34">
        <v>1.0</v>
      </c>
      <c r="E326" s="34" t="s">
        <v>919</v>
      </c>
      <c r="F326" s="34"/>
      <c r="G326" s="34"/>
      <c r="H326" s="34">
        <v>5.0</v>
      </c>
      <c r="I326" s="34" t="s">
        <v>2174</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1935</v>
      </c>
      <c r="D327" s="34">
        <v>2.0</v>
      </c>
      <c r="E327" s="34" t="s">
        <v>1223</v>
      </c>
      <c r="F327" s="34" t="s">
        <v>2183</v>
      </c>
      <c r="G327" s="34" t="s">
        <v>2184</v>
      </c>
      <c r="H327" s="34">
        <v>2.0</v>
      </c>
      <c r="I327" s="34" t="s">
        <v>1962</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1549</v>
      </c>
      <c r="D328" s="34">
        <v>1.0</v>
      </c>
      <c r="E328" s="34" t="s">
        <v>1445</v>
      </c>
      <c r="F328" s="34" t="s">
        <v>2186</v>
      </c>
      <c r="G328" s="34" t="s">
        <v>2187</v>
      </c>
      <c r="H328" s="34">
        <v>1.0</v>
      </c>
      <c r="I328" s="34" t="s">
        <v>1832</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1549</v>
      </c>
      <c r="D329" s="34">
        <v>1.0</v>
      </c>
      <c r="E329" s="34" t="s">
        <v>1845</v>
      </c>
      <c r="F329" s="34" t="s">
        <v>2196</v>
      </c>
      <c r="G329" s="34"/>
      <c r="H329" s="34">
        <v>6.0</v>
      </c>
      <c r="I329" s="34" t="s">
        <v>1583</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1549</v>
      </c>
      <c r="D330" s="34">
        <v>1.0</v>
      </c>
      <c r="E330" s="34" t="s">
        <v>252</v>
      </c>
      <c r="F330" s="34" t="s">
        <v>2204</v>
      </c>
      <c r="G330" s="34"/>
      <c r="H330" s="34">
        <v>4.0</v>
      </c>
      <c r="I330" s="34" t="s">
        <v>1995</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1935</v>
      </c>
      <c r="D331" s="34">
        <v>2.0</v>
      </c>
      <c r="E331" s="34" t="s">
        <v>652</v>
      </c>
      <c r="F331" s="34" t="s">
        <v>2212</v>
      </c>
      <c r="G331" s="34" t="s">
        <v>2213</v>
      </c>
      <c r="H331" s="34">
        <v>0.0</v>
      </c>
      <c r="I331" s="34" t="s">
        <v>1952</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1935</v>
      </c>
      <c r="D332" s="34">
        <v>2.0</v>
      </c>
      <c r="E332" s="34" t="s">
        <v>344</v>
      </c>
      <c r="F332" s="34" t="s">
        <v>2215</v>
      </c>
      <c r="G332" s="34" t="s">
        <v>2216</v>
      </c>
      <c r="H332" s="34">
        <v>2.0</v>
      </c>
      <c r="I332" s="34" t="s">
        <v>2036</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1935</v>
      </c>
      <c r="D333" s="34">
        <v>2.0</v>
      </c>
      <c r="E333" s="34" t="s">
        <v>2218</v>
      </c>
      <c r="F333" s="34" t="s">
        <v>2219</v>
      </c>
      <c r="G333" s="34" t="s">
        <v>2220</v>
      </c>
      <c r="H333" s="34">
        <v>3.0</v>
      </c>
      <c r="I333" s="34" t="s">
        <v>1962</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1935</v>
      </c>
      <c r="D334" s="34">
        <v>2.0</v>
      </c>
      <c r="E334" s="34" t="s">
        <v>2222</v>
      </c>
      <c r="F334" s="34" t="s">
        <v>2223</v>
      </c>
      <c r="G334" s="34" t="s">
        <v>2224</v>
      </c>
      <c r="H334" s="34">
        <v>4.0</v>
      </c>
      <c r="I334" s="34" t="s">
        <v>1952</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1549</v>
      </c>
      <c r="D335" s="34">
        <v>1.0</v>
      </c>
      <c r="E335" s="34" t="s">
        <v>2226</v>
      </c>
      <c r="F335" s="34" t="s">
        <v>2227</v>
      </c>
      <c r="G335" s="34"/>
      <c r="H335" s="34">
        <v>0.0</v>
      </c>
      <c r="I335" s="34" t="s">
        <v>1583</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1935</v>
      </c>
      <c r="D336" s="34">
        <v>2.0</v>
      </c>
      <c r="E336" s="34" t="s">
        <v>2233</v>
      </c>
      <c r="F336" s="34" t="s">
        <v>2234</v>
      </c>
      <c r="G336" s="34" t="s">
        <v>2235</v>
      </c>
      <c r="H336" s="34">
        <v>2.0</v>
      </c>
      <c r="I336" s="34" t="s">
        <v>1966</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1935</v>
      </c>
      <c r="D337" s="34">
        <v>2.0</v>
      </c>
      <c r="E337" s="34" t="s">
        <v>183</v>
      </c>
      <c r="F337" s="34" t="s">
        <v>2237</v>
      </c>
      <c r="G337" s="34" t="s">
        <v>2238</v>
      </c>
      <c r="H337" s="34">
        <v>0.0</v>
      </c>
      <c r="I337" s="34" t="s">
        <v>2036</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2240</v>
      </c>
      <c r="F338" s="34" t="s">
        <v>2241</v>
      </c>
      <c r="G338" s="34" t="s">
        <v>2242</v>
      </c>
      <c r="H338" s="34">
        <v>3.0</v>
      </c>
      <c r="I338" s="34" t="s">
        <v>2243</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1549</v>
      </c>
      <c r="D339" s="34">
        <v>1.0</v>
      </c>
      <c r="E339" s="34" t="s">
        <v>42</v>
      </c>
      <c r="F339" s="34"/>
      <c r="G339" s="34"/>
      <c r="H339" s="34">
        <v>6.0</v>
      </c>
      <c r="I339" s="34" t="s">
        <v>2245</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1658</v>
      </c>
      <c r="F340" s="34" t="s">
        <v>277</v>
      </c>
      <c r="G340" s="34" t="s">
        <v>2256</v>
      </c>
      <c r="H340" s="34">
        <v>2.0</v>
      </c>
      <c r="I340" s="34" t="s">
        <v>2257</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2170</v>
      </c>
      <c r="F341" s="34" t="s">
        <v>2259</v>
      </c>
      <c r="G341" s="34" t="s">
        <v>2260</v>
      </c>
      <c r="H341" s="34">
        <v>9.0</v>
      </c>
      <c r="I341" s="34" t="s">
        <v>2261</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2263</v>
      </c>
      <c r="F342" s="34" t="s">
        <v>2264</v>
      </c>
      <c r="G342" s="34" t="s">
        <v>2265</v>
      </c>
      <c r="H342" s="34">
        <v>6.0</v>
      </c>
      <c r="I342" s="34" t="s">
        <v>2266</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2268</v>
      </c>
      <c r="G343" s="34" t="s">
        <v>2269</v>
      </c>
      <c r="H343" s="34">
        <v>2.0</v>
      </c>
      <c r="I343" s="34" t="s">
        <v>2257</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1549</v>
      </c>
      <c r="D344" s="34">
        <v>1.0</v>
      </c>
      <c r="E344" s="34" t="s">
        <v>389</v>
      </c>
      <c r="F344" s="34"/>
      <c r="G344" s="34" t="s">
        <v>2271</v>
      </c>
      <c r="H344" s="34">
        <v>8.0</v>
      </c>
      <c r="I344" s="34" t="s">
        <v>1776</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2282</v>
      </c>
      <c r="F345" s="34" t="s">
        <v>2283</v>
      </c>
      <c r="G345" s="34" t="s">
        <v>838</v>
      </c>
      <c r="H345" s="34">
        <v>0.0</v>
      </c>
      <c r="I345" s="34" t="s">
        <v>2257</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1549</v>
      </c>
      <c r="D346" s="34">
        <v>1.0</v>
      </c>
      <c r="E346" s="34" t="s">
        <v>1010</v>
      </c>
      <c r="F346" s="34"/>
      <c r="G346" s="34"/>
      <c r="H346" s="34">
        <v>3.0</v>
      </c>
      <c r="I346" s="34" t="s">
        <v>1551</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1884</v>
      </c>
      <c r="D347" s="34">
        <v>1.0</v>
      </c>
      <c r="E347" s="34" t="s">
        <v>1890</v>
      </c>
      <c r="F347" s="34" t="s">
        <v>2290</v>
      </c>
      <c r="G347" s="34" t="s">
        <v>2291</v>
      </c>
      <c r="H347" s="34">
        <v>0.0</v>
      </c>
      <c r="I347" s="34" t="s">
        <v>2292</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1884</v>
      </c>
      <c r="D348" s="34">
        <v>1.0</v>
      </c>
      <c r="E348" s="34" t="s">
        <v>991</v>
      </c>
      <c r="F348" s="34" t="s">
        <v>2300</v>
      </c>
      <c r="G348" s="34" t="s">
        <v>2301</v>
      </c>
      <c r="H348" s="34">
        <v>1.0</v>
      </c>
      <c r="I348" s="34" t="s">
        <v>2302</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1884</v>
      </c>
      <c r="D349" s="34">
        <v>1.0</v>
      </c>
      <c r="E349" s="34" t="s">
        <v>2312</v>
      </c>
      <c r="F349" s="34"/>
      <c r="G349" s="34" t="s">
        <v>2313</v>
      </c>
      <c r="H349" s="34">
        <v>2.0</v>
      </c>
      <c r="I349" s="34" t="s">
        <v>2314</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1935</v>
      </c>
      <c r="D350" s="34">
        <v>1.0</v>
      </c>
      <c r="E350" s="34" t="s">
        <v>2324</v>
      </c>
      <c r="F350" s="34" t="s">
        <v>2325</v>
      </c>
      <c r="G350" s="34" t="s">
        <v>2326</v>
      </c>
      <c r="H350" s="34">
        <v>2.0</v>
      </c>
      <c r="I350" s="34" t="s">
        <v>2327</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1935</v>
      </c>
      <c r="D351" s="34">
        <v>1.0</v>
      </c>
      <c r="E351" s="34" t="s">
        <v>2222</v>
      </c>
      <c r="F351" s="34" t="s">
        <v>2331</v>
      </c>
      <c r="G351" s="34" t="s">
        <v>2332</v>
      </c>
      <c r="H351" s="34">
        <v>4.0</v>
      </c>
      <c r="I351" s="34" t="s">
        <v>2036</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1935</v>
      </c>
      <c r="D352" s="34">
        <v>1.0</v>
      </c>
      <c r="E352" s="34" t="s">
        <v>2233</v>
      </c>
      <c r="F352" s="34" t="s">
        <v>2339</v>
      </c>
      <c r="G352" s="34" t="s">
        <v>2340</v>
      </c>
      <c r="H352" s="34">
        <v>2.0</v>
      </c>
      <c r="I352" s="34" t="s">
        <v>1962</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1935</v>
      </c>
      <c r="D353" s="34">
        <v>1.0</v>
      </c>
      <c r="E353" s="34" t="s">
        <v>1223</v>
      </c>
      <c r="F353" s="34" t="s">
        <v>2345</v>
      </c>
      <c r="G353" s="34" t="s">
        <v>2346</v>
      </c>
      <c r="H353" s="34">
        <v>2.0</v>
      </c>
      <c r="I353" s="34" t="s">
        <v>1966</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1935</v>
      </c>
      <c r="D354" s="34">
        <v>1.0</v>
      </c>
      <c r="E354" s="34" t="s">
        <v>2353</v>
      </c>
      <c r="F354" s="34" t="s">
        <v>2354</v>
      </c>
      <c r="G354" s="34" t="s">
        <v>2355</v>
      </c>
      <c r="H354" s="34">
        <v>2.0</v>
      </c>
      <c r="I354" s="34" t="s">
        <v>2143</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1935</v>
      </c>
      <c r="D355" s="34">
        <v>1.0</v>
      </c>
      <c r="E355" s="34" t="s">
        <v>337</v>
      </c>
      <c r="F355" s="34" t="s">
        <v>2364</v>
      </c>
      <c r="G355" s="34" t="s">
        <v>2365</v>
      </c>
      <c r="H355" s="34">
        <v>3.0</v>
      </c>
      <c r="I355" s="34" t="s">
        <v>2143</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1935</v>
      </c>
      <c r="D356" s="34">
        <v>1.0</v>
      </c>
      <c r="E356" s="34" t="s">
        <v>1223</v>
      </c>
      <c r="F356" s="34" t="s">
        <v>2371</v>
      </c>
      <c r="G356" s="34" t="s">
        <v>2372</v>
      </c>
      <c r="H356" s="34">
        <v>3.0</v>
      </c>
      <c r="I356" s="34" t="s">
        <v>1962</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1935</v>
      </c>
      <c r="D357" s="34">
        <v>1.0</v>
      </c>
      <c r="E357" s="34" t="s">
        <v>1223</v>
      </c>
      <c r="F357" s="34" t="s">
        <v>2377</v>
      </c>
      <c r="G357" s="34" t="s">
        <v>2378</v>
      </c>
      <c r="H357" s="34">
        <v>3.0</v>
      </c>
      <c r="I357" s="34" t="s">
        <v>1962</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1935</v>
      </c>
      <c r="D358" s="34">
        <v>1.0</v>
      </c>
      <c r="E358" s="34" t="s">
        <v>1959</v>
      </c>
      <c r="F358" s="34" t="s">
        <v>2385</v>
      </c>
      <c r="G358" s="34" t="s">
        <v>2386</v>
      </c>
      <c r="H358" s="34">
        <v>2.0</v>
      </c>
      <c r="I358" s="34" t="s">
        <v>1966</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1935</v>
      </c>
      <c r="D359" s="34">
        <v>1.0</v>
      </c>
      <c r="E359" s="34" t="s">
        <v>1885</v>
      </c>
      <c r="F359" s="34" t="s">
        <v>2398</v>
      </c>
      <c r="G359" s="34" t="s">
        <v>2399</v>
      </c>
      <c r="H359" s="34">
        <v>4.0</v>
      </c>
      <c r="I359" s="34" t="s">
        <v>2143</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1935</v>
      </c>
      <c r="D360" s="34">
        <v>1.0</v>
      </c>
      <c r="E360" s="34" t="s">
        <v>183</v>
      </c>
      <c r="F360" s="34" t="s">
        <v>2408</v>
      </c>
      <c r="G360" s="34" t="s">
        <v>2409</v>
      </c>
      <c r="H360" s="34">
        <v>0.0</v>
      </c>
      <c r="I360" s="34" t="s">
        <v>1962</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1935</v>
      </c>
      <c r="D361" s="34">
        <v>1.0</v>
      </c>
      <c r="E361" s="34" t="s">
        <v>1512</v>
      </c>
      <c r="F361" s="34" t="s">
        <v>2420</v>
      </c>
      <c r="G361" s="34" t="s">
        <v>2421</v>
      </c>
      <c r="H361" s="34">
        <v>4.0</v>
      </c>
      <c r="I361" s="34" t="s">
        <v>1952</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2429</v>
      </c>
      <c r="F362" s="34" t="s">
        <v>2430</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1935</v>
      </c>
      <c r="D363" s="34">
        <v>3.0</v>
      </c>
      <c r="E363" s="34" t="s">
        <v>2432</v>
      </c>
      <c r="F363" s="34" t="s">
        <v>2433</v>
      </c>
      <c r="G363" s="34"/>
      <c r="H363" s="34">
        <v>3.0</v>
      </c>
      <c r="I363" s="34" t="s">
        <v>2434</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1051</v>
      </c>
      <c r="D364" s="34">
        <v>3.0</v>
      </c>
      <c r="E364" s="34" t="s">
        <v>39</v>
      </c>
      <c r="F364" s="34" t="s">
        <v>2436</v>
      </c>
      <c r="G364" s="34"/>
      <c r="H364" s="34">
        <v>1.0</v>
      </c>
      <c r="I364" s="34" t="s">
        <v>1078</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2438</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2440</v>
      </c>
      <c r="F366" s="34" t="s">
        <v>2441</v>
      </c>
      <c r="G366" s="34"/>
      <c r="H366" s="34">
        <v>6.0</v>
      </c>
      <c r="I366" s="34" t="s">
        <v>2442</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2444</v>
      </c>
      <c r="F367" s="34" t="s">
        <v>2445</v>
      </c>
      <c r="G367" s="34"/>
      <c r="H367" s="34">
        <v>5.0</v>
      </c>
      <c r="I367" s="34" t="s">
        <v>2446</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1549</v>
      </c>
      <c r="D368" s="34">
        <v>3.0</v>
      </c>
      <c r="E368" s="34" t="s">
        <v>2448</v>
      </c>
      <c r="F368" s="34" t="s">
        <v>2449</v>
      </c>
      <c r="G368" s="34"/>
      <c r="H368" s="34">
        <v>5.0</v>
      </c>
      <c r="I368" s="34" t="s">
        <v>1583</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2451</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2453</v>
      </c>
      <c r="F370" s="34" t="s">
        <v>2454</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2456</v>
      </c>
      <c r="F371" s="34" t="s">
        <v>2457</v>
      </c>
      <c r="G371" s="34"/>
      <c r="H371" s="34">
        <v>3.0</v>
      </c>
      <c r="I371" s="34" t="s">
        <v>2458</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1935</v>
      </c>
      <c r="D372" s="34">
        <v>3.0</v>
      </c>
      <c r="E372" s="34" t="s">
        <v>2460</v>
      </c>
      <c r="F372" s="34" t="s">
        <v>2461</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1549</v>
      </c>
      <c r="D373" s="34">
        <v>3.0</v>
      </c>
      <c r="E373" s="34" t="s">
        <v>1445</v>
      </c>
      <c r="F373" s="34" t="s">
        <v>2463</v>
      </c>
      <c r="G373" s="34"/>
      <c r="H373" s="34">
        <v>3.0</v>
      </c>
      <c r="I373" s="34" t="s">
        <v>1578</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1935</v>
      </c>
      <c r="D374" s="34">
        <v>3.0</v>
      </c>
      <c r="E374" s="34" t="s">
        <v>2465</v>
      </c>
      <c r="F374" s="34" t="s">
        <v>2466</v>
      </c>
      <c r="G374" s="34"/>
      <c r="H374" s="34">
        <v>4.0</v>
      </c>
      <c r="I374" s="34" t="s">
        <v>2143</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2468</v>
      </c>
      <c r="D375" s="34">
        <v>3.0</v>
      </c>
      <c r="E375" s="34" t="s">
        <v>30</v>
      </c>
      <c r="F375" s="34" t="s">
        <v>2469</v>
      </c>
      <c r="G375" s="34"/>
      <c r="H375" s="34">
        <v>3.0</v>
      </c>
      <c r="I375" s="34" t="s">
        <v>2470</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2472</v>
      </c>
      <c r="F376" s="34" t="s">
        <v>2473</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2475</v>
      </c>
      <c r="G377" s="34" t="s">
        <v>3554</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2477</v>
      </c>
      <c r="F378" s="34" t="s">
        <v>2478</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1549</v>
      </c>
      <c r="D379" s="34">
        <v>3.0</v>
      </c>
      <c r="E379" s="34" t="s">
        <v>82</v>
      </c>
      <c r="F379" s="34" t="s">
        <v>2480</v>
      </c>
      <c r="G379" s="34" t="s">
        <v>3554</v>
      </c>
      <c r="H379" s="34">
        <v>3.0</v>
      </c>
      <c r="I379" s="34" t="s">
        <v>1752</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2483</v>
      </c>
      <c r="G380" s="34" t="s">
        <v>3555</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2485</v>
      </c>
      <c r="F381" s="34" t="s">
        <v>2486</v>
      </c>
      <c r="G381" s="34" t="s">
        <v>3554</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1494</v>
      </c>
      <c r="F382" s="34" t="s">
        <v>2488</v>
      </c>
      <c r="G382" s="34" t="s">
        <v>3554</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2490</v>
      </c>
      <c r="G383" s="34" t="s">
        <v>3556</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2492</v>
      </c>
      <c r="G384" s="34" t="s">
        <v>3557</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1549</v>
      </c>
      <c r="D386" s="34">
        <v>3.0</v>
      </c>
      <c r="E386" s="34" t="s">
        <v>39</v>
      </c>
      <c r="F386" s="34" t="s">
        <v>2496</v>
      </c>
      <c r="G386" s="34"/>
      <c r="H386" s="34">
        <v>1.0</v>
      </c>
      <c r="I386" s="34" t="s">
        <v>1782</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1051</v>
      </c>
      <c r="D387" s="34">
        <v>3.0</v>
      </c>
      <c r="E387" s="34" t="s">
        <v>698</v>
      </c>
      <c r="F387" s="34" t="s">
        <v>2499</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1051</v>
      </c>
      <c r="D388" s="34">
        <v>3.0</v>
      </c>
      <c r="E388" s="34" t="s">
        <v>337</v>
      </c>
      <c r="F388" s="34"/>
      <c r="G388" s="34" t="s">
        <v>3554</v>
      </c>
      <c r="H388" s="34" t="s">
        <v>28</v>
      </c>
      <c r="I388" s="34"/>
      <c r="J388" s="20" t="s">
        <v>3554</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2502</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2507</v>
      </c>
      <c r="F390" s="34" t="s">
        <v>2508</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2511</v>
      </c>
      <c r="F391" s="34" t="s">
        <v>2512</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2511</v>
      </c>
      <c r="F392" s="34" t="s">
        <v>2514</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2511</v>
      </c>
      <c r="F393" s="34" t="s">
        <v>2516</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2511</v>
      </c>
      <c r="F394" s="34" t="s">
        <v>2518</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2511</v>
      </c>
      <c r="F395" s="34" t="s">
        <v>2520</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2522</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2525</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1935</v>
      </c>
      <c r="D398" s="34">
        <v>1.0</v>
      </c>
      <c r="E398" s="34" t="s">
        <v>1890</v>
      </c>
      <c r="F398" s="34" t="s">
        <v>2527</v>
      </c>
      <c r="G398" s="34" t="s">
        <v>2528</v>
      </c>
      <c r="H398" s="34">
        <v>1.0</v>
      </c>
      <c r="I398" s="34" t="s">
        <v>1966</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1935</v>
      </c>
      <c r="D399" s="34">
        <v>1.0</v>
      </c>
      <c r="E399" s="34" t="s">
        <v>991</v>
      </c>
      <c r="F399" s="34" t="s">
        <v>637</v>
      </c>
      <c r="G399" s="34" t="s">
        <v>2535</v>
      </c>
      <c r="H399" s="34">
        <v>3.0</v>
      </c>
      <c r="I399" s="34" t="s">
        <v>1962</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1935</v>
      </c>
      <c r="D400" s="34">
        <v>1.0</v>
      </c>
      <c r="E400" s="34" t="s">
        <v>991</v>
      </c>
      <c r="F400" s="34" t="s">
        <v>2546</v>
      </c>
      <c r="G400" s="34" t="s">
        <v>2547</v>
      </c>
      <c r="H400" s="34">
        <v>4.0</v>
      </c>
      <c r="I400" s="34" t="s">
        <v>2036</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1935</v>
      </c>
      <c r="D401" s="34">
        <v>1.0</v>
      </c>
      <c r="E401" s="34" t="s">
        <v>1949</v>
      </c>
      <c r="F401" s="34" t="s">
        <v>2553</v>
      </c>
      <c r="G401" s="34" t="s">
        <v>2554</v>
      </c>
      <c r="H401" s="34">
        <v>4.0</v>
      </c>
      <c r="I401" s="34" t="s">
        <v>2036</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1935</v>
      </c>
      <c r="D402" s="34">
        <v>1.0</v>
      </c>
      <c r="E402" s="34" t="s">
        <v>203</v>
      </c>
      <c r="F402" s="34" t="s">
        <v>2559</v>
      </c>
      <c r="G402" s="34" t="s">
        <v>2560</v>
      </c>
      <c r="H402" s="34">
        <v>5.0</v>
      </c>
      <c r="I402" s="34" t="s">
        <v>1952</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1935</v>
      </c>
      <c r="D403" s="34">
        <v>1.0</v>
      </c>
      <c r="E403" s="34" t="s">
        <v>126</v>
      </c>
      <c r="F403" s="34" t="s">
        <v>2568</v>
      </c>
      <c r="G403" s="34" t="s">
        <v>2569</v>
      </c>
      <c r="H403" s="34">
        <v>1.0</v>
      </c>
      <c r="I403" s="34" t="s">
        <v>1962</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1935</v>
      </c>
      <c r="D404" s="34">
        <v>1.0</v>
      </c>
      <c r="E404" s="34" t="s">
        <v>2578</v>
      </c>
      <c r="F404" s="34" t="s">
        <v>2579</v>
      </c>
      <c r="G404" s="34" t="s">
        <v>2580</v>
      </c>
      <c r="H404" s="34">
        <v>2.0</v>
      </c>
      <c r="I404" s="34" t="s">
        <v>1966</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1935</v>
      </c>
      <c r="D405" s="34">
        <v>1.0</v>
      </c>
      <c r="E405" s="34" t="s">
        <v>652</v>
      </c>
      <c r="F405" s="34" t="s">
        <v>2589</v>
      </c>
      <c r="G405" s="34" t="s">
        <v>2590</v>
      </c>
      <c r="H405" s="34">
        <v>9.0</v>
      </c>
      <c r="I405" s="34" t="s">
        <v>2036</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1935</v>
      </c>
      <c r="D406" s="34">
        <v>1.0</v>
      </c>
      <c r="E406" s="34" t="s">
        <v>2599</v>
      </c>
      <c r="F406" s="34" t="s">
        <v>2600</v>
      </c>
      <c r="G406" s="34" t="s">
        <v>2601</v>
      </c>
      <c r="H406" s="34">
        <v>6.0</v>
      </c>
      <c r="I406" s="34" t="s">
        <v>2030</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1935</v>
      </c>
      <c r="D407" s="34">
        <v>1.0</v>
      </c>
      <c r="E407" s="34" t="s">
        <v>2222</v>
      </c>
      <c r="F407" s="34" t="s">
        <v>2607</v>
      </c>
      <c r="G407" s="34"/>
      <c r="H407" s="34">
        <v>6.0</v>
      </c>
      <c r="I407" s="34" t="s">
        <v>1957</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1935</v>
      </c>
      <c r="D408" s="34">
        <v>1.0</v>
      </c>
      <c r="E408" s="34" t="s">
        <v>1494</v>
      </c>
      <c r="F408" s="34"/>
      <c r="G408" s="34" t="s">
        <v>2618</v>
      </c>
      <c r="H408" s="34">
        <v>1.0</v>
      </c>
      <c r="I408" s="34" t="s">
        <v>1938</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1935</v>
      </c>
      <c r="D409" s="34">
        <v>1.0</v>
      </c>
      <c r="E409" s="34" t="s">
        <v>1572</v>
      </c>
      <c r="F409" s="34"/>
      <c r="G409" s="34"/>
      <c r="H409" s="34">
        <v>2.0</v>
      </c>
      <c r="I409" s="34" t="s">
        <v>1966</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1935</v>
      </c>
      <c r="D410" s="34">
        <v>1.0</v>
      </c>
      <c r="E410" s="34" t="s">
        <v>2218</v>
      </c>
      <c r="F410" s="34"/>
      <c r="G410" s="34" t="s">
        <v>2630</v>
      </c>
      <c r="H410" s="34">
        <v>5.0</v>
      </c>
      <c r="I410" s="34" t="s">
        <v>2036</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1935</v>
      </c>
      <c r="D411" s="34">
        <v>1.0</v>
      </c>
      <c r="E411" s="34" t="s">
        <v>1954</v>
      </c>
      <c r="F411" s="34"/>
      <c r="G411" s="34" t="s">
        <v>2640</v>
      </c>
      <c r="H411" s="34">
        <v>6.0</v>
      </c>
      <c r="I411" s="34" t="s">
        <v>1952</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1935</v>
      </c>
      <c r="D412" s="34">
        <v>1.0</v>
      </c>
      <c r="E412" s="34" t="s">
        <v>268</v>
      </c>
      <c r="F412" s="34"/>
      <c r="G412" s="34" t="s">
        <v>2651</v>
      </c>
      <c r="H412" s="34">
        <v>4.0</v>
      </c>
      <c r="I412" s="34" t="s">
        <v>2143</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1935</v>
      </c>
      <c r="D413" s="34">
        <v>1.0</v>
      </c>
      <c r="E413" s="34" t="s">
        <v>304</v>
      </c>
      <c r="F413" s="34"/>
      <c r="G413" s="34"/>
      <c r="H413" s="34">
        <v>3.0</v>
      </c>
      <c r="I413" s="34" t="s">
        <v>1962</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1935</v>
      </c>
      <c r="D414" s="34">
        <v>1.0</v>
      </c>
      <c r="E414" s="34" t="s">
        <v>2665</v>
      </c>
      <c r="F414" s="34" t="s">
        <v>62</v>
      </c>
      <c r="G414" s="34"/>
      <c r="H414" s="34">
        <v>5.0</v>
      </c>
      <c r="I414" s="34" t="s">
        <v>2666</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1935</v>
      </c>
      <c r="D415" s="34">
        <v>1.0</v>
      </c>
      <c r="E415" s="34" t="s">
        <v>814</v>
      </c>
      <c r="F415" s="34" t="s">
        <v>2672</v>
      </c>
      <c r="G415" s="34"/>
      <c r="H415" s="34">
        <v>3.0</v>
      </c>
      <c r="I415" s="34" t="s">
        <v>1952</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1935</v>
      </c>
      <c r="D416" s="34">
        <v>1.0</v>
      </c>
      <c r="E416" s="34" t="s">
        <v>1890</v>
      </c>
      <c r="F416" s="34" t="s">
        <v>2679</v>
      </c>
      <c r="G416" s="34"/>
      <c r="H416" s="34">
        <v>3.0</v>
      </c>
      <c r="I416" s="34" t="s">
        <v>2327</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1935</v>
      </c>
      <c r="D417" s="34">
        <v>1.0</v>
      </c>
      <c r="E417" s="34" t="s">
        <v>2233</v>
      </c>
      <c r="F417" s="34" t="s">
        <v>2685</v>
      </c>
      <c r="G417" s="34" t="s">
        <v>2686</v>
      </c>
      <c r="H417" s="34">
        <v>3.0</v>
      </c>
      <c r="I417" s="34" t="s">
        <v>1978</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1935</v>
      </c>
      <c r="D418" s="34">
        <v>1.0</v>
      </c>
      <c r="E418" s="34" t="s">
        <v>1413</v>
      </c>
      <c r="F418" s="34" t="s">
        <v>2692</v>
      </c>
      <c r="G418" s="34"/>
      <c r="H418" s="34">
        <v>4.0</v>
      </c>
      <c r="I418" s="34" t="s">
        <v>2143</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1935</v>
      </c>
      <c r="D419" s="34">
        <v>1.0</v>
      </c>
      <c r="E419" s="34" t="s">
        <v>362</v>
      </c>
      <c r="F419" s="34" t="s">
        <v>2699</v>
      </c>
      <c r="G419" s="34" t="s">
        <v>2700</v>
      </c>
      <c r="H419" s="34">
        <v>3.0</v>
      </c>
      <c r="I419" s="34" t="s">
        <v>1966</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1935</v>
      </c>
      <c r="D420" s="34">
        <v>1.0</v>
      </c>
      <c r="E420" s="34" t="s">
        <v>1885</v>
      </c>
      <c r="F420" s="34" t="s">
        <v>2706</v>
      </c>
      <c r="G420" s="34"/>
      <c r="H420" s="34">
        <v>2.0</v>
      </c>
      <c r="I420" s="34" t="s">
        <v>2327</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1935</v>
      </c>
      <c r="D421" s="34">
        <v>1.0</v>
      </c>
      <c r="E421" s="34" t="s">
        <v>652</v>
      </c>
      <c r="F421" s="34" t="s">
        <v>2713</v>
      </c>
      <c r="G421" s="34" t="s">
        <v>2714</v>
      </c>
      <c r="H421" s="34">
        <v>3.0</v>
      </c>
      <c r="I421" s="34" t="s">
        <v>1962</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2725</v>
      </c>
      <c r="H422" s="34">
        <v>3.0</v>
      </c>
      <c r="I422" s="34" t="s">
        <v>2266</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2731</v>
      </c>
      <c r="H423" s="34">
        <v>6.0</v>
      </c>
      <c r="I423" s="34" t="s">
        <v>2732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2737</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2748</v>
      </c>
      <c r="G425" s="34" t="s">
        <v>2749</v>
      </c>
      <c r="H425" s="34">
        <v>3.0</v>
      </c>
      <c r="I425" s="34" t="s">
        <v>2266</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2754</v>
      </c>
      <c r="G426" s="34" t="s">
        <v>2755</v>
      </c>
      <c r="H426" s="34">
        <v>2.0</v>
      </c>
      <c r="I426" s="34" t="s">
        <v>2756</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2761</v>
      </c>
      <c r="G427" s="34" t="s">
        <v>2762</v>
      </c>
      <c r="H427" s="34">
        <v>2.0</v>
      </c>
      <c r="I427" s="34" t="s">
        <v>2756</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1549</v>
      </c>
      <c r="D428" s="34">
        <v>0.0</v>
      </c>
      <c r="E428" s="34" t="s">
        <v>389</v>
      </c>
      <c r="F428" s="34" t="s">
        <v>2769</v>
      </c>
      <c r="G428" s="34"/>
      <c r="H428" s="34">
        <v>6.0</v>
      </c>
      <c r="I428" s="34" t="s">
        <v>1583</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1549</v>
      </c>
      <c r="D429" s="34">
        <v>0.0</v>
      </c>
      <c r="E429" s="34" t="s">
        <v>389</v>
      </c>
      <c r="F429" s="34" t="s">
        <v>2771</v>
      </c>
      <c r="G429" s="34"/>
      <c r="H429" s="34">
        <v>4.0</v>
      </c>
      <c r="I429" s="34" t="s">
        <v>1752</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2773</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2773</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2776</v>
      </c>
      <c r="G432" s="34"/>
      <c r="H432" s="34"/>
      <c r="I432" s="34"/>
      <c r="J432" s="20" t="s">
        <v>2773</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2778</v>
      </c>
      <c r="G433" s="34"/>
      <c r="H433" s="34"/>
      <c r="I433" s="34"/>
      <c r="J433" s="20" t="s">
        <v>2773</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2780</v>
      </c>
      <c r="G434" s="34"/>
      <c r="H434" s="34"/>
      <c r="I434" s="34"/>
      <c r="J434" s="20" t="s">
        <v>2773</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2782</v>
      </c>
      <c r="G435" s="34"/>
      <c r="H435" s="34"/>
      <c r="I435" s="34"/>
      <c r="J435" s="20" t="s">
        <v>2773</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2778</v>
      </c>
      <c r="G436" s="34"/>
      <c r="H436" s="34"/>
      <c r="I436" s="34"/>
      <c r="J436" s="20" t="s">
        <v>2773</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2785</v>
      </c>
      <c r="G437" s="34"/>
      <c r="H437" s="34"/>
      <c r="I437" s="34"/>
      <c r="J437" s="20" t="s">
        <v>2773</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2787</v>
      </c>
      <c r="G438" s="34"/>
      <c r="H438" s="34"/>
      <c r="I438" s="34"/>
      <c r="J438" s="20" t="s">
        <v>2773</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2789</v>
      </c>
      <c r="G439" s="34"/>
      <c r="H439" s="34"/>
      <c r="I439" s="34"/>
      <c r="J439" s="20" t="s">
        <v>2773</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2773</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2792</v>
      </c>
      <c r="G441" s="34"/>
      <c r="H441" s="34"/>
      <c r="I441" s="34"/>
      <c r="J441" s="20" t="s">
        <v>2773</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2794</v>
      </c>
      <c r="G442" s="34"/>
      <c r="H442" s="34"/>
      <c r="I442" s="34"/>
      <c r="J442" s="20" t="s">
        <v>2773</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2796</v>
      </c>
      <c r="G443" s="34"/>
      <c r="H443" s="34"/>
      <c r="I443" s="34"/>
      <c r="J443" s="20" t="s">
        <v>2773</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2773</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2773</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2773</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2773</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2773</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2773</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2773</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2773</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2773</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2807</v>
      </c>
      <c r="G453" s="34"/>
      <c r="H453" s="34"/>
      <c r="I453" s="34"/>
      <c r="J453" s="20" t="s">
        <v>2773</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2809</v>
      </c>
      <c r="G454" s="34"/>
      <c r="H454" s="34"/>
      <c r="I454" s="34"/>
      <c r="J454" s="20" t="s">
        <v>2773</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1051</v>
      </c>
      <c r="D455" s="34">
        <v>1.0</v>
      </c>
      <c r="E455" s="34"/>
      <c r="F455" s="34" t="s">
        <v>2811</v>
      </c>
      <c r="G455" s="34"/>
      <c r="H455" s="34">
        <v>1.0</v>
      </c>
      <c r="I455" s="34" t="s">
        <v>1212</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3553</v>
      </c>
      <c r="B1" s="192" t="s">
        <v>3558</v>
      </c>
      <c r="C1" s="193"/>
      <c r="D1" s="194" t="s">
        <v>3559</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3560</v>
      </c>
      <c r="D2" s="16" t="s">
        <v>3561</v>
      </c>
      <c r="E2" s="16" t="s">
        <v>3562</v>
      </c>
    </row>
    <row r="3">
      <c r="A3" s="96" t="s">
        <v>420</v>
      </c>
      <c r="B3" s="16" t="s">
        <v>3563</v>
      </c>
      <c r="D3" s="16" t="s">
        <v>3564</v>
      </c>
      <c r="E3" s="16" t="s">
        <v>3565</v>
      </c>
    </row>
    <row r="4">
      <c r="A4" s="96" t="s">
        <v>1051</v>
      </c>
      <c r="B4" s="16" t="s">
        <v>3566</v>
      </c>
      <c r="D4" s="16" t="s">
        <v>3567</v>
      </c>
      <c r="E4" s="16" t="s">
        <v>3568</v>
      </c>
    </row>
    <row r="5">
      <c r="A5" s="96" t="s">
        <v>1549</v>
      </c>
      <c r="B5" s="16" t="s">
        <v>3569</v>
      </c>
      <c r="D5" s="16" t="s">
        <v>3570</v>
      </c>
      <c r="E5" s="16" t="s">
        <v>3571</v>
      </c>
    </row>
    <row r="6">
      <c r="A6" s="96" t="s">
        <v>1935</v>
      </c>
      <c r="B6" s="16" t="s">
        <v>3572</v>
      </c>
      <c r="D6" s="16" t="s">
        <v>3573</v>
      </c>
      <c r="E6" s="16" t="s">
        <v>3574</v>
      </c>
    </row>
    <row r="7">
      <c r="A7" s="96" t="s">
        <v>3564</v>
      </c>
      <c r="B7" s="16" t="s">
        <v>3575</v>
      </c>
      <c r="D7" s="16" t="s">
        <v>3576</v>
      </c>
      <c r="E7" s="16" t="s">
        <v>3577</v>
      </c>
    </row>
    <row r="8">
      <c r="A8" s="96" t="s">
        <v>3578</v>
      </c>
      <c r="B8" s="16" t="s">
        <v>3579</v>
      </c>
      <c r="D8" s="16" t="s">
        <v>3580</v>
      </c>
      <c r="E8" s="16" t="s">
        <v>3581</v>
      </c>
    </row>
    <row r="9">
      <c r="A9" s="96" t="s">
        <v>3582</v>
      </c>
      <c r="B9" s="16" t="s">
        <v>3583</v>
      </c>
      <c r="D9" s="16" t="s">
        <v>3584</v>
      </c>
      <c r="E9" s="16" t="s">
        <v>3585</v>
      </c>
    </row>
    <row r="10">
      <c r="A10" s="96" t="s">
        <v>3584</v>
      </c>
      <c r="B10" s="16" t="s">
        <v>3586</v>
      </c>
      <c r="D10" s="16" t="s">
        <v>3587</v>
      </c>
      <c r="E10" s="16" t="s">
        <v>3588</v>
      </c>
    </row>
    <row r="11">
      <c r="A11" s="96" t="s">
        <v>3589</v>
      </c>
      <c r="B11" s="16" t="s">
        <v>3590</v>
      </c>
      <c r="D11" s="16" t="s">
        <v>3591</v>
      </c>
      <c r="E11" s="16" t="s">
        <v>3592</v>
      </c>
    </row>
    <row r="12">
      <c r="A12" s="96" t="s">
        <v>3593</v>
      </c>
      <c r="B12" s="16" t="s">
        <v>3594</v>
      </c>
      <c r="D12" s="16" t="s">
        <v>3595</v>
      </c>
      <c r="E12" s="16" t="s">
        <v>3596</v>
      </c>
    </row>
    <row r="13">
      <c r="A13" s="96" t="s">
        <v>3597</v>
      </c>
      <c r="B13" s="16" t="s">
        <v>3598</v>
      </c>
      <c r="D13" s="16" t="s">
        <v>3599</v>
      </c>
      <c r="E13" s="16" t="s">
        <v>3600</v>
      </c>
    </row>
    <row r="14">
      <c r="A14" s="16" t="s">
        <v>3561</v>
      </c>
      <c r="B14" s="16" t="s">
        <v>3601</v>
      </c>
      <c r="D14" s="16" t="s">
        <v>3602</v>
      </c>
      <c r="E14" s="16" t="s">
        <v>3603</v>
      </c>
    </row>
    <row r="15">
      <c r="D15" s="16" t="s">
        <v>1308</v>
      </c>
      <c r="E15" s="16" t="s">
        <v>3604</v>
      </c>
    </row>
    <row r="16">
      <c r="D16" s="16" t="s">
        <v>391</v>
      </c>
      <c r="E16" s="16" t="s">
        <v>3605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3606</v>
      </c>
      <c r="B1" s="195"/>
      <c r="D1" s="196" t="s">
        <v>3607</v>
      </c>
      <c r="E1" s="196" t="s">
        <v>3608</v>
      </c>
      <c r="F1" s="197" t="s">
        <v>3609</v>
      </c>
      <c r="G1" s="198" t="s">
        <v>3610</v>
      </c>
      <c r="H1" s="199" t="s">
        <v>3</v>
      </c>
      <c r="I1" s="199" t="s">
        <v>3611</v>
      </c>
      <c r="J1" s="199" t="s">
        <v>3612</v>
      </c>
      <c r="K1" s="199" t="s">
        <v>3613</v>
      </c>
      <c r="L1" s="199" t="s">
        <v>7</v>
      </c>
      <c r="M1" s="200" t="s">
        <v>3614</v>
      </c>
      <c r="N1" s="200" t="s">
        <v>9</v>
      </c>
      <c r="O1" s="201" t="s">
        <v>3615</v>
      </c>
    </row>
    <row r="2">
      <c r="A2" s="202">
        <v>3.0</v>
      </c>
      <c r="B2" s="196"/>
      <c r="D2" s="7" t="s">
        <v>1379</v>
      </c>
      <c r="E2" s="7" t="s">
        <v>3616</v>
      </c>
      <c r="F2" s="54">
        <v>2.0</v>
      </c>
      <c r="G2" s="29" t="s">
        <v>3617</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3616</v>
      </c>
      <c r="F3" s="206">
        <v>1.0</v>
      </c>
      <c r="G3" s="29" t="s">
        <v>3618</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3619</v>
      </c>
      <c r="B4" s="16">
        <f>IFERROR(__xludf.DUMMYFUNCTION("QUERY($D$1:O968,""select sum(F) where E like '%"" &amp; $A$2 &amp; ""%' label sum(F) ''"")"),30.0)</f>
        <v>30</v>
      </c>
      <c r="D4" s="7" t="s">
        <v>1274</v>
      </c>
      <c r="E4" s="7" t="s">
        <v>3616</v>
      </c>
      <c r="F4" s="206">
        <v>1.0</v>
      </c>
      <c r="G4" s="29" t="s">
        <v>3617</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3620</v>
      </c>
      <c r="B5" s="16">
        <f>IFERROR(__xludf.DUMMYFUNCTION("IFNA(QUERY($D$1:O968,""select count(G) where E like '%"" &amp; $A$2 &amp; ""%' and G = 'Alternative' label count(G) ''""),0)"),7.0)</f>
        <v>7</v>
      </c>
      <c r="D5" s="16" t="s">
        <v>1294</v>
      </c>
      <c r="E5" s="7" t="s">
        <v>3616</v>
      </c>
      <c r="F5" s="206">
        <v>1.0</v>
      </c>
      <c r="G5" s="29" t="s">
        <v>3618</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3621</v>
      </c>
      <c r="B6" s="16">
        <f>IFERROR(__xludf.DUMMYFUNCTION("QUERY($D$1:O968,""select sum(O) where E like '%"" &amp; $A$2 &amp; ""%' label sum(O) ''"")/$B$4"),2.8)</f>
        <v>2.8</v>
      </c>
      <c r="D6" s="7" t="s">
        <v>1405</v>
      </c>
      <c r="E6" s="7" t="s">
        <v>3616</v>
      </c>
      <c r="F6" s="206">
        <v>1.0</v>
      </c>
      <c r="G6" s="29" t="s">
        <v>3617</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1147</v>
      </c>
      <c r="E7" s="7" t="s">
        <v>3616</v>
      </c>
      <c r="F7" s="206">
        <v>2.0</v>
      </c>
      <c r="G7" s="29" t="s">
        <v>3617</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1319</v>
      </c>
      <c r="E8" s="7" t="s">
        <v>3616</v>
      </c>
      <c r="F8" s="206">
        <v>2.0</v>
      </c>
      <c r="G8" s="29" t="s">
        <v>3618</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1113</v>
      </c>
      <c r="E9" s="7" t="s">
        <v>3616</v>
      </c>
      <c r="F9" s="206">
        <v>1.0</v>
      </c>
      <c r="G9" s="29" t="s">
        <v>3617</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3616</v>
      </c>
      <c r="F10" s="206">
        <v>2.0</v>
      </c>
      <c r="G10" s="29" t="s">
        <v>3618</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3616</v>
      </c>
      <c r="F11" s="206">
        <v>2.0</v>
      </c>
      <c r="G11" s="29" t="s">
        <v>3618</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1309</v>
      </c>
      <c r="E12" s="7" t="s">
        <v>3616</v>
      </c>
      <c r="F12" s="206">
        <v>1.0</v>
      </c>
      <c r="G12" s="29" t="s">
        <v>3618</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3616</v>
      </c>
      <c r="F13" s="206">
        <v>1.0</v>
      </c>
      <c r="G13" s="29" t="s">
        <v>3618</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1622</v>
      </c>
      <c r="E14" s="7" t="s">
        <v>3616</v>
      </c>
      <c r="F14" s="206">
        <v>2.0</v>
      </c>
      <c r="G14" s="29" t="s">
        <v>3618</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3622</v>
      </c>
      <c r="D15" s="24" t="s">
        <v>1538</v>
      </c>
      <c r="E15" s="7" t="s">
        <v>3616</v>
      </c>
      <c r="F15" s="206">
        <v>1.0</v>
      </c>
      <c r="G15" s="29" t="s">
        <v>3618</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3623</v>
      </c>
      <c r="D16" s="28" t="s">
        <v>846</v>
      </c>
      <c r="E16" s="7" t="s">
        <v>3616</v>
      </c>
      <c r="F16" s="206">
        <v>1.0</v>
      </c>
      <c r="G16" s="29" t="s">
        <v>3618</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3624</v>
      </c>
      <c r="D17" s="16" t="s">
        <v>1497</v>
      </c>
      <c r="E17" s="7" t="s">
        <v>3616</v>
      </c>
      <c r="F17" s="206">
        <v>2.0</v>
      </c>
      <c r="G17" s="29" t="s">
        <v>3618</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3625</v>
      </c>
      <c r="D18" s="22" t="s">
        <v>568</v>
      </c>
      <c r="E18" s="7" t="s">
        <v>3616</v>
      </c>
      <c r="F18" s="206">
        <v>2.0</v>
      </c>
      <c r="G18" s="29" t="s">
        <v>3617</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3626</v>
      </c>
      <c r="D19" s="16" t="s">
        <v>1612</v>
      </c>
      <c r="E19" s="7" t="s">
        <v>3616</v>
      </c>
      <c r="F19" s="206">
        <v>2.0</v>
      </c>
      <c r="G19" s="29" t="s">
        <v>3618</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3616</v>
      </c>
      <c r="F20" s="206">
        <v>1.0</v>
      </c>
      <c r="G20" s="29" t="s">
        <v>3618</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1340</v>
      </c>
      <c r="E21" s="7" t="s">
        <v>3616</v>
      </c>
      <c r="F21" s="206">
        <v>1.0</v>
      </c>
      <c r="G21" s="29" t="s">
        <v>3618</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1587</v>
      </c>
      <c r="E22" s="7" t="s">
        <v>3616</v>
      </c>
      <c r="F22" s="206">
        <v>1.0</v>
      </c>
      <c r="G22" s="29" t="s">
        <v>3617</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2289</v>
      </c>
      <c r="E23" s="16" t="s">
        <v>3627</v>
      </c>
      <c r="F23" s="206">
        <v>1.0</v>
      </c>
      <c r="G23" s="29" t="s">
        <v>3617</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2054</v>
      </c>
      <c r="E24" s="7" t="s">
        <v>3627</v>
      </c>
      <c r="F24" s="206">
        <v>1.0</v>
      </c>
      <c r="G24" s="29" t="s">
        <v>3617</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1981</v>
      </c>
      <c r="E25" s="7" t="s">
        <v>3627</v>
      </c>
      <c r="F25" s="206">
        <v>1.0</v>
      </c>
      <c r="G25" s="29" t="s">
        <v>3618</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2311</v>
      </c>
      <c r="E26" s="7" t="s">
        <v>3627</v>
      </c>
      <c r="F26" s="206">
        <v>2.0</v>
      </c>
      <c r="G26" s="29" t="s">
        <v>3617</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2622</v>
      </c>
      <c r="E27" s="7" t="s">
        <v>3627</v>
      </c>
      <c r="F27" s="213">
        <v>2.0</v>
      </c>
      <c r="G27" s="29" t="s">
        <v>3618</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2081</v>
      </c>
      <c r="E28" s="22" t="s">
        <v>3627</v>
      </c>
      <c r="F28" s="206">
        <v>1.0</v>
      </c>
      <c r="G28" s="29" t="s">
        <v>3617</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2338</v>
      </c>
      <c r="E29" s="22" t="s">
        <v>3627</v>
      </c>
      <c r="F29" s="206">
        <v>1.0</v>
      </c>
      <c r="G29" s="29" t="s">
        <v>3618</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2158</v>
      </c>
      <c r="E30" s="16" t="s">
        <v>3627</v>
      </c>
      <c r="F30" s="206">
        <v>2.0</v>
      </c>
      <c r="G30" s="29" t="s">
        <v>3618</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2352</v>
      </c>
      <c r="E31" s="54" t="s">
        <v>3627</v>
      </c>
      <c r="F31" s="206">
        <v>1.0</v>
      </c>
      <c r="G31" s="29" t="s">
        <v>3617</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1924</v>
      </c>
      <c r="E32" s="7" t="s">
        <v>3627</v>
      </c>
      <c r="F32" s="206">
        <v>2.0</v>
      </c>
      <c r="G32" s="29" t="s">
        <v>3618</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2658</v>
      </c>
      <c r="E33" s="7" t="s">
        <v>3627</v>
      </c>
      <c r="F33" s="213">
        <v>2.0</v>
      </c>
      <c r="G33" s="29" t="s">
        <v>3617</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1894</v>
      </c>
      <c r="E34" s="16" t="s">
        <v>3627</v>
      </c>
      <c r="F34" s="206">
        <v>2.0</v>
      </c>
      <c r="G34" s="29" t="s">
        <v>3618</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2650</v>
      </c>
      <c r="E35" s="22" t="s">
        <v>3627</v>
      </c>
      <c r="F35" s="213">
        <v>1.0</v>
      </c>
      <c r="G35" s="29" t="s">
        <v>3618</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2162</v>
      </c>
      <c r="E36" s="7" t="s">
        <v>3627</v>
      </c>
      <c r="F36" s="206">
        <v>2.0</v>
      </c>
      <c r="G36" s="29" t="s">
        <v>3618</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2107</v>
      </c>
      <c r="E37" s="7" t="s">
        <v>3627</v>
      </c>
      <c r="F37" s="206">
        <v>1.0</v>
      </c>
      <c r="G37" s="29" t="s">
        <v>3617</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1902</v>
      </c>
      <c r="E38" s="16" t="s">
        <v>3627</v>
      </c>
      <c r="F38" s="206">
        <v>2.0</v>
      </c>
      <c r="G38" s="29" t="s">
        <v>3618</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2173</v>
      </c>
      <c r="E39" s="7" t="s">
        <v>3627</v>
      </c>
      <c r="F39" s="213">
        <v>1.0</v>
      </c>
      <c r="G39" s="29" t="s">
        <v>3618</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2037</v>
      </c>
      <c r="E40" s="7" t="s">
        <v>3627</v>
      </c>
      <c r="F40" s="206">
        <v>1.0</v>
      </c>
      <c r="G40" s="29" t="s">
        <v>3618</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2629</v>
      </c>
      <c r="E41" s="7" t="s">
        <v>3627</v>
      </c>
      <c r="F41" s="206">
        <v>2.0</v>
      </c>
      <c r="G41" s="29" t="s">
        <v>3618</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2124</v>
      </c>
      <c r="E42" s="16" t="s">
        <v>3627</v>
      </c>
      <c r="F42" s="206">
        <v>1.0</v>
      </c>
      <c r="G42" s="29" t="s">
        <v>3618</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2606</v>
      </c>
      <c r="E43" s="16" t="s">
        <v>3627</v>
      </c>
      <c r="F43" s="206">
        <v>1.0</v>
      </c>
      <c r="G43" s="29" t="s">
        <v>3618</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3628</v>
      </c>
      <c r="F44" s="16">
        <v>2.0</v>
      </c>
      <c r="G44" s="16" t="s">
        <v>3617</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3628</v>
      </c>
      <c r="F45" s="16">
        <v>1.0</v>
      </c>
      <c r="G45" s="16" t="s">
        <v>3617</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3628</v>
      </c>
      <c r="F46" s="16">
        <v>1.0</v>
      </c>
      <c r="G46" s="16" t="s">
        <v>3617</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3628</v>
      </c>
      <c r="F47" s="16">
        <v>1.0</v>
      </c>
      <c r="G47" s="16" t="s">
        <v>3618</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2691</v>
      </c>
      <c r="E48" s="16" t="s">
        <v>3628</v>
      </c>
      <c r="F48" s="16">
        <v>1.0</v>
      </c>
      <c r="G48" s="16" t="s">
        <v>3618</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2330</v>
      </c>
      <c r="E49" s="16" t="s">
        <v>3628</v>
      </c>
      <c r="F49" s="16">
        <v>1.0</v>
      </c>
      <c r="G49" s="16" t="s">
        <v>3618</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2419</v>
      </c>
      <c r="E50" s="16" t="s">
        <v>3628</v>
      </c>
      <c r="F50" s="16">
        <v>1.0</v>
      </c>
      <c r="G50" s="16" t="s">
        <v>3618</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3628</v>
      </c>
      <c r="F51" s="16">
        <v>2.0</v>
      </c>
      <c r="G51" s="16" t="s">
        <v>3618</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3628</v>
      </c>
      <c r="F52" s="16">
        <v>1.0</v>
      </c>
      <c r="G52" s="16" t="s">
        <v>3618</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3628</v>
      </c>
      <c r="F53" s="16">
        <v>1.0</v>
      </c>
      <c r="G53" s="16" t="s">
        <v>3618</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3628</v>
      </c>
      <c r="F54" s="16">
        <v>2.0</v>
      </c>
      <c r="G54" s="16" t="s">
        <v>3618</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3628</v>
      </c>
      <c r="F55" s="16">
        <v>2.0</v>
      </c>
      <c r="G55" s="16" t="s">
        <v>3618</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3628</v>
      </c>
      <c r="F56" s="16">
        <v>1.0</v>
      </c>
      <c r="G56" s="16" t="s">
        <v>3617</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3628</v>
      </c>
      <c r="F57" s="16">
        <v>2.0</v>
      </c>
      <c r="G57" s="16" t="s">
        <v>3618</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3628</v>
      </c>
      <c r="F58" s="16">
        <v>2.0</v>
      </c>
      <c r="G58" s="16" t="s">
        <v>3618</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3628</v>
      </c>
      <c r="F59" s="16">
        <v>1.0</v>
      </c>
      <c r="G59" s="16" t="s">
        <v>3617</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3628</v>
      </c>
      <c r="F60" s="16">
        <v>2.0</v>
      </c>
      <c r="G60" s="16" t="s">
        <v>3618</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2397</v>
      </c>
      <c r="E61" s="16" t="s">
        <v>3628</v>
      </c>
      <c r="F61" s="16">
        <v>2.0</v>
      </c>
      <c r="G61" s="16" t="s">
        <v>3617</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2639</v>
      </c>
      <c r="E62" s="16" t="s">
        <v>3628</v>
      </c>
      <c r="F62" s="16">
        <v>1.0</v>
      </c>
      <c r="G62" s="16" t="s">
        <v>3617</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2370</v>
      </c>
      <c r="E63" s="16" t="s">
        <v>3628</v>
      </c>
      <c r="F63" s="16">
        <v>2.0</v>
      </c>
      <c r="G63" s="16" t="s">
        <v>3618</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3629</v>
      </c>
      <c r="E64" s="16" t="s">
        <v>3628</v>
      </c>
      <c r="F64" s="16">
        <v>1.0</v>
      </c>
      <c r="G64" s="16" t="s">
        <v>3618</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1065</v>
      </c>
      <c r="E65" s="16" t="s">
        <v>3630</v>
      </c>
      <c r="F65" s="16">
        <v>1.0</v>
      </c>
      <c r="G65" s="16" t="s">
        <v>3617</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1055</v>
      </c>
      <c r="E66" s="16" t="s">
        <v>3630</v>
      </c>
      <c r="F66" s="16">
        <v>1.0</v>
      </c>
      <c r="G66" s="16" t="s">
        <v>3618</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2100</v>
      </c>
      <c r="E67" s="16" t="s">
        <v>3630</v>
      </c>
      <c r="F67" s="16">
        <v>1.0</v>
      </c>
      <c r="G67" s="16" t="s">
        <v>3618</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1162</v>
      </c>
      <c r="E68" s="16" t="s">
        <v>3630</v>
      </c>
      <c r="F68" s="16">
        <v>2.0</v>
      </c>
      <c r="G68" s="16" t="s">
        <v>3617</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3630</v>
      </c>
      <c r="F69" s="16">
        <v>2.0</v>
      </c>
      <c r="G69" s="16" t="s">
        <v>3617</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1852</v>
      </c>
      <c r="E70" s="16" t="s">
        <v>3630</v>
      </c>
      <c r="F70" s="16">
        <v>1.0</v>
      </c>
      <c r="G70" s="16" t="s">
        <v>3618</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3630</v>
      </c>
      <c r="F71" s="16">
        <v>1.0</v>
      </c>
      <c r="G71" s="16" t="s">
        <v>3618</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1991</v>
      </c>
      <c r="E72" s="16" t="s">
        <v>3630</v>
      </c>
      <c r="F72" s="16">
        <v>1.0</v>
      </c>
      <c r="G72" s="16" t="s">
        <v>3618</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1193</v>
      </c>
      <c r="E73" s="16" t="s">
        <v>3630</v>
      </c>
      <c r="F73" s="16">
        <v>2.0</v>
      </c>
      <c r="G73" s="16" t="s">
        <v>3617</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1013</v>
      </c>
      <c r="E74" s="16" t="s">
        <v>3630</v>
      </c>
      <c r="F74" s="16">
        <v>2.0</v>
      </c>
      <c r="G74" s="16" t="s">
        <v>3617</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3630</v>
      </c>
      <c r="F75" s="16">
        <v>1.0</v>
      </c>
      <c r="G75" s="16" t="s">
        <v>3618</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3630</v>
      </c>
      <c r="F76" s="16">
        <v>1.0</v>
      </c>
      <c r="G76" s="16" t="s">
        <v>3617</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3630</v>
      </c>
      <c r="F77" s="16">
        <v>2.0</v>
      </c>
      <c r="G77" s="16" t="s">
        <v>3618</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3630</v>
      </c>
      <c r="F78" s="16">
        <v>1.0</v>
      </c>
      <c r="G78" s="16" t="s">
        <v>3618</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2244</v>
      </c>
      <c r="E79" s="16" t="s">
        <v>3630</v>
      </c>
      <c r="F79" s="16">
        <v>1.0</v>
      </c>
      <c r="G79" s="16" t="s">
        <v>3618</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3630</v>
      </c>
      <c r="F80" s="16">
        <v>2.0</v>
      </c>
      <c r="G80" s="16" t="s">
        <v>3617</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1830</v>
      </c>
      <c r="E81" s="16" t="s">
        <v>3630</v>
      </c>
      <c r="F81" s="16">
        <v>1.0</v>
      </c>
      <c r="G81" s="16" t="s">
        <v>3618</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1099</v>
      </c>
      <c r="E82" s="16" t="s">
        <v>3630</v>
      </c>
      <c r="F82" s="16">
        <v>2.0</v>
      </c>
      <c r="G82" s="16" t="s">
        <v>3618</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2284</v>
      </c>
      <c r="E83" s="16" t="s">
        <v>3630</v>
      </c>
      <c r="F83" s="16">
        <v>2.0</v>
      </c>
      <c r="G83" s="16" t="s">
        <v>3618</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3630</v>
      </c>
      <c r="F84" s="16">
        <v>2.0</v>
      </c>
      <c r="G84" s="16" t="s">
        <v>3618</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2069</v>
      </c>
      <c r="E85" s="16" t="s">
        <v>3630</v>
      </c>
      <c r="F85" s="16">
        <v>1.0</v>
      </c>
      <c r="G85" s="16" t="s">
        <v>3618</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3618</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3618</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3618</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3618</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3631</v>
      </c>
      <c r="E1" s="193" t="s">
        <v>5</v>
      </c>
      <c r="F1" s="193" t="s">
        <v>6</v>
      </c>
      <c r="G1" s="217" t="s">
        <v>7</v>
      </c>
      <c r="H1" s="217" t="s">
        <v>8</v>
      </c>
      <c r="I1" s="218" t="s">
        <v>9</v>
      </c>
      <c r="J1" s="219" t="s">
        <v>3632</v>
      </c>
    </row>
    <row r="2">
      <c r="A2" s="16" t="s">
        <v>3633</v>
      </c>
      <c r="B2" s="220" t="s">
        <v>3634</v>
      </c>
      <c r="C2" s="56" t="s">
        <v>2477</v>
      </c>
      <c r="D2" s="51"/>
      <c r="E2" s="51" t="s">
        <v>3635</v>
      </c>
      <c r="F2" s="54" t="s">
        <v>3636</v>
      </c>
      <c r="G2" s="56">
        <v>1.0</v>
      </c>
      <c r="H2" s="56" t="s">
        <v>101</v>
      </c>
      <c r="I2" s="56" t="s">
        <v>72</v>
      </c>
    </row>
    <row r="3">
      <c r="A3" s="51" t="s">
        <v>3637</v>
      </c>
      <c r="B3" s="220" t="s">
        <v>3634</v>
      </c>
      <c r="C3" s="56" t="s">
        <v>30</v>
      </c>
      <c r="D3" s="51" t="s">
        <v>3638</v>
      </c>
      <c r="E3" s="221" t="s">
        <v>3639</v>
      </c>
      <c r="F3" s="54" t="s">
        <v>3636</v>
      </c>
      <c r="G3" s="56">
        <v>1.0</v>
      </c>
      <c r="H3" s="56" t="s">
        <v>55</v>
      </c>
      <c r="I3" s="56" t="s">
        <v>34</v>
      </c>
    </row>
    <row r="4">
      <c r="A4" s="51" t="s">
        <v>3640</v>
      </c>
      <c r="B4" s="220" t="s">
        <v>3634</v>
      </c>
      <c r="C4" s="56" t="s">
        <v>3641</v>
      </c>
      <c r="D4" s="51" t="s">
        <v>3638</v>
      </c>
      <c r="E4" s="51" t="s">
        <v>3642</v>
      </c>
      <c r="F4" s="54" t="s">
        <v>3636</v>
      </c>
      <c r="G4" s="56">
        <v>3.0</v>
      </c>
      <c r="H4" s="56" t="s">
        <v>247</v>
      </c>
      <c r="I4" s="56" t="s">
        <v>72</v>
      </c>
    </row>
    <row r="5">
      <c r="A5" s="51" t="s">
        <v>3643</v>
      </c>
      <c r="B5" s="222" t="s">
        <v>3634</v>
      </c>
      <c r="C5" s="56" t="s">
        <v>82</v>
      </c>
      <c r="D5" s="51" t="s">
        <v>3644</v>
      </c>
      <c r="E5" s="51" t="s">
        <v>3645</v>
      </c>
      <c r="F5" s="54" t="s">
        <v>3636</v>
      </c>
      <c r="G5" s="56">
        <v>5.0</v>
      </c>
      <c r="H5" s="56" t="s">
        <v>3646</v>
      </c>
      <c r="I5" s="56" t="s">
        <v>34</v>
      </c>
    </row>
    <row r="6">
      <c r="A6" s="28" t="s">
        <v>3647</v>
      </c>
      <c r="B6" s="223" t="s">
        <v>3648</v>
      </c>
      <c r="C6" s="67" t="s">
        <v>410</v>
      </c>
      <c r="D6" s="28"/>
      <c r="E6" s="28" t="s">
        <v>3649</v>
      </c>
      <c r="F6" s="29" t="s">
        <v>3636</v>
      </c>
      <c r="G6" s="67">
        <v>0.0</v>
      </c>
      <c r="H6" s="67" t="s">
        <v>3650</v>
      </c>
      <c r="I6" s="67" t="s">
        <v>34</v>
      </c>
    </row>
    <row r="7">
      <c r="A7" s="51" t="s">
        <v>3651</v>
      </c>
      <c r="B7" s="224" t="s">
        <v>3648</v>
      </c>
      <c r="C7" s="56" t="s">
        <v>2477</v>
      </c>
      <c r="D7" s="51"/>
      <c r="E7" s="51" t="s">
        <v>3652</v>
      </c>
      <c r="F7" s="54" t="s">
        <v>3636</v>
      </c>
      <c r="G7" s="56">
        <v>3.0</v>
      </c>
      <c r="H7" s="56" t="s">
        <v>1102</v>
      </c>
      <c r="I7" s="56" t="s">
        <v>72</v>
      </c>
    </row>
    <row r="8">
      <c r="A8" s="51" t="s">
        <v>3653</v>
      </c>
      <c r="B8" s="224" t="s">
        <v>3648</v>
      </c>
      <c r="C8" s="56" t="s">
        <v>410</v>
      </c>
      <c r="D8" s="51"/>
      <c r="E8" s="51" t="s">
        <v>3654</v>
      </c>
      <c r="F8" s="54" t="s">
        <v>3636</v>
      </c>
      <c r="G8" s="56">
        <v>4.0</v>
      </c>
      <c r="H8" s="56" t="s">
        <v>518</v>
      </c>
      <c r="I8" s="56" t="s">
        <v>28</v>
      </c>
    </row>
    <row r="9">
      <c r="A9" s="51" t="s">
        <v>3655</v>
      </c>
      <c r="B9" s="224" t="s">
        <v>3648</v>
      </c>
      <c r="C9" s="56" t="s">
        <v>2477</v>
      </c>
      <c r="D9" s="51"/>
      <c r="E9" s="51" t="s">
        <v>3656</v>
      </c>
      <c r="F9" s="54" t="s">
        <v>3636</v>
      </c>
      <c r="G9" s="56">
        <v>5.0</v>
      </c>
      <c r="H9" s="56" t="s">
        <v>523</v>
      </c>
      <c r="I9" s="56" t="s">
        <v>34</v>
      </c>
    </row>
    <row r="10">
      <c r="A10" s="51" t="s">
        <v>713</v>
      </c>
      <c r="B10" s="223" t="s">
        <v>3648</v>
      </c>
      <c r="C10" s="67" t="s">
        <v>662</v>
      </c>
      <c r="D10" s="28"/>
      <c r="E10" s="28" t="s">
        <v>3657</v>
      </c>
      <c r="F10" s="29" t="s">
        <v>3636</v>
      </c>
      <c r="G10" s="67">
        <v>6.0</v>
      </c>
      <c r="H10" s="67" t="s">
        <v>3658</v>
      </c>
      <c r="I10" s="67" t="s">
        <v>72</v>
      </c>
    </row>
    <row r="11">
      <c r="A11" s="51"/>
      <c r="B11" s="225" t="s">
        <v>3659</v>
      </c>
      <c r="C11" s="56" t="s">
        <v>662</v>
      </c>
      <c r="D11" s="51"/>
      <c r="E11" s="51" t="s">
        <v>3660</v>
      </c>
      <c r="F11" s="54" t="s">
        <v>3636</v>
      </c>
      <c r="G11" s="56">
        <v>1.0</v>
      </c>
      <c r="H11" s="56" t="s">
        <v>1782</v>
      </c>
      <c r="I11" s="56" t="s">
        <v>34</v>
      </c>
    </row>
    <row r="12">
      <c r="A12" s="51" t="s">
        <v>3661</v>
      </c>
      <c r="B12" s="225" t="s">
        <v>3659</v>
      </c>
      <c r="C12" s="56" t="s">
        <v>662</v>
      </c>
      <c r="D12" s="51"/>
      <c r="E12" s="51" t="s">
        <v>3662</v>
      </c>
      <c r="F12" s="54" t="s">
        <v>3636</v>
      </c>
      <c r="G12" s="56">
        <v>2.0</v>
      </c>
      <c r="H12" s="56" t="s">
        <v>1776</v>
      </c>
      <c r="I12" s="56" t="s">
        <v>34</v>
      </c>
    </row>
    <row r="13">
      <c r="A13" s="51" t="s">
        <v>3663</v>
      </c>
      <c r="B13" s="225" t="s">
        <v>3659</v>
      </c>
      <c r="C13" s="56" t="s">
        <v>3664</v>
      </c>
      <c r="D13" s="51"/>
      <c r="E13" s="226" t="s">
        <v>3665</v>
      </c>
      <c r="F13" s="54" t="s">
        <v>3636</v>
      </c>
      <c r="G13" s="56">
        <v>3.0</v>
      </c>
      <c r="H13" s="56" t="s">
        <v>1782</v>
      </c>
      <c r="I13" s="56" t="s">
        <v>72</v>
      </c>
    </row>
    <row r="14">
      <c r="A14" s="28" t="s">
        <v>3666</v>
      </c>
      <c r="B14" s="227" t="s">
        <v>3659</v>
      </c>
      <c r="C14" s="56" t="s">
        <v>82</v>
      </c>
      <c r="D14" s="51"/>
      <c r="E14" s="51" t="s">
        <v>3667</v>
      </c>
      <c r="F14" s="54" t="s">
        <v>3636</v>
      </c>
      <c r="G14" s="56">
        <v>4.0</v>
      </c>
      <c r="H14" s="56" t="s">
        <v>1578</v>
      </c>
      <c r="I14" s="56" t="s">
        <v>28</v>
      </c>
    </row>
    <row r="15">
      <c r="A15" s="51" t="s">
        <v>3668</v>
      </c>
      <c r="B15" s="225" t="s">
        <v>3659</v>
      </c>
      <c r="C15" s="56" t="s">
        <v>1445</v>
      </c>
      <c r="D15" s="51"/>
      <c r="E15" s="29" t="s">
        <v>3669</v>
      </c>
      <c r="F15" s="29" t="s">
        <v>3636</v>
      </c>
      <c r="G15" s="56">
        <v>6.0</v>
      </c>
      <c r="H15" s="56" t="s">
        <v>2174</v>
      </c>
      <c r="I15" s="56" t="s">
        <v>72</v>
      </c>
    </row>
    <row r="16">
      <c r="A16" s="16" t="s">
        <v>3670</v>
      </c>
      <c r="B16" s="90" t="s">
        <v>3659</v>
      </c>
      <c r="C16" s="15" t="s">
        <v>3671</v>
      </c>
      <c r="F16" s="16" t="s">
        <v>3636</v>
      </c>
      <c r="G16" s="104"/>
      <c r="I16" s="15" t="s">
        <v>34</v>
      </c>
    </row>
    <row r="17">
      <c r="A17" s="51" t="s">
        <v>1518</v>
      </c>
      <c r="B17" s="228" t="s">
        <v>3672</v>
      </c>
      <c r="C17" s="56" t="s">
        <v>39</v>
      </c>
      <c r="D17" s="51"/>
      <c r="E17" s="226" t="s">
        <v>3673</v>
      </c>
      <c r="F17" s="54" t="s">
        <v>3636</v>
      </c>
      <c r="G17" s="56">
        <v>1.0</v>
      </c>
      <c r="H17" s="56" t="s">
        <v>2327</v>
      </c>
      <c r="I17" s="56" t="s">
        <v>72</v>
      </c>
    </row>
    <row r="18">
      <c r="A18" s="51" t="s">
        <v>3674</v>
      </c>
      <c r="B18" s="228" t="s">
        <v>3672</v>
      </c>
      <c r="C18" s="56" t="s">
        <v>1959</v>
      </c>
      <c r="D18" s="51"/>
      <c r="E18" s="51" t="s">
        <v>3675</v>
      </c>
      <c r="F18" s="54" t="s">
        <v>3636</v>
      </c>
      <c r="G18" s="56">
        <v>1.0</v>
      </c>
      <c r="H18" s="56" t="s">
        <v>3676</v>
      </c>
      <c r="I18" s="56" t="s">
        <v>34</v>
      </c>
    </row>
    <row r="19">
      <c r="A19" s="7" t="s">
        <v>3677</v>
      </c>
      <c r="B19" s="86"/>
      <c r="C19" s="15"/>
      <c r="E19" s="16"/>
      <c r="F19" s="16" t="s">
        <v>3636</v>
      </c>
      <c r="G19" s="15"/>
      <c r="H19" s="15"/>
      <c r="I19" s="9"/>
    </row>
    <row r="20">
      <c r="A20" s="24" t="s">
        <v>3678</v>
      </c>
      <c r="B20" s="86" t="s">
        <v>3659</v>
      </c>
      <c r="C20" s="21" t="s">
        <v>389</v>
      </c>
      <c r="D20" s="7"/>
      <c r="E20" s="7" t="s">
        <v>3679</v>
      </c>
      <c r="F20" s="7"/>
      <c r="G20" s="9">
        <v>2.0</v>
      </c>
      <c r="H20" s="9" t="s">
        <v>1551</v>
      </c>
      <c r="I20" s="21" t="s">
        <v>28</v>
      </c>
    </row>
    <row r="21">
      <c r="A21" s="16" t="s">
        <v>3680</v>
      </c>
      <c r="B21" s="14" t="s">
        <v>3634</v>
      </c>
      <c r="C21" s="15" t="s">
        <v>30</v>
      </c>
      <c r="D21" s="16" t="s">
        <v>3681</v>
      </c>
      <c r="E21" s="16" t="s">
        <v>3682</v>
      </c>
      <c r="G21" s="15">
        <v>2.0</v>
      </c>
      <c r="I21" s="104"/>
    </row>
    <row r="22">
      <c r="A22" s="16" t="s">
        <v>3683</v>
      </c>
      <c r="B22" s="16" t="s">
        <v>3684</v>
      </c>
      <c r="C22" s="104"/>
      <c r="G22" s="104"/>
      <c r="I22" s="15" t="s">
        <v>72</v>
      </c>
    </row>
    <row r="23">
      <c r="A23" s="16" t="s">
        <v>3685</v>
      </c>
      <c r="B23" s="16" t="s">
        <v>3686</v>
      </c>
      <c r="C23" s="104"/>
      <c r="G23" s="104"/>
      <c r="I23" s="104"/>
    </row>
    <row r="24">
      <c r="A24" s="16" t="s">
        <v>3678</v>
      </c>
      <c r="B24" s="16" t="s">
        <v>3659</v>
      </c>
      <c r="C24" s="15"/>
      <c r="G24" s="15"/>
      <c r="H24" s="15"/>
      <c r="I24" s="15"/>
    </row>
    <row r="25">
      <c r="A25" s="16" t="s">
        <v>3687</v>
      </c>
      <c r="B25" s="90" t="s">
        <v>3659</v>
      </c>
      <c r="C25" s="15" t="s">
        <v>3688</v>
      </c>
      <c r="E25" s="16" t="s">
        <v>3689</v>
      </c>
      <c r="F25" s="16" t="s">
        <v>1972</v>
      </c>
      <c r="G25" s="15">
        <v>0.0</v>
      </c>
      <c r="H25" s="15" t="s">
        <v>1832</v>
      </c>
      <c r="I25" s="15" t="s">
        <v>28</v>
      </c>
    </row>
    <row r="26">
      <c r="A26" s="16" t="s">
        <v>3690</v>
      </c>
    </row>
    <row r="27">
      <c r="C27" s="104"/>
      <c r="E27" s="16" t="s">
        <v>3691</v>
      </c>
    </row>
    <row r="28">
      <c r="E28" s="16" t="s">
        <v>3692</v>
      </c>
    </row>
    <row r="29">
      <c r="E29" s="16" t="s">
        <v>3693</v>
      </c>
    </row>
    <row r="30">
      <c r="E30" s="16" t="s">
        <v>3694</v>
      </c>
    </row>
    <row r="31">
      <c r="E31" s="16" t="s">
        <v>3695</v>
      </c>
    </row>
    <row r="32">
      <c r="E32" s="16" t="s">
        <v>3696</v>
      </c>
    </row>
    <row r="33">
      <c r="E33" s="16" t="s">
        <v>3697</v>
      </c>
    </row>
    <row r="34">
      <c r="E34" s="16" t="s">
        <v>3698</v>
      </c>
    </row>
    <row r="35">
      <c r="A35" s="16" t="s">
        <v>3699</v>
      </c>
      <c r="B35" s="80" t="s">
        <v>3700</v>
      </c>
      <c r="C35" s="9" t="s">
        <v>3701</v>
      </c>
      <c r="D35" s="24"/>
      <c r="E35" s="7" t="s">
        <v>3702</v>
      </c>
      <c r="F35" s="7" t="s">
        <v>660</v>
      </c>
      <c r="G35" s="9">
        <v>2.0</v>
      </c>
      <c r="H35" s="9" t="s">
        <v>1212</v>
      </c>
      <c r="I35" s="9" t="s">
        <v>72</v>
      </c>
    </row>
    <row r="36">
      <c r="A36" s="16" t="s">
        <v>3703</v>
      </c>
      <c r="B36" s="78" t="s">
        <v>3700</v>
      </c>
      <c r="C36" s="15" t="s">
        <v>2477</v>
      </c>
      <c r="D36" s="16" t="s">
        <v>26</v>
      </c>
      <c r="F36" s="15">
        <v>2.0</v>
      </c>
      <c r="G36" s="15" t="s">
        <v>1078</v>
      </c>
      <c r="H36" s="15" t="s">
        <v>72</v>
      </c>
    </row>
    <row r="37">
      <c r="A37" s="51" t="s">
        <v>1518</v>
      </c>
      <c r="B37" s="16" t="s">
        <v>3704</v>
      </c>
      <c r="C37" s="16" t="s">
        <v>39</v>
      </c>
      <c r="D37" s="16" t="s">
        <v>3705</v>
      </c>
      <c r="F37" s="15">
        <v>0.0</v>
      </c>
      <c r="G37" s="15" t="s">
        <v>1520</v>
      </c>
      <c r="H37" s="15" t="s">
        <v>72</v>
      </c>
      <c r="I37" s="16" t="s">
        <v>3706</v>
      </c>
    </row>
    <row r="38">
      <c r="E38" s="16" t="s">
        <v>3707</v>
      </c>
    </row>
    <row r="39">
      <c r="E39" s="16" t="s">
        <v>3708</v>
      </c>
    </row>
    <row r="41">
      <c r="E41" s="20" t="s">
        <v>3691</v>
      </c>
    </row>
    <row r="42">
      <c r="E42" s="20" t="s">
        <v>3692</v>
      </c>
    </row>
    <row r="43">
      <c r="E43" s="20" t="s">
        <v>3693</v>
      </c>
    </row>
    <row r="44">
      <c r="E44" s="20" t="s">
        <v>3694</v>
      </c>
    </row>
    <row r="45">
      <c r="E45" s="20" t="s">
        <v>3695</v>
      </c>
    </row>
    <row r="46">
      <c r="E46" s="16" t="s">
        <v>3709</v>
      </c>
    </row>
    <row r="47">
      <c r="E47" s="16" t="s">
        <v>3710</v>
      </c>
    </row>
    <row r="48">
      <c r="E48" s="16" t="s">
        <v>3711</v>
      </c>
    </row>
    <row r="50">
      <c r="E50" s="16" t="s">
        <v>3712</v>
      </c>
    </row>
    <row r="51">
      <c r="E51" s="16" t="s">
        <v>3713</v>
      </c>
    </row>
    <row r="52">
      <c r="E52" s="16" t="s">
        <v>2490</v>
      </c>
    </row>
    <row r="53">
      <c r="A53" s="16" t="s">
        <v>3714</v>
      </c>
      <c r="E53" s="16" t="s">
        <v>3715</v>
      </c>
    </row>
    <row r="54">
      <c r="E54" s="16" t="s">
        <v>3716</v>
      </c>
    </row>
    <row r="55">
      <c r="A55" s="16" t="s">
        <v>3551</v>
      </c>
      <c r="E55" s="16" t="s">
        <v>3717</v>
      </c>
    </row>
    <row r="56">
      <c r="A56" s="16" t="s">
        <v>2501</v>
      </c>
      <c r="E56" s="16" t="s">
        <v>2502</v>
      </c>
    </row>
    <row r="58">
      <c r="E58" s="16" t="s">
        <v>3718</v>
      </c>
    </row>
    <row r="59">
      <c r="E59" s="16" t="s">
        <v>3719</v>
      </c>
    </row>
    <row r="61">
      <c r="E61" s="16" t="s">
        <v>3720</v>
      </c>
    </row>
    <row r="63">
      <c r="E63" s="16" t="s">
        <v>3721</v>
      </c>
    </row>
    <row r="64">
      <c r="E64" s="16" t="s">
        <v>3722</v>
      </c>
    </row>
    <row r="65">
      <c r="B65" s="16" t="s">
        <v>3723</v>
      </c>
    </row>
    <row r="67">
      <c r="E67" s="16" t="s">
        <v>3724</v>
      </c>
    </row>
    <row r="68">
      <c r="A68" s="16" t="s">
        <v>3725</v>
      </c>
      <c r="E68" s="16" t="s">
        <v>3726</v>
      </c>
    </row>
    <row r="69">
      <c r="E69" s="16" t="s">
        <v>3727</v>
      </c>
    </row>
    <row r="70">
      <c r="E70" s="16" t="s">
        <v>3728</v>
      </c>
    </row>
    <row r="71">
      <c r="A71" s="16" t="s">
        <v>1759</v>
      </c>
      <c r="E71" s="16" t="s">
        <v>3729</v>
      </c>
    </row>
    <row r="72">
      <c r="E72" s="16" t="s">
        <v>3730</v>
      </c>
    </row>
    <row r="73">
      <c r="E73" s="16" t="s">
        <v>3731</v>
      </c>
    </row>
    <row r="74">
      <c r="E74" s="16" t="s">
        <v>3732</v>
      </c>
    </row>
    <row r="75">
      <c r="E75" s="16" t="s">
        <v>3733</v>
      </c>
    </row>
    <row r="76">
      <c r="E76" s="16" t="s">
        <v>3734</v>
      </c>
    </row>
    <row r="77">
      <c r="E77" s="16" t="s">
        <v>3735</v>
      </c>
    </row>
    <row r="78">
      <c r="E78" s="16" t="s">
        <v>3736</v>
      </c>
    </row>
    <row r="80">
      <c r="E80" s="16" t="s">
        <v>3737</v>
      </c>
    </row>
    <row r="82">
      <c r="E82" s="16" t="s">
        <v>3738</v>
      </c>
    </row>
    <row r="83">
      <c r="E83" s="16" t="s">
        <v>3739</v>
      </c>
    </row>
    <row r="84">
      <c r="E84" s="16" t="s">
        <v>3740</v>
      </c>
    </row>
    <row r="85">
      <c r="E85" s="16" t="s">
        <v>3741</v>
      </c>
    </row>
    <row r="86">
      <c r="E86" s="16" t="s">
        <v>3742</v>
      </c>
    </row>
    <row r="87">
      <c r="E87" s="16" t="s">
        <v>3743</v>
      </c>
    </row>
    <row r="89">
      <c r="E89" s="16" t="s">
        <v>3744</v>
      </c>
    </row>
    <row r="90">
      <c r="E90" s="16" t="s">
        <v>3745</v>
      </c>
    </row>
    <row r="92">
      <c r="E92" s="16" t="s">
        <v>3746</v>
      </c>
    </row>
    <row r="93">
      <c r="E93" s="16" t="s">
        <v>3747</v>
      </c>
    </row>
    <row r="94">
      <c r="A94" s="16" t="s">
        <v>3748</v>
      </c>
      <c r="E94" s="16" t="s">
        <v>3749</v>
      </c>
    </row>
    <row r="95">
      <c r="E95" s="29" t="s">
        <v>2451</v>
      </c>
    </row>
    <row r="96">
      <c r="E96" s="16" t="s">
        <v>3750</v>
      </c>
    </row>
    <row r="97">
      <c r="A97" s="16" t="s">
        <v>3751</v>
      </c>
      <c r="E97" s="16" t="s">
        <v>3752</v>
      </c>
    </row>
    <row r="98">
      <c r="E98" s="229" t="s">
        <v>3753</v>
      </c>
    </row>
    <row r="100">
      <c r="A100" s="16" t="s">
        <v>3754</v>
      </c>
    </row>
    <row r="102">
      <c r="A102" s="24"/>
      <c r="B102" s="16" t="s">
        <v>3755</v>
      </c>
      <c r="E102" s="16" t="s">
        <v>3756</v>
      </c>
      <c r="F102" s="7"/>
      <c r="G102" s="7"/>
      <c r="H102" s="7"/>
      <c r="I102" s="230"/>
      <c r="J102" s="9"/>
      <c r="K102" s="231"/>
      <c r="L102" s="21"/>
    </row>
    <row r="103">
      <c r="A103" s="16" t="s">
        <v>3757</v>
      </c>
    </row>
    <row r="104">
      <c r="A104" s="20" t="s">
        <v>3758</v>
      </c>
      <c r="B104" s="20" t="s">
        <v>3700</v>
      </c>
      <c r="C104" s="20" t="s">
        <v>2456</v>
      </c>
      <c r="E104" s="20" t="s">
        <v>3759</v>
      </c>
      <c r="G104" s="20">
        <v>2.0</v>
      </c>
      <c r="H104" s="20" t="s">
        <v>1054</v>
      </c>
      <c r="I104" s="16" t="s">
        <v>34</v>
      </c>
    </row>
    <row r="105">
      <c r="A105" s="22" t="s">
        <v>3760</v>
      </c>
      <c r="B105" s="97" t="s">
        <v>1935</v>
      </c>
      <c r="C105" s="9" t="s">
        <v>1959</v>
      </c>
      <c r="E105" s="7" t="s">
        <v>3761</v>
      </c>
      <c r="G105" s="9">
        <v>0.0</v>
      </c>
      <c r="H105" s="9" t="s">
        <v>3762</v>
      </c>
      <c r="I105" s="9" t="s">
        <v>34</v>
      </c>
    </row>
    <row r="106">
      <c r="A106" s="16" t="s">
        <v>3763</v>
      </c>
      <c r="B106" s="90" t="s">
        <v>1549</v>
      </c>
      <c r="C106" s="15" t="s">
        <v>410</v>
      </c>
      <c r="E106" s="16" t="s">
        <v>3764</v>
      </c>
      <c r="G106" s="15">
        <v>0.0</v>
      </c>
      <c r="H106" s="15" t="s">
        <v>1574</v>
      </c>
      <c r="I106" s="15" t="s">
        <v>72</v>
      </c>
    </row>
    <row r="107">
      <c r="A107" s="7" t="s">
        <v>3765</v>
      </c>
      <c r="B107" s="8" t="s">
        <v>23</v>
      </c>
      <c r="C107" s="9" t="s">
        <v>30</v>
      </c>
      <c r="E107" s="29" t="s">
        <v>91</v>
      </c>
      <c r="G107" s="9">
        <v>6.0</v>
      </c>
      <c r="H107" s="9" t="s">
        <v>64</v>
      </c>
      <c r="I107" s="9" t="s">
        <v>28</v>
      </c>
    </row>
    <row r="108">
      <c r="A108" s="16" t="s">
        <v>3766</v>
      </c>
      <c r="C108" s="16" t="s">
        <v>1739</v>
      </c>
      <c r="E108" s="16" t="s">
        <v>3767</v>
      </c>
      <c r="I108" s="16" t="s">
        <v>72</v>
      </c>
    </row>
    <row r="109">
      <c r="A109" s="16" t="s">
        <v>3768</v>
      </c>
      <c r="B109" s="16" t="s">
        <v>393</v>
      </c>
      <c r="C109" s="16" t="s">
        <v>82</v>
      </c>
      <c r="E109" s="16" t="s">
        <v>3769</v>
      </c>
      <c r="G109" s="16">
        <v>4.0</v>
      </c>
      <c r="H109" s="16" t="s">
        <v>3770</v>
      </c>
    </row>
  </sheetData>
  <drawing r:id="rId1"/>
</worksheet>
</file>