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<sst xmlns="http://schemas.openxmlformats.org/spreadsheetml/2006/main" count="7211" uniqueCount="3295">
  <si>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</si>
  <si>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</si>
  <si>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</si>
  <si>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</si>
  <si>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</si>
  <si>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</si>
  <si>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</si>
  <si>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</si>
  <si>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</si>
  <si>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</si>
  <si>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</si>
  <si>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</si>
  <si>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</si>
  <si>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</si>
  <si>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</si>
  <si>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</si>
  <si>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</si>
  <si>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</si>
  <si>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</si>
  <si>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</si>
  <si>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</si>
  <si>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</si>
  <si>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</si>
  <si>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</si>
  <si>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</si>
  <si>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</si>
  <si>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</si>
  <si>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</si>
  <si>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</si>
  <si>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</si>
  <si>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</si>
  <si>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</si>
  <si>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</si>
  <si>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</si>
  <si>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</si>
  <si>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</si>
  <si>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</si>
  <si>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</si>
  <si>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</si>
  <si>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</si>
  <si>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</si>
  <si>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</si>
  <si>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</si>
  <si>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</si>
  <si>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</si>
  <si>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</si>
  <si>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</si>
  <si>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</si>
  <si>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</si>
  <si>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</si>
  <si>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</si>
  <si>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</si>
  <si>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</si>
  <si>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</si>
  <si>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</si>
  <si>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</si>
  <si>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</si>
  <si>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</si>
  <si>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</si>
  <si>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</si>
  <si>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</si>
  <si>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</si>
  <si>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</si>
  <si>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</si>
  <si>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</si>
  <si>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</si>
  <si>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</si>
  <si>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</si>
  <si>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</si>
  <si>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</si>
  <si>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</si>
  <si>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</si>
  <si>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</si>
  <si>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</si>
  <si>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</si>
  <si>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</si>
  <si>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</si>
  <si>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</si>
  <si>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</si>
  <si>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</si>
  <si>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</si>
  <si>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</si>
  <si>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</si>
  <si>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</si>
  <si>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</si>
  <si>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</si>
  <si>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</si>
  <si>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</si>
  <si>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</si>
  <si>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</si>
  <si>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</si>
  <si>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</si>
  <si>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</si>
  <si>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</si>
  <si>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</si>
  <si>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</si>
  <si>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</si>
  <si>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</si>
  <si>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</si>
  <si>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</si>
  <si>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</si>
  <si>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</si>
  <si>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</si>
  <si>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</si>
  <si>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</si>
  <si>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</si>
  <si>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</si>
  <si>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</si>
  <si>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</si>
  <si>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</si>
  <si>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</si>
  <si>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</si>
  <si>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</si>
  <si>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</si>
  <si>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</si>
  <si>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</si>
  <si>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</si>
  <si>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</si>
  <si>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</si>
  <si>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</si>
  <si>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</si>
  <si>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</si>
  <si>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</si>
  <si>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</si>
  <si>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</si>
  <si>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</si>
  <si>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</si>
  <si>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</si>
  <si>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</si>
  <si>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</si>
  <si>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</si>
  <si>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</si>
  <si>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</si>
  <si>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</si>
  <si>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</si>
  <si>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</si>
  <si>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</si>
  <si>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</si>
  <si>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</si>
  <si>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</si>
  <si>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</si>
  <si>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</si>
  <si>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</si>
  <si>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</si>
  <si>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</si>
  <si>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</si>
  <si>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</si>
  <si>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</si>
  <si>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</si>
  <si>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</si>
  <si>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</si>
  <si>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</si>
  <si>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</si>
  <si>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</si>
  <si>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</si>
  <si>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</si>
  <si>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</si>
  <si>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</si>
  <si>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</si>
  <si>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</si>
  <si>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</si>
  <si>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</si>
  <si>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</si>
  <si>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</si>
  <si>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</si>
  <si>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</si>
  <si>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</si>
  <si>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</si>
  <si>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</si>
  <si>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</si>
  <si>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</si>
  <si>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</si>
  <si>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</si>
  <si>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</si>
  <si>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</si>
  <si>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</si>
  <si>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</si>
  <si>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</si>
  <si>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</si>
  <si>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</si>
  <si>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</si>
  <si>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</si>
  <si>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</si>
  <si>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</si>
  <si>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</si>
  <si>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</si>
  <si>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</si>
  <si>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</si>
  <si>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</si>
  <si>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</si>
  <si>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</si>
  <si>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</si>
  <si>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</si>
  <si>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</si>
  <si>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</si>
  <si>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</si>
  <si>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</si>
  <si>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</si>
  <si>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</si>
  <si>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</si>
  <si>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</si>
  <si>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</si>
  <si>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</si>
  <si>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</si>
  <si>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</si>
  <si>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</si>
  <si>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</si>
  <si>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</si>
  <si>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</si>
  <si>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</si>
  <si>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</si>
  <si>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</si>
  <si>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</si>
  <si>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</si>
  <si>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</si>
  <si>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</si>
  <si>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</si>
  <si>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</si>
  <si>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</si>
  <si>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</si>
  <si>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</si>
  <si>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</si>
  <si>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</si>
  <si>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</si>
  <si>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</si>
  <si>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</si>
  <si>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</si>
  <si>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</si>
  <si>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</si>
  <si>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</si>
  <si>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</si>
  <si>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</si>
  <si>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</si>
  <si>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</si>
  <si>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</si>
  <si>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</si>
  <si>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</si>
  <si>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</si>
  <si>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</si>
  <si>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</si>
  <si>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</si>
  <si>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</si>
  <si>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</si>
  <si>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</si>
  <si>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</si>
  <si>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</si>
  <si>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</si>
  <si>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</si>
  <si>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</si>
  <si>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</si>
  <si>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</si>
  <si>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</si>
  <si>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</si>
  <si>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</si>
  <si>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</si>
  <si>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</si>
  <si>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</si>
  <si>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</si>
  <si>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</si>
  <si>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</si>
  <si>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</si>
  <si>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</si>
  <si>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</si>
  <si>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</si>
  <si>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</si>
  <si>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</si>
  <si>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</si>
  <si>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</si>
  <si>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</si>
  <si>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</si>
  <si>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</si>
  <si>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</si>
  <si>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</si>
  <si>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</si>
  <si>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</si>
  <si>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</si>
  <si>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</si>
  <si>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</si>
  <si>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</si>
  <si>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</si>
  <si>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</si>
  <si>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</si>
  <si>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</si>
  <si>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</si>
  <si>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</si>
  <si>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</si>
  <si>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</si>
  <si>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</si>
  <si>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</si>
  <si>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</si>
  <si>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</si>
  <si>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</si>
  <si>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</si>
  <si>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</si>
  <si>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</si>
  <si>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</si>
  <si>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</si>
  <si>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</si>
  <si>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</si>
  <si>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</si>
  <si>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</si>
  <si>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</si>
  <si>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</si>
  <si>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</si>
  <si>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</si>
  <si>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</si>
  <si>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</si>
  <si>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</si>
  <si>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</si>
  <si>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</si>
  <si>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</si>
  <si>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</si>
  <si>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</si>
  <si>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</si>
  <si>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</si>
  <si>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</si>
  <si>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</si>
  <si>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</si>
  <si>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</si>
  <si>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</si>
  <si>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</si>
  <si>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</si>
  <si>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</si>
  <si>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</si>
  <si>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</si>
  <si>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</si>
  <si>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</si>
  <si>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</si>
  <si>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</si>
  <si>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</si>
  <si>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</si>
  <si>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</si>
  <si>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</si>
  <si>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</si>
  <si>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</si>
  <si>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</si>
  <si>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</si>
  <si>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</si>
  <si>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</si>
  <si>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</si>
  <si>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</si>
  <si>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</si>
  <si>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</si>
  <si>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</si>
  <si>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</si>
  <si>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</si>
  <si>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</si>
  <si>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</si>
  <si>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</si>
  <si>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</si>
  <si>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</si>
  <si>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</si>
  <si>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</si>
  <si>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</si>
  <si>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</si>
  <si>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</si>
  <si>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</si>
  <si>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</si>
  <si>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</si>
  <si>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</si>
  <si>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</si>
  <si>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</si>
  <si>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</si>
  <si>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</si>
  <si>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</si>
  <si>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</si>
  <si>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</si>
  <si>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</si>
  <si>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</si>
  <si>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</si>
  <si>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</si>
  <si>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</si>
  <si>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</si>
  <si>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</si>
  <si>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</si>
  <si>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</si>
  <si>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</si>
  <si>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</si>
  <si>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</si>
  <si>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</si>
  <si>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</si>
  <si>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</si>
  <si>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</si>
  <si>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</si>
  <si>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</si>
  <si>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</si>
  <si>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</si>
  <si>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</si>
  <si>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</si>
  <si>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</si>
  <si>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</si>
  <si>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</si>
  <si>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</si>
  <si>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</si>
  <si>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</si>
  <si>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</si>
  <si>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</si>
  <si>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</si>
  <si>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</si>
  <si>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</si>
  <si>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</si>
  <si>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</si>
  <si>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</si>
  <si>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</si>
  <si>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</si>
  <si>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</si>
  <si>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</si>
  <si>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</si>
  <si>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</si>
  <si>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</si>
  <si>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</si>
  <si>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</si>
  <si>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</si>
  <si>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</si>
  <si>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</si>
  <si>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</si>
  <si>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</si>
  <si>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</si>
  <si>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</si>
  <si>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</si>
  <si>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</si>
  <si>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</si>
  <si>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</si>
  <si>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</si>
  <si>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</si>
  <si>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</si>
  <si>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</si>
  <si>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</si>
  <si>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</si>
  <si>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</si>
  <si>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</si>
  <si>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</si>
  <si>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</si>
  <si>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</si>
  <si>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</si>
  <si>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</si>
  <si>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</si>
  <si>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</si>
  <si>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</si>
  <si>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</si>
  <si>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</si>
  <si>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</si>
  <si>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</si>
  <si>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</si>
  <si>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</si>
  <si>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</si>
  <si>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</si>
  <si>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</si>
  <si>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</si>
  <si>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</si>
  <si>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</si>
  <si>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</si>
  <si>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</si>
  <si>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</si>
  <si>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</si>
  <si>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</si>
  <si>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</si>
  <si>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</si>
  <si>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</si>
  <si>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</si>
  <si>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</si>
  <si>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</si>
  <si>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</si>
  <si>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</si>
  <si>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</si>
  <si>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</si>
  <si>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</si>
  <si>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</si>
  <si>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</si>
  <si>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</si>
  <si>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</si>
  <si>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</si>
  <si>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</si>
  <si>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</si>
  <si>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</si>
  <si>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</si>
  <si>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</si>
  <si>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</si>
  <si>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</si>
  <si>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</si>
  <si>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</si>
  <si>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</si>
  <si>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</si>
  <si>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</si>
  <si>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</si>
  <si>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</si>
  <si>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</si>
  <si>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</si>
  <si>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</si>
  <si>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</si>
  <si>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</si>
  <si>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</si>
  <si>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</si>
  <si>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</si>
  <si>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</si>
  <si>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</si>
  <si>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</si>
  <si>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</si>
  <si>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</si>
  <si>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</si>
  <si>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</si>
  <si>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</si>
  <si>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</si>
  <si>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</si>
  <si>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</si>
  <si>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</si>
  <si>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</si>
  <si>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</si>
  <si>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</si>
  <si>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</si>
  <si>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</si>
  <si>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</si>
  <si>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</si>
  <si>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</si>
  <si>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</si>
  <si>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</si>
  <si>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</si>
  <si>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</si>
  <si>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</si>
  <si>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</si>
  <si>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</si>
  <si>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</si>
  <si>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</si>
  <si>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</si>
  <si>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</si>
  <si>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</si>
  <si>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</si>
  <si>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</si>
  <si>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</si>
  <si>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</si>
  <si>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</si>
  <si>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</si>
  <si>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</si>
  <si>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</si>
  <si>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</si>
  <si>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</si>
  <si>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</si>
  <si>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</si>
  <si>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</si>
  <si>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</si>
  <si>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</si>
  <si>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</si>
  <si>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</si>
  <si>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</si>
  <si>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</si>
  <si>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</si>
  <si>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</si>
  <si>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</si>
  <si>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</si>
  <si>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</si>
  <si>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</si>
  <si>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</si>
  <si>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</si>
  <si>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</si>
  <si>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</si>
  <si>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</si>
  <si>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</si>
  <si>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</si>
  <si>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</si>
  <si>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</si>
  <si>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</si>
  <si>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</si>
  <si>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</si>
  <si>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</si>
  <si>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</si>
  <si>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</si>
  <si>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</si>
  <si>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</si>
  <si>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</si>
  <si>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</si>
  <si>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</si>
  <si>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</si>
  <si>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</si>
  <si>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</si>
  <si>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</si>
  <si>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</si>
  <si>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</si>
  <si>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</si>
  <si>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</si>
  <si>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</si>
  <si>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</si>
  <si>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</si>
  <si>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</si>
  <si>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</si>
  <si>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</si>
  <si>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</si>
  <si>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</si>
  <si>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</si>
  <si>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</si>
  <si>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</si>
  <si>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</si>
  <si>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</si>
  <si>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</si>
  <si>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</si>
  <si>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</si>
  <si>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</si>
  <si>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</si>
  <si>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</si>
  <si>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</si>
  <si>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</si>
  <si>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</si>
  <si>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</si>
  <si>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</si>
  <si>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</si>
  <si>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</si>
  <si>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</si>
  <si>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</si>
  <si>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</si>
  <si>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</si>
  <si>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</si>
  <si>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</si>
  <si>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</si>
  <si>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</si>
  <si>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</si>
  <si>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</si>
  <si>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</si>
  <si>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</si>
  <si>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</si>
  <si>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</si>
  <si>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</si>
  <si>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</si>
  <si>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</si>
  <si>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</si>
  <si>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</si>
  <si>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</si>
  <si>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</si>
  <si>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</si>
  <si>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</si>
  <si>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</si>
  <si>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</si>
  <si>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</si>
  <si>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</si>
  <si>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</si>
  <si>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</si>
  <si>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</si>
  <si>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</si>
  <si>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</si>
  <si>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</si>
  <si>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</si>
  <si>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</si>
  <si>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</si>
  <si>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</si>
  <si>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</si>
  <si>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</si>
  <si>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</si>
  <si>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</si>
  <si>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</si>
  <si>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</si>
  <si>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</si>
  <si>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</si>
  <si>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</si>
  <si>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</si>
  <si>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</si>
  <si>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</si>
  <si>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</si>
  <si>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</si>
  <si>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</si>
  <si>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</si>
  <si>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</si>
  <si>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</si>
  <si>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</si>
  <si>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</si>
  <si>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</si>
  <si>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</si>
  <si>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</si>
  <si>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</si>
  <si>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</si>
  <si>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</si>
  <si>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</si>
  <si>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</si>
  <si>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</si>
  <si>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</si>
  <si>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</si>
  <si>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</si>
  <si>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</si>
  <si>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</si>
  <si>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</si>
  <si>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</si>
  <si>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</si>
  <si>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</si>
  <si>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</si>
  <si>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</si>
  <si>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</si>
  <si>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</si>
  <si>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</si>
  <si>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</si>
  <si>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</si>
  <si>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</si>
  <si>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</si>
  <si>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</si>
  <si>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</si>
  <si>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</si>
  <si>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</si>
  <si>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</si>
  <si>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</si>
  <si>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</si>
  <si>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</si>
  <si>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</si>
  <si>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</si>
  <si>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</si>
  <si>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</si>
  <si>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</si>
  <si>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</si>
  <si>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</si>
  <si>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</si>
  <si>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</si>
  <si>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</si>
  <si>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</si>
  <si>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</si>
  <si>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</si>
  <si>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</si>
  <si>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</si>
  <si>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</si>
  <si>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</si>
  <si>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</si>
  <si>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</si>
  <si>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</si>
  <si>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</si>
  <si>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</si>
  <si>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</si>
  <si>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</si>
  <si>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</si>
  <si>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</si>
  <si>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</si>
  <si>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</si>
  <si>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</si>
  <si>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</si>
  <si>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</si>
  <si>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</si>
  <si>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</si>
  <si>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</si>
  <si>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</si>
  <si>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</si>
  <si>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</si>
  <si>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</si>
  <si>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</si>
  <si>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</si>
  <si>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</si>
  <si>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</si>
  <si>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</si>
  <si>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</si>
  <si>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</si>
  <si>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</si>
  <si>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</si>
  <si>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</si>
  <si>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</si>
  <si>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</si>
  <si>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</si>
  <si>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</si>
  <si>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</si>
  <si>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</si>
  <si>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</si>
  <si>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</si>
  <si>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</si>
  <si>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</si>
  <si>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</si>
  <si>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</si>
  <si>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</si>
  <si>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</si>
  <si>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</si>
  <si>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</si>
  <si>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</si>
  <si>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</si>
  <si>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</si>
  <si>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</si>
  <si>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</si>
  <si>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</si>
  <si>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</si>
  <si>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</si>
  <si>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</si>
  <si>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</si>
  <si>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</si>
  <si>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</si>
  <si>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</si>
  <si>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</si>
  <si>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</si>
  <si>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</si>
  <si>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</si>
  <si>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</si>
  <si>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</si>
  <si>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</si>
  <si>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</si>
  <si>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</si>
  <si>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</si>
  <si>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</si>
  <si>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</si>
  <si>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</si>
  <si>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</si>
  <si>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</si>
  <si>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</si>
  <si>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</si>
  <si>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</si>
  <si>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</si>
  <si>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</si>
  <si>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</si>
  <si>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</si>
  <si>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</si>
  <si>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</si>
  <si>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</si>
  <si>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</si>
  <si>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</si>
  <si>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</si>
  <si>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</si>
  <si>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</si>
  <si>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</si>
  <si>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</si>
  <si>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</si>
  <si>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</si>
  <si>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</si>
  <si>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</si>
  <si>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</si>
  <si>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</si>
  <si>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</si>
  <si>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</si>
  <si>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</si>
  <si>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</si>
  <si>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</si>
  <si>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</si>
  <si>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</si>
  <si>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</si>
  <si>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</si>
  <si>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</si>
  <si>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</si>
  <si>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</si>
  <si>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</si>
  <si>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</si>
  <si>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</si>
  <si>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</si>
  <si>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</si>
  <si>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</si>
  <si>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</si>
  <si>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</si>
  <si>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</si>
  <si>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</si>
  <si>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</si>
  <si>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</si>
  <si>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</si>
  <si>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</si>
  <si>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</si>
  <si>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</si>
  <si>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</si>
  <si>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</si>
  <si>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</si>
  <si>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</si>
  <si>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</si>
  <si>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</si>
  <si>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</si>
  <si>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</si>
  <si>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</si>
  <si>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</si>
  <si>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</si>
  <si>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</si>
  <si>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</si>
  <si>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</si>
  <si>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</si>
  <si>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</si>
  <si>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</si>
  <si>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</si>
  <si>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</si>
  <si>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</si>
  <si>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</si>
  <si>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</si>
  <si>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</si>
  <si>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</si>
  <si>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</si>
  <si>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</si>
  <si>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</si>
  <si>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</si>
  <si>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</si>
  <si>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</si>
  <si>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</si>
  <si>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</si>
  <si>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</si>
  <si>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</si>
  <si>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</si>
  <si>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</si>
  <si>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</si>
  <si>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</si>
  <si>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</si>
  <si>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</si>
  <si>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</si>
  <si>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</si>
  <si>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</si>
  <si>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</si>
  <si>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</si>
  <si>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</si>
  <si>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</si>
  <si>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</si>
  <si>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</si>
  <si>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</si>
  <si>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</si>
  <si>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</si>
  <si>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</si>
  <si>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</si>
  <si>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</si>
  <si>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</si>
  <si>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</si>
  <si>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</si>
  <si>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</si>
  <si>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</si>
  <si>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</si>
  <si>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</si>
  <si>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</si>
  <si>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</si>
  <si>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</si>
  <si>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</si>
  <si>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</si>
  <si>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</si>
  <si>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</si>
  <si>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</si>
  <si>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</si>
  <si>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</si>
  <si>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</si>
  <si>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</si>
  <si>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</si>
  <si>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</si>
  <si>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</si>
  <si>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</si>
  <si>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</si>
  <si>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</si>
  <si>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</si>
  <si>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</si>
  <si>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</si>
  <si>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</si>
  <si>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</si>
  <si>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</si>
  <si>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</si>
  <si>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</si>
  <si>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</si>
  <si>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</si>
  <si>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</si>
  <si>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</si>
  <si>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</si>
  <si>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</si>
  <si>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</si>
  <si>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</si>
  <si>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</si>
  <si>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</si>
  <si>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</si>
  <si>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</si>
  <si>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</si>
  <si>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</si>
  <si>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</si>
  <si>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</si>
  <si>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</si>
  <si>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</si>
  <si>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</si>
  <si>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</si>
  <si>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</si>
  <si>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</si>
  <si>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</si>
  <si>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</si>
  <si>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</si>
  <si>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</si>
  <si>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</si>
  <si>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</si>
  <si>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</si>
  <si>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</si>
  <si>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</si>
  <si>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</si>
  <si>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</si>
  <si>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</si>
  <si>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</si>
  <si>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</si>
  <si>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</si>
  <si>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</si>
  <si>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</si>
  <si>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</si>
  <si>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</si>
  <si>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</si>
  <si>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</si>
  <si>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</si>
  <si>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</si>
  <si>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</si>
  <si>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</si>
  <si>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</si>
  <si>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</si>
  <si>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</si>
  <si>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</si>
  <si>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</si>
  <si>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</si>
  <si>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</si>
  <si>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</si>
  <si>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</si>
  <si>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</si>
  <si>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</si>
  <si>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</si>
  <si>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</si>
  <si>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</si>
  <si>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</si>
  <si>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</si>
  <si>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</si>
  <si>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</si>
  <si>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</si>
  <si>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</si>
  <si>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</si>
  <si>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</si>
  <si>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</si>
  <si>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</si>
  <si>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</si>
  <si>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</si>
  <si>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</si>
  <si>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</si>
  <si>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</si>
  <si>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</si>
  <si>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</si>
  <si>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</si>
  <si>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</si>
  <si>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</si>
  <si>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</si>
  <si>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</si>
  <si>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</si>
  <si>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</si>
  <si>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</si>
  <si>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</si>
  <si>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</si>
  <si>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</si>
  <si>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</si>
  <si>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</si>
  <si>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</si>
  <si>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</si>
  <si>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</si>
  <si>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</si>
  <si>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</si>
  <si>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</si>
  <si>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</si>
  <si>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</si>
  <si>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</si>
  <si>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</si>
  <si>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</si>
  <si>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</si>
  <si>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</si>
  <si>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</si>
  <si>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</si>
  <si>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</si>
  <si>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</si>
  <si>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</si>
  <si>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</si>
  <si>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</si>
  <si>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</si>
  <si>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</si>
  <si>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</si>
  <si>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</si>
  <si>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</si>
  <si>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</si>
  <si>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</si>
  <si>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</si>
  <si>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</si>
  <si>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</si>
  <si>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</si>
  <si>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</si>
  <si>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</si>
  <si>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</si>
  <si>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</si>
  <si>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</si>
  <si>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</si>
  <si>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</si>
  <si>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</si>
  <si>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</si>
  <si>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</si>
  <si>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</si>
  <si>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</si>
  <si>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</si>
  <si>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</si>
  <si>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</si>
  <si>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</si>
  <si>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</si>
  <si>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</si>
  <si>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</si>
  <si>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</si>
  <si>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</si>
  <si>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</si>
  <si>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</si>
  <si>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</si>
  <si>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</si>
  <si>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</si>
  <si>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</si>
  <si>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</si>
  <si>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</si>
  <si>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</si>
  <si>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</si>
  <si>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</si>
  <si>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</si>
  <si>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</si>
  <si>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</si>
  <si>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</si>
  <si>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</si>
  <si>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</si>
  <si>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</si>
  <si>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</si>
  <si>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</si>
  <si>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</si>
  <si>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</si>
  <si>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</si>
  <si>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</si>
  <si>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</si>
  <si>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</si>
  <si>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</si>
  <si>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</si>
  <si>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</si>
  <si>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</si>
  <si>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</si>
  <si>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</si>
  <si>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</si>
  <si>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</si>
  <si>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</si>
  <si>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</si>
  <si>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</si>
  <si>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</si>
  <si>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</si>
  <si>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</si>
  <si>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</si>
  <si>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</si>
  <si>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</si>
  <si>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</si>
  <si>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</si>
  <si>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</si>
  <si>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</si>
  <si>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</si>
  <si>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</si>
  <si>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</si>
  <si>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</si>
  <si>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</si>
  <si>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</si>
  <si>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</si>
  <si>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</si>
  <si>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</si>
  <si>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</si>
  <si>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</si>
  <si>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</si>
  <si>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</si>
  <si>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</si>
  <si>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</si>
  <si>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</si>
  <si>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</si>
  <si>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</si>
  <si>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</si>
  <si>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</si>
  <si>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</si>
  <si>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</si>
  <si>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</si>
  <si>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</si>
  <si>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</si>
  <si>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</si>
  <si>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</si>
  <si>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</si>
  <si>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</si>
  <si>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</si>
  <si>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</si>
  <si>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</si>
  <si>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</si>
  <si>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</si>
  <si>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</si>
  <si>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</si>
  <si>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</si>
  <si>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</si>
  <si>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</si>
  <si>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</si>
  <si>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</si>
  <si>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</si>
  <si>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</si>
  <si>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</si>
  <si>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</si>
  <si>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</si>
  <si>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</si>
  <si>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</si>
  <si>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</si>
  <si>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</si>
  <si>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</si>
  <si>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</si>
  <si>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</si>
  <si>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</si>
  <si>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</si>
  <si>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</si>
  <si>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</si>
  <si>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</si>
  <si>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</si>
  <si>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</si>
  <si>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</si>
  <si>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</si>
  <si>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</si>
  <si>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</si>
  <si>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</si>
  <si>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</si>
  <si>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</si>
  <si>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</si>
  <si>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</si>
  <si>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</si>
  <si>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</si>
  <si>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</si>
  <si>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</si>
  <si>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</si>
  <si>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</si>
  <si>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</si>
  <si>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</si>
  <si>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</si>
  <si>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</si>
  <si>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</si>
  <si>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</si>
  <si>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</si>
  <si>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</si>
  <si>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</si>
  <si>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</si>
  <si>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</si>
  <si>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</si>
  <si>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</si>
  <si>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</si>
  <si>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</si>
  <si>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</si>
  <si>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</si>
  <si>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</si>
  <si>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</si>
  <si>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</si>
  <si>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</si>
  <si>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</si>
  <si>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</si>
  <si>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</si>
  <si>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</si>
  <si>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</si>
  <si>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</si>
  <si>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</si>
  <si>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</si>
  <si>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</si>
  <si>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</si>
  <si>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</si>
  <si>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</si>
  <si>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</si>
  <si>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</si>
  <si>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</si>
  <si>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</si>
  <si>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</si>
  <si>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</si>
  <si>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</si>
  <si>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</si>
  <si>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</si>
  <si>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</si>
  <si>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</si>
  <si>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</si>
  <si>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</si>
  <si>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</si>
  <si>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</si>
  <si>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</si>
  <si>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</si>
  <si>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</si>
  <si>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</si>
  <si>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</si>
  <si>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</si>
  <si>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</si>
  <si>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</si>
  <si>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</si>
  <si>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</si>
  <si>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</si>
  <si>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</si>
  <si>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</si>
  <si>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</si>
  <si>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</si>
  <si>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</si>
  <si>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</si>
  <si>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</si>
  <si>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</si>
  <si>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</si>
  <si>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</si>
  <si>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</si>
  <si>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</si>
  <si>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</si>
  <si>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</si>
  <si>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</si>
  <si>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</si>
  <si>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</si>
  <si>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</si>
  <si>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</si>
  <si>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</si>
  <si>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</si>
  <si>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</si>
  <si>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</si>
  <si>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</si>
  <si>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</si>
  <si>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</si>
  <si>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</si>
  <si>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</si>
  <si>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</si>
  <si>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</si>
  <si>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</si>
  <si>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</si>
  <si>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</si>
  <si>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</si>
  <si>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</si>
  <si>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</si>
  <si>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</si>
  <si>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</si>
  <si>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</si>
  <si>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</si>
  <si>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</si>
  <si>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</si>
  <si>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</si>
  <si>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</si>
  <si>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</si>
  <si>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</si>
  <si>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</si>
  <si>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</si>
  <si>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</si>
  <si>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</si>
  <si>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</si>
  <si>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</si>
  <si>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</si>
  <si>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</si>
  <si>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</si>
  <si>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</si>
  <si>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</si>
  <si>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</si>
  <si>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</si>
  <si>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</si>
  <si>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</si>
  <si>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</si>
  <si>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</si>
  <si>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</si>
  <si>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</si>
  <si>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</si>
  <si>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</si>
  <si>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</si>
  <si>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</si>
  <si>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</si>
  <si>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</si>
  <si>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</si>
  <si>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</si>
  <si>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</si>
  <si>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</si>
  <si>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</si>
  <si>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</si>
  <si>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</si>
  <si>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</si>
  <si>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</si>
  <si>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</si>
  <si>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</si>
  <si>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</si>
  <si>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</si>
  <si>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</si>
  <si>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</si>
  <si>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</si>
  <si>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</si>
  <si>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</si>
  <si>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</si>
  <si>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</si>
  <si>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</si>
  <si>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</si>
  <si>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</si>
  <si>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</si>
  <si>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</si>
  <si>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</si>
  <si>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</si>
  <si>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</si>
  <si>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</si>
  <si>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</si>
  <si>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</si>
  <si>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</si>
  <si>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</si>
  <si>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</si>
  <si>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</si>
  <si>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</si>
  <si>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</si>
  <si>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</si>
  <si>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</si>
  <si>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</si>
  <si>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</si>
  <si>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</si>
  <si>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</si>
  <si>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</si>
  <si>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</si>
  <si>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</si>
  <si>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</si>
  <si>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</si>
  <si>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</si>
  <si>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</si>
  <si>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</si>
  <si>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</si>
  <si>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</si>
  <si>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</si>
  <si>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</si>
  <si>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</si>
  <si>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</si>
  <si>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</si>
  <si>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</si>
  <si>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</si>
  <si>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</si>
  <si>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</si>
  <si>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</si>
  <si>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</si>
  <si>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</si>
  <si>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</si>
  <si>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</si>
  <si>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</si>
  <si>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</si>
  <si>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</si>
  <si>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</si>
  <si>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</si>
  <si>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</si>
  <si>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</si>
  <si>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</si>
  <si>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</si>
  <si>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</si>
  <si>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</si>
  <si>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</si>
  <si>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</si>
  <si>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</si>
  <si>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</si>
  <si>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</si>
  <si>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</si>
  <si>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</si>
  <si>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</si>
  <si>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</si>
  <si>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</si>
  <si>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</si>
  <si>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</si>
  <si>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</si>
  <si>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</si>
  <si>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</si>
  <si>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</si>
  <si>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</si>
  <si>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</si>
  <si>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</si>
  <si>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</si>
  <si>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</si>
  <si>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</si>
  <si>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</si>
  <si>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</si>
  <si>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</si>
  <si>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</si>
  <si>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</si>
  <si>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</si>
  <si>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</si>
  <si>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</si>
  <si>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</si>
  <si>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</si>
  <si>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</si>
  <si>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</si>
  <si>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</si>
  <si>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</si>
  <si>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</si>
  <si>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</si>
  <si>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</si>
  <si>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</si>
  <si>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</si>
  <si>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</si>
  <si>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</si>
  <si>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</si>
  <si>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</si>
  <si>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</si>
  <si>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</si>
  <si>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</si>
  <si>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</si>
  <si>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</si>
  <si>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</si>
  <si>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</si>
  <si>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</si>
  <si>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</si>
  <si>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</si>
  <si>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</si>
  <si>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</si>
  <si>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</si>
  <si>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</si>
  <si>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</si>
  <si>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</si>
  <si>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</si>
  <si>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</si>
  <si>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</si>
  <si>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</si>
  <si>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</si>
  <si>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</si>
  <si>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</si>
  <si>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</si>
  <si>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</si>
  <si>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</si>
  <si>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</si>
  <si>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</si>
  <si>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</si>
  <si>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</si>
  <si>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</si>
  <si>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</si>
  <si>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</si>
  <si>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</si>
  <si>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</si>
  <si>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</si>
  <si>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</si>
  <si>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</si>
  <si>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</si>
  <si>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</si>
  <si>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</si>
  <si>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</si>
  <si>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</si>
  <si>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</si>
  <si>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</si>
  <si>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</si>
  <si>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</si>
  <si>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</si>
  <si>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</si>
  <si>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</si>
  <si>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</si>
  <si>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</si>
  <si>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</si>
  <si>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</si>
  <si>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</si>
  <si>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</si>
  <si>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</si>
  <si>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</si>
  <si>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</si>
  <si>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</si>
  <si>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</si>
  <si>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</si>
  <si>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</si>
  <si>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</si>
  <si>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</si>
  <si>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</si>
  <si>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</si>
  <si>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</si>
  <si>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</si>
  <si>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</si>
  <si>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</si>
  <si>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</si>
  <si>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</si>
  <si>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</si>
  <si>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</si>
  <si>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</si>
  <si>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</si>
  <si>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</si>
  <si>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</si>
  <si>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</si>
  <si>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</si>
  <si>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</si>
  <si>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</si>
  <si>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</si>
  <si>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</si>
  <si>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</si>
  <si>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</si>
  <si>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</si>
  <si>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</si>
  <si>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</si>
  <si>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</si>
  <si>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</si>
  <si>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</si>
  <si>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</si>
  <si>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</si>
  <si>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</si>
  <si>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</si>
  <si>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</si>
  <si>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</si>
  <si>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</si>
  <si>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</si>
  <si>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</si>
  <si>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</si>
  <si>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</si>
  <si>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</si>
  <si>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</si>
  <si>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</si>
  <si>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</si>
  <si>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</si>
  <si>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</si>
  <si>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</si>
  <si>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</si>
  <si>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</si>
  <si>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</si>
  <si>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</si>
  <si>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</si>
  <si>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</si>
  <si>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</si>
  <si>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</si>
  <si>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</si>
  <si>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</si>
  <si>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</si>
  <si>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</si>
  <si>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</si>
  <si>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</si>
  <si>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</si>
  <si>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</si>
  <si>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</si>
  <si>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</si>
  <si>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</si>
  <si>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</si>
  <si>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</si>
  <si>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</si>
  <si>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</si>
  <si>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</si>
  <si>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</si>
  <si>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</si>
  <si>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</si>
  <si>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</si>
  <si>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</si>
  <si>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</si>
  <si>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</si>
  <si>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</si>
  <si>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</si>
  <si>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</si>
  <si>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</si>
  <si>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</si>
  <si>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</si>
  <si>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</si>
  <si>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</si>
  <si>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</si>
  <si>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</si>
  <si>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</si>
  <si>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</si>
  <si>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</si>
  <si>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</si>
  <si>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</si>
  <si>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</si>
  <si>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</si>
  <si>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</si>
  <si>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</si>
  <si>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</si>
  <si>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</si>
  <si>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</si>
  <si>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</si>
  <si>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</si>
  <si>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</si>
  <si>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</si>
  <si>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</si>
  <si>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</si>
  <si>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</si>
  <si>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</si>
  <si>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</si>
  <si>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</si>
  <si>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</si>
  <si>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</si>
  <si>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</si>
  <si>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</si>
  <si>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</si>
  <si>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</si>
  <si>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</si>
  <si>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</si>
  <si>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</si>
  <si>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</si>
  <si>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</si>
  <si>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</si>
  <si>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</si>
  <si>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</si>
  <si>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</si>
  <si>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</si>
  <si>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</si>
  <si>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</si>
  <si>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</si>
  <si>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</si>
  <si>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</si>
  <si>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</si>
  <si>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</si>
  <si>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</si>
  <si>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</si>
  <si>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</si>
  <si>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</si>
  <si>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</si>
  <si>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</si>
  <si>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</si>
  <si>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</si>
  <si>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</si>
  <si>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</si>
  <si>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</si>
  <si>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</si>
  <si>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</si>
  <si>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</si>
  <si>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</si>
  <si>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</si>
  <si>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</si>
  <si>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</si>
  <si>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</si>
  <si>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</si>
  <si>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</si>
  <si>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</si>
  <si>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</si>
  <si>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</si>
  <si>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</si>
  <si>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</si>
  <si>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</si>
  <si>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</si>
  <si>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</si>
  <si>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</si>
  <si>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</si>
  <si>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</si>
  <si>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</si>
  <si>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</si>
  <si>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</si>
  <si>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</si>
  <si>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</si>
  <si>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</si>
  <si>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</si>
  <si>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</si>
  <si>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</si>
  <si>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</si>
  <si>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</si>
  <si>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</si>
  <si>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</si>
  <si>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</si>
  <si>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</si>
  <si>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</si>
  <si>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</si>
  <si>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</si>
  <si>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</si>
  <si>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</si>
  <si>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</si>
  <si>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</si>
  <si>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</si>
  <si>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</si>
  <si>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</si>
  <si>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</si>
  <si>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</si>
  <si>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</si>
  <si>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</si>
  <si>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</si>
  <si>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</si>
  <si>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</si>
  <si>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</si>
  <si>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</si>
  <si>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</si>
  <si>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</si>
  <si>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</si>
  <si>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</si>
  <si>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</si>
  <si>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</si>
  <si>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</si>
  <si>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</si>
  <si>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</si>
  <si>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</si>
  <si>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</si>
  <si>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</si>
  <si>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</si>
  <si>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</si>
  <si>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</si>
  <si>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</si>
  <si>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</si>
  <si>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</si>
  <si>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</si>
  <si>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</si>
  <si>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</si>
  <si>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</si>
  <si>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</si>
  <si>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</si>
  <si>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</si>
  <si>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</si>
  <si>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</si>
  <si>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</si>
  <si>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</si>
  <si>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</si>
  <si>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</si>
  <si>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</si>
  <si>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</si>
  <si>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</si>
  <si>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</si>
  <si>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</si>
  <si>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</si>
  <si>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</si>
  <si>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</si>
  <si>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</si>
  <si>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</si>
  <si>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</si>
  <si>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</si>
  <si>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</si>
  <si>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</si>
  <si>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</si>
  <si>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</si>
  <si>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</si>
  <si>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</si>
  <si>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</si>
  <si>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</si>
  <si>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</si>
  <si>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</si>
  <si>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</si>
  <si>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</si>
  <si>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</si>
  <si>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</si>
  <si>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</si>
  <si>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</si>
  <si>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</si>
  <si>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</si>
  <si>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</si>
  <si>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</si>
  <si>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</si>
  <si>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</si>
  <si>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</si>
  <si>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</si>
  <si>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</si>
  <si>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</si>
  <si>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</si>
  <si>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</si>
  <si>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</si>
  <si>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</si>
  <si>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</si>
  <si>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</si>
  <si>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</si>
  <si>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</si>
  <si>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</si>
  <si>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</si>
  <si>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</si>
  <si>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</si>
  <si>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</si>
  <si>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</si>
  <si>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</si>
  <si>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</si>
  <si>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</si>
  <si>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</si>
  <si>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</si>
  <si>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</si>
  <si>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</si>
  <si>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</si>
  <si>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</si>
  <si>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</si>
  <si>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</si>
  <si>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</si>
  <si>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</si>
  <si>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</si>
  <si>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</si>
  <si>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</si>
  <si>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</si>
  <si>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</si>
  <si>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</si>
  <si>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</si>
  <si>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</si>
  <si>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</si>
  <si>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</si>
  <si>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</si>
  <si>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</si>
  <si>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</si>
  <si>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</si>
  <si>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</si>
  <si>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</si>
  <si>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</si>
  <si>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</si>
  <si>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</si>
  <si>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</si>
  <si>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</si>
  <si>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</si>
  <si>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</si>
  <si>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</si>
  <si>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</si>
  <si>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</si>
  <si>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</si>
  <si>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</si>
  <si>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</si>
  <si>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</si>
  <si>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</si>
  <si>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</si>
  <si>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</si>
  <si>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</si>
  <si>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</si>
  <si>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</si>
  <si>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</si>
  <si>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</si>
  <si>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</si>
  <si>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</si>
  <si>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</si>
  <si>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</si>
  <si>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</si>
  <si>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</si>
  <si>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</si>
  <si>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</si>
  <si>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</si>
  <si>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</si>
  <si>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</si>
  <si>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</si>
  <si>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</si>
  <si>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</si>
  <si>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</si>
  <si>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</si>
  <si>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</si>
  <si>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</si>
  <si>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</si>
  <si>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</si>
  <si>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</si>
  <si>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</si>
  <si>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</si>
  <si>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</si>
  <si>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</si>
  <si>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</si>
  <si>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</si>
  <si>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</si>
  <si>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</si>
  <si>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</si>
  <si>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</si>
  <si>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</si>
  <si>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</si>
  <si>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</si>
  <si>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</si>
  <si>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</si>
  <si>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</si>
  <si>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</si>
  <si>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</si>
  <si>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</si>
  <si>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</si>
  <si>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</si>
  <si>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</si>
  <si>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</si>
  <si>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</si>
  <si>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</si>
  <si>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</si>
  <si>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</si>
  <si>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</si>
  <si>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</si>
  <si>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</si>
  <si>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</si>
  <si>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</si>
  <si>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</si>
  <si>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</si>
  <si>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</si>
  <si>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</si>
  <si>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</si>
  <si>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</si>
  <si>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</si>
  <si>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</si>
  <si>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</si>
  <si>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</si>
  <si>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</si>
  <si>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</si>
  <si>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</si>
  <si>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</si>
  <si>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</si>
  <si>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</si>
  <si>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</si>
  <si>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</si>
  <si>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</si>
  <si>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</si>
  <si>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</si>
  <si>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</si>
  <si>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</si>
  <si>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</si>
  <si>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</si>
  <si>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</si>
  <si>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</si>
  <si>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</si>
  <si>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</si>
  <si>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</si>
  <si>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</si>
  <si>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</si>
  <si>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</si>
  <si>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</si>
  <si>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</si>
  <si>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</si>
  <si>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</si>
  <si>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</si>
  <si>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</si>
  <si>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</si>
  <si>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</si>
  <si>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</si>
  <si>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</si>
  <si>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</si>
  <si>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</si>
  <si>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</si>
  <si>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</si>
  <si>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</si>
  <si>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</si>
  <si>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</si>
  <si>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</si>
  <si>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</si>
  <si>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</si>
  <si>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</si>
  <si>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</si>
  <si>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</si>
  <si>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</si>
  <si>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</si>
  <si>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</si>
  <si>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</si>
  <si>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</si>
  <si>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</si>
  <si>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</si>
  <si>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</si>
  <si>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</si>
  <si>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</si>
  <si>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</si>
  <si>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</si>
  <si>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</si>
  <si>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</si>
  <si>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</si>
  <si>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</si>
  <si>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t>https://alpha.midjourney.com/jobs/89013cde-4192-47cd-aaf5-42d2b236e249?index=3</t>
  </si>
  <si>
    <t>https://alpha.midjourney.com/jobs/89013cde-4192-47cd-aaf5-42d2b236e249?index=0</t>
  </si>
  <si>
    <t>https://alpha.midjourney.com/jobs/69392398-99f3-418a-b440-62bf3028e365?index=0</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</si>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</sst>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2">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7"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8"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29" numFmtId="0" xfId="0" applyAlignment="1" applyBorder="1" applyFont="1">
      <alignment readingOrder="0"/>
    </xf>
    <xf borderId="8" fillId="0" fontId="29" numFmtId="0" xfId="0" applyBorder="1" applyFont="1"/>
    <xf borderId="9" fillId="0" fontId="29" numFmtId="0" xfId="0" applyAlignment="1" applyBorder="1" applyFont="1">
      <alignment readingOrder="0"/>
    </xf>
    <xf borderId="0" fillId="0" fontId="30" numFmtId="0" xfId="0" applyAlignment="1" applyFont="1">
      <alignment horizontal="left"/>
    </xf>
    <xf borderId="10" fillId="0" fontId="30" numFmtId="0" xfId="0" applyAlignment="1" applyBorder="1" applyFont="1">
      <alignment horizontal="left"/>
    </xf>
    <xf borderId="9" fillId="0" fontId="5" numFmtId="0" xfId="0" applyAlignment="1" applyBorder="1" applyFont="1">
      <alignment readingOrder="0" vertical="bottom"/>
    </xf>
    <xf borderId="8" fillId="0" fontId="31" numFmtId="0" xfId="0" applyAlignment="1" applyBorder="1" applyFont="1">
      <alignment readingOrder="0"/>
    </xf>
    <xf borderId="9" fillId="0" fontId="10" numFmtId="0" xfId="0" applyAlignment="1" applyBorder="1" applyFont="1">
      <alignment readingOrder="0"/>
    </xf>
    <xf borderId="8" fillId="8" fontId="32" numFmtId="0" xfId="0" applyAlignment="1" applyBorder="1" applyFont="1">
      <alignment horizontal="left" readingOrder="0"/>
    </xf>
    <xf borderId="8" fillId="0" fontId="29" numFmtId="0" xfId="0" applyAlignment="1" applyBorder="1" applyFont="1">
      <alignment readingOrder="0"/>
    </xf>
    <xf borderId="9" fillId="0" fontId="31" numFmtId="0" xfId="0" applyAlignment="1" applyBorder="1" applyFont="1">
      <alignment readingOrder="0"/>
    </xf>
    <xf borderId="11" fillId="8" fontId="32"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0" numFmtId="0" xfId="0" applyAlignment="1" applyBorder="1" applyFont="1">
      <alignment horizontal="left"/>
    </xf>
    <xf borderId="15" fillId="0" fontId="30" numFmtId="0" xfId="0" applyAlignment="1" applyBorder="1" applyFont="1">
      <alignment horizontal="left"/>
    </xf>
    <xf borderId="12" fillId="0" fontId="33" numFmtId="0" xfId="0" applyAlignment="1" applyBorder="1" applyFont="1">
      <alignment horizontal="right" readingOrder="0"/>
    </xf>
    <xf borderId="16" fillId="0" fontId="34" numFmtId="0" xfId="0" applyAlignment="1" applyBorder="1" applyFont="1">
      <alignment readingOrder="0"/>
    </xf>
    <xf borderId="16" fillId="0" fontId="30" numFmtId="0" xfId="0" applyAlignment="1" applyBorder="1" applyFont="1">
      <alignment horizontal="left"/>
    </xf>
    <xf borderId="17" fillId="0" fontId="30" numFmtId="0" xfId="0" applyAlignment="1" applyBorder="1" applyFont="1">
      <alignment horizontal="left"/>
    </xf>
    <xf borderId="18" fillId="0" fontId="30" numFmtId="0" xfId="0" applyAlignment="1" applyBorder="1" applyFont="1">
      <alignment horizontal="left"/>
    </xf>
    <xf borderId="12" fillId="0" fontId="11" numFmtId="0" xfId="0" applyAlignment="1" applyBorder="1" applyFont="1">
      <alignment horizontal="right" readingOrder="0"/>
    </xf>
    <xf borderId="9" fillId="0" fontId="35" numFmtId="0" xfId="0" applyAlignment="1" applyBorder="1" applyFont="1">
      <alignment readingOrder="0"/>
    </xf>
    <xf borderId="9" fillId="0" fontId="30" numFmtId="0" xfId="0" applyAlignment="1" applyBorder="1" applyFont="1">
      <alignment horizontal="left"/>
    </xf>
    <xf borderId="0" fillId="0" fontId="36" numFmtId="0" xfId="0" applyFont="1"/>
    <xf borderId="9" fillId="0" fontId="34" numFmtId="0" xfId="0" applyAlignment="1" applyBorder="1" applyFont="1">
      <alignment readingOrder="0"/>
    </xf>
    <xf borderId="19" fillId="0" fontId="29"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5" numFmtId="0" xfId="0" applyAlignment="1" applyBorder="1" applyFont="1">
      <alignment readingOrder="0"/>
    </xf>
    <xf borderId="22" fillId="0" fontId="30" numFmtId="0" xfId="0" applyAlignment="1" applyBorder="1" applyFont="1">
      <alignment horizontal="left"/>
    </xf>
    <xf borderId="23" fillId="0" fontId="30" numFmtId="0" xfId="0" applyAlignment="1" applyBorder="1" applyFont="1">
      <alignment horizontal="left"/>
    </xf>
    <xf borderId="24" fillId="0" fontId="30" numFmtId="0" xfId="0" applyAlignment="1" applyBorder="1" applyFont="1">
      <alignment horizontal="left"/>
    </xf>
    <xf borderId="25" fillId="0" fontId="29" numFmtId="0" xfId="0" applyAlignment="1" applyBorder="1" applyFont="1">
      <alignment readingOrder="0"/>
    </xf>
    <xf borderId="4" fillId="0" fontId="37" numFmtId="0" xfId="0" applyAlignment="1" applyBorder="1" applyFont="1">
      <alignment readingOrder="0"/>
    </xf>
    <xf borderId="4" fillId="0" fontId="38" numFmtId="0" xfId="0" applyAlignment="1" applyBorder="1" applyFont="1">
      <alignment horizontal="center"/>
    </xf>
    <xf borderId="6" fillId="0" fontId="38" numFmtId="0" xfId="0" applyAlignment="1" applyBorder="1" applyFont="1">
      <alignment horizontal="center"/>
    </xf>
    <xf borderId="25" fillId="0" fontId="10" numFmtId="0" xfId="0" applyBorder="1" applyFont="1"/>
    <xf borderId="26" fillId="0" fontId="29" numFmtId="0" xfId="0" applyAlignment="1" applyBorder="1" applyFont="1">
      <alignment readingOrder="0"/>
    </xf>
    <xf borderId="4" fillId="21" fontId="29" numFmtId="0" xfId="0" applyAlignment="1" applyBorder="1" applyFill="1" applyFont="1">
      <alignment horizontal="center" readingOrder="0"/>
    </xf>
    <xf borderId="4" fillId="18" fontId="29" numFmtId="0" xfId="0" applyAlignment="1" applyBorder="1" applyFont="1">
      <alignment horizontal="center" readingOrder="0"/>
    </xf>
    <xf borderId="4" fillId="14" fontId="29" numFmtId="0" xfId="0" applyAlignment="1" applyBorder="1" applyFont="1">
      <alignment horizontal="center" readingOrder="0"/>
    </xf>
    <xf borderId="4" fillId="22" fontId="29" numFmtId="0" xfId="0" applyAlignment="1" applyBorder="1" applyFill="1" applyFont="1">
      <alignment horizontal="center" readingOrder="0"/>
    </xf>
    <xf borderId="6" fillId="19" fontId="28" numFmtId="0" xfId="0" applyAlignment="1" applyBorder="1" applyFont="1">
      <alignment horizontal="center" readingOrder="0"/>
    </xf>
    <xf borderId="4" fillId="0" fontId="29" numFmtId="0" xfId="0" applyAlignment="1" applyBorder="1" applyFont="1">
      <alignment horizontal="center" readingOrder="0"/>
    </xf>
    <xf borderId="26" fillId="0" fontId="29"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9" numFmtId="0" xfId="0" applyAlignment="1" applyBorder="1" applyFont="1">
      <alignment horizontal="right"/>
    </xf>
    <xf borderId="27" fillId="0" fontId="10" numFmtId="0" xfId="0" applyBorder="1" applyFont="1"/>
    <xf borderId="0" fillId="9" fontId="30" numFmtId="0" xfId="0" applyAlignment="1" applyFont="1">
      <alignment horizontal="center"/>
    </xf>
    <xf borderId="10" fillId="9" fontId="30"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9" numFmtId="0" xfId="0" applyAlignment="1" applyBorder="1" applyFont="1">
      <alignment horizontal="right" readingOrder="0"/>
    </xf>
    <xf borderId="6" fillId="0" fontId="29"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9" numFmtId="0" xfId="0" applyAlignment="1" applyBorder="1" applyFont="1">
      <alignment horizontal="right"/>
    </xf>
    <xf borderId="12" fillId="0" fontId="18" numFmtId="0" xfId="0" applyBorder="1" applyFont="1"/>
    <xf borderId="21" fillId="0" fontId="29" numFmtId="0" xfId="0" applyAlignment="1" applyBorder="1" applyFont="1">
      <alignment horizontal="right"/>
    </xf>
    <xf borderId="30" fillId="0" fontId="10" numFmtId="0" xfId="0" applyBorder="1" applyFont="1"/>
    <xf borderId="23" fillId="9" fontId="30" numFmtId="0" xfId="0" applyAlignment="1" applyBorder="1" applyFont="1">
      <alignment horizontal="center"/>
    </xf>
    <xf borderId="24" fillId="9" fontId="30" numFmtId="0" xfId="0" applyAlignment="1" applyBorder="1" applyFont="1">
      <alignment horizontal="center"/>
    </xf>
    <xf borderId="10" fillId="0" fontId="10" numFmtId="0" xfId="0" applyBorder="1" applyFont="1"/>
    <xf borderId="0" fillId="9" fontId="30" numFmtId="0" xfId="0" applyFont="1"/>
    <xf borderId="21" fillId="0" fontId="10" numFmtId="0" xfId="0" applyBorder="1" applyFont="1"/>
    <xf borderId="24" fillId="0" fontId="10" numFmtId="0" xfId="0" applyBorder="1" applyFont="1"/>
    <xf borderId="0" fillId="13" fontId="40" numFmtId="0" xfId="0" applyAlignment="1" applyFont="1">
      <alignment horizontal="left" readingOrder="0"/>
    </xf>
    <xf borderId="0" fillId="13" fontId="41" numFmtId="0" xfId="0" applyAlignment="1" applyFont="1">
      <alignment horizontal="left" readingOrder="0"/>
    </xf>
    <xf borderId="0" fillId="13" fontId="1" numFmtId="0" xfId="0" applyAlignment="1" applyFont="1">
      <alignment horizontal="left" readingOrder="0"/>
    </xf>
    <xf borderId="0" fillId="0" fontId="42" numFmtId="0" xfId="0" applyFont="1"/>
    <xf borderId="0" fillId="0" fontId="43" numFmtId="0" xfId="0" applyFont="1"/>
    <xf borderId="0" fillId="13" fontId="44"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5" numFmtId="0" xfId="0" applyAlignment="1" applyFont="1">
      <alignment readingOrder="0"/>
    </xf>
    <xf borderId="0" fillId="0" fontId="2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31" fillId="8" fontId="29" numFmtId="0" xfId="0" applyAlignment="1" applyBorder="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35" numFmtId="0" xfId="0" applyAlignment="1" applyFont="1">
      <alignment horizontal="left" readingOrder="0"/>
    </xf>
    <xf borderId="0" fillId="0" fontId="49" numFmtId="0" xfId="0" applyAlignment="1" applyFont="1">
      <alignment horizontal="left" readingOrder="0" vertical="center"/>
    </xf>
    <xf borderId="0" fillId="0" fontId="50"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1"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4205529"/>
        <c:axId val="781058167"/>
      </c:barChart>
      <c:catAx>
        <c:axId val="42055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781058167"/>
      </c:catAx>
      <c:valAx>
        <c:axId val="7810581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20552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c6073419-0b0b-47be-b834-e6de5a6e38db?index=1" TargetMode="External"/><Relationship Id="rId807" Type="http://schemas.openxmlformats.org/officeDocument/2006/relationships/hyperlink" Target="https://alpha.midjourney.com/jobs/3fd9ed41-930b-449c-a0d8-a582a3a8dc51?index=0" TargetMode="External"/><Relationship Id="rId806" Type="http://schemas.openxmlformats.org/officeDocument/2006/relationships/hyperlink" Target="https://alpha.midjourney.com/jobs/83ca19e2-2e10-4948-8314-32f44a89dd14?index=2" TargetMode="External"/><Relationship Id="rId805" Type="http://schemas.openxmlformats.org/officeDocument/2006/relationships/hyperlink" Target="https://alpha.midjourney.com/jobs/83ca19e2-2e10-4948-8314-32f44a89dd14?index=0" TargetMode="External"/><Relationship Id="rId809" Type="http://schemas.openxmlformats.org/officeDocument/2006/relationships/hyperlink" Target="https://alpha.midjourney.com/jobs/c6073419-0b0b-47be-b834-e6de5a6e38db?index=2" TargetMode="External"/><Relationship Id="rId800" Type="http://schemas.openxmlformats.org/officeDocument/2006/relationships/hyperlink" Target="https://alpha.midjourney.com/jobs/bf521d3a-8081-4e0f-803f-ab3292dfb2cf?index=1" TargetMode="External"/><Relationship Id="rId804" Type="http://schemas.openxmlformats.org/officeDocument/2006/relationships/hyperlink" Target="https://alpha.midjourney.com/jobs/aa9fce64-251f-4480-9658-e135cc083f2f?index=1" TargetMode="External"/><Relationship Id="rId803" Type="http://schemas.openxmlformats.org/officeDocument/2006/relationships/hyperlink" Target="https://alpha.midjourney.com/jobs/3851d550-a918-4f53-b99a-bfc3302de693?index=0" TargetMode="External"/><Relationship Id="rId802" Type="http://schemas.openxmlformats.org/officeDocument/2006/relationships/hyperlink" Target="https://alpha.midjourney.com/jobs/f1211b88-62fa-426d-8d5c-1600fcd5f5df?index=0" TargetMode="External"/><Relationship Id="rId801" Type="http://schemas.openxmlformats.org/officeDocument/2006/relationships/hyperlink" Target="https://alpha.midjourney.com/jobs/1e1bd9f6-96ea-406f-974f-434655312d3b?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740" Type="http://schemas.openxmlformats.org/officeDocument/2006/relationships/hyperlink" Target="https://alpha.midjourney.com/jobs/d7107579-6d7c-4f5d-9453-a4c93ecba7ba?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733" Type="http://schemas.openxmlformats.org/officeDocument/2006/relationships/hyperlink" Target="https://alpha.midjourney.com/jobs/3b4089d0-bf4d-4a94-bb35-c0b4906f1216?index=0" TargetMode="External"/><Relationship Id="rId732" Type="http://schemas.openxmlformats.org/officeDocument/2006/relationships/hyperlink" Target="https://alpha.midjourney.com/jobs/5a15d0ed-7e2b-4bc5-843e-bf70a3693e5e?index=0" TargetMode="External"/><Relationship Id="rId731" Type="http://schemas.openxmlformats.org/officeDocument/2006/relationships/hyperlink" Target="https://alpha.midjourney.com/jobs/92a991cd-e307-4753-906a-519a0c62105d?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736" Type="http://schemas.openxmlformats.org/officeDocument/2006/relationships/hyperlink" Target="https://alpha.midjourney.com/jobs/5716ac68-4e00-4b29-9696-033a3bf329f0?index=0" TargetMode="External"/><Relationship Id="rId735" Type="http://schemas.openxmlformats.org/officeDocument/2006/relationships/hyperlink" Target="https://alpha.midjourney.com/jobs/1aa17e4b-0cfc-4e1a-8aba-d422bd1262f8?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750" Type="http://schemas.openxmlformats.org/officeDocument/2006/relationships/hyperlink" Target="https://alpha.midjourney.com/jobs/40745ea9-ba83-47ff-bca6-6735764dd00a?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706" Type="http://schemas.openxmlformats.org/officeDocument/2006/relationships/hyperlink" Target="https://alpha.midjourney.com/jobs/818b4c69-a239-425e-865f-581ae0f5d202?index=3"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700" Type="http://schemas.openxmlformats.org/officeDocument/2006/relationships/hyperlink" Target="https://alpha.midjourney.com/jobs/f4c48630-208d-4ef7-82a2-ba331bea8ac6?index=3" TargetMode="External"/><Relationship Id="rId705" Type="http://schemas.openxmlformats.org/officeDocument/2006/relationships/hyperlink" Target="https://alpha.midjourney.com/jobs/fee9f008-5272-48db-b4d7-5f0b71558eb6?index=1" TargetMode="External"/><Relationship Id="rId704" Type="http://schemas.openxmlformats.org/officeDocument/2006/relationships/hyperlink" Target="https://alpha.midjourney.com/jobs/8ca76d1e-2fdd-4c6f-b81a-f980f4465204?index=1" TargetMode="External"/><Relationship Id="rId703" Type="http://schemas.openxmlformats.org/officeDocument/2006/relationships/hyperlink" Target="https://alpha.midjourney.com/jobs/5fa229a5-422f-4ee2-88e1-74a946b95bf8?index=2" TargetMode="External"/><Relationship Id="rId702" Type="http://schemas.openxmlformats.org/officeDocument/2006/relationships/hyperlink" Target="https://alpha.midjourney.com/jobs/9b2ab810-2e17-4453-80f0-4ed8335dcba6?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722" Type="http://schemas.openxmlformats.org/officeDocument/2006/relationships/hyperlink" Target="https://alpha.midjourney.com/jobs/ecbf8e81-c009-4e9e-b245-7c6d2d4b01e2?index=2" TargetMode="External"/><Relationship Id="rId721" Type="http://schemas.openxmlformats.org/officeDocument/2006/relationships/hyperlink" Target="https://alpha.midjourney.com/jobs/5dc009ad-ce99-4a88-9749-a25a3795dab9?index=2" TargetMode="External"/><Relationship Id="rId720" Type="http://schemas.openxmlformats.org/officeDocument/2006/relationships/hyperlink" Target="https://alpha.midjourney.com/jobs/89a4af33-8c31-4818-8eb6-f9969b2c2213?index=3" TargetMode="External"/><Relationship Id="rId727" Type="http://schemas.openxmlformats.org/officeDocument/2006/relationships/hyperlink" Target="https://alpha.midjourney.com/jobs/6cbb2b81-50d4-40ad-b747-ec46393643e1?index=1" TargetMode="External"/><Relationship Id="rId726" Type="http://schemas.openxmlformats.org/officeDocument/2006/relationships/hyperlink" Target="https://alpha.midjourney.com/jobs/6cbb2b81-50d4-40ad-b747-ec46393643e1?index=3" TargetMode="External"/><Relationship Id="rId725" Type="http://schemas.openxmlformats.org/officeDocument/2006/relationships/hyperlink" Target="https://alpha.midjourney.com/jobs/d51d3493-9845-494e-abcd-8b4dda1b4954?index=3" TargetMode="External"/><Relationship Id="rId724" Type="http://schemas.openxmlformats.org/officeDocument/2006/relationships/hyperlink" Target="https://alpha.midjourney.com/jobs/06aecf02-8df2-4041-bf0d-fe6ddf1c506d?index=1"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712" Type="http://schemas.openxmlformats.org/officeDocument/2006/relationships/hyperlink" Target="https://alpha.midjourney.com/jobs/69e81fbf-243c-4e8a-ae5b-632a0bffeb89?index=0" TargetMode="External"/><Relationship Id="rId711" Type="http://schemas.openxmlformats.org/officeDocument/2006/relationships/hyperlink" Target="https://alpha.midjourney.com/jobs/eaeb0c2c-5671-4d2a-88fd-4abe109eab65?index=1" TargetMode="External"/><Relationship Id="rId710" Type="http://schemas.openxmlformats.org/officeDocument/2006/relationships/hyperlink" Target="https://alpha.midjourney.com/jobs/73a9a1a1-32fd-4221-b568-f49bf10ec8c3?index=1" TargetMode="External"/><Relationship Id="rId716" Type="http://schemas.openxmlformats.org/officeDocument/2006/relationships/hyperlink" Target="https://alpha.midjourney.com/jobs/b489dec3-9c93-4f7a-a86e-aaa05d7279fd?index=0" TargetMode="External"/><Relationship Id="rId715" Type="http://schemas.openxmlformats.org/officeDocument/2006/relationships/hyperlink" Target="https://alpha.midjourney.com/jobs/2597c96a-7d3a-446b-9533-8ddf115e632c?index=2" TargetMode="External"/><Relationship Id="rId714" Type="http://schemas.openxmlformats.org/officeDocument/2006/relationships/hyperlink" Target="https://alpha.midjourney.com/jobs/16dd6fff-fe9a-4d6e-87c6-3ca358f44292?index=2" TargetMode="External"/><Relationship Id="rId713" Type="http://schemas.openxmlformats.org/officeDocument/2006/relationships/hyperlink" Target="https://alpha.midjourney.com/jobs/0063068d-9dbd-4110-8aae-322eeb900c81?index=2"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b6b028b1-6920-4dde-9694-73d589c7969e?index=1"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d32d623f-8304-4652-a723-5e08c4834598?index=0"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d32d623f-8304-4652-a723-5e08c483459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b7288a40-3f0f-413c-b7e7-0bd65060a3f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ec0b3c0a-3f13-42a9-8ae5-ccd3a2bde246?index=0"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2199afb2-fdf9-42e4-8447-bbcb2272b0ee?index=0"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4da0b68d-28af-4dde-a253-1c020edd6335?index=3" TargetMode="External"/><Relationship Id="rId791" Type="http://schemas.openxmlformats.org/officeDocument/2006/relationships/hyperlink" Target="https://alpha.midjourney.com/jobs/5ffb57a6-694c-47cf-a742-db40c1703c48?index=1" TargetMode="External"/><Relationship Id="rId790" Type="http://schemas.openxmlformats.org/officeDocument/2006/relationships/hyperlink" Target="https://alpha.midjourney.com/jobs/5531e7cf-23f3-4725-986f-2de126d022b2?index=2"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03a2e0f0-0e78-4772-8448-9731440cc43d?index=2"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85c573d7-2cdf-43a9-85ba-f42642bf4f47?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85c573d7-2cdf-43a9-85ba-f42642bf4f47?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9af7a08-96cc-4e74-9187-954be8881728?index=2"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623" Type="http://schemas.openxmlformats.org/officeDocument/2006/relationships/hyperlink" Target="https://alpha.midjourney.com/jobs/ec8bc6ad-ad0e-4de1-8b67-74577084f9b3?index=0" TargetMode="External"/><Relationship Id="rId622" Type="http://schemas.openxmlformats.org/officeDocument/2006/relationships/hyperlink" Target="https://alpha.midjourney.com/jobs/ec8bc6ad-ad0e-4de1-8b67-74577084f9b3?index=2" TargetMode="External"/><Relationship Id="rId621" Type="http://schemas.openxmlformats.org/officeDocument/2006/relationships/hyperlink" Target="https://alpha.midjourney.com/jobs/c010a863-b47f-48fe-a635-442f668abe87?index=0"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626" Type="http://schemas.openxmlformats.org/officeDocument/2006/relationships/hyperlink" Target="https://alpha.midjourney.com/jobs/a407a34c-2a7a-47d2-858a-c385875cdc0c?index=0" TargetMode="External"/><Relationship Id="rId625" Type="http://schemas.openxmlformats.org/officeDocument/2006/relationships/hyperlink" Target="https://alpha.midjourney.com/jobs/4a047b2e-a8c8-4e3b-935a-a0167e827322?index=3" TargetMode="External"/><Relationship Id="rId620" Type="http://schemas.openxmlformats.org/officeDocument/2006/relationships/hyperlink" Target="https://alpha.midjourney.com/jobs/a773fda1-8e09-4208-91c9-e509ced2b25d?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612" Type="http://schemas.openxmlformats.org/officeDocument/2006/relationships/hyperlink" Target="https://alpha.midjourney.com/jobs/4865252e-62d3-4d61-a1ff-9e163d348e13?index=2" TargetMode="External"/><Relationship Id="rId611" Type="http://schemas.openxmlformats.org/officeDocument/2006/relationships/hyperlink" Target="https://alpha.midjourney.com/jobs/210e4748-4c39-4d6d-84d6-16b05dcaab37?index=1" TargetMode="External"/><Relationship Id="rId610" Type="http://schemas.openxmlformats.org/officeDocument/2006/relationships/hyperlink" Target="https://alpha.midjourney.com/jobs/1ee1739c-f460-4f92-977f-b926ed62b9c9?index=2" TargetMode="External"/><Relationship Id="rId617" Type="http://schemas.openxmlformats.org/officeDocument/2006/relationships/hyperlink" Target="https://alpha.midjourney.com/jobs/9be18b40-35c2-40a9-81e0-0d0edb28fc87?index=0" TargetMode="External"/><Relationship Id="rId616" Type="http://schemas.openxmlformats.org/officeDocument/2006/relationships/hyperlink" Target="https://alpha.midjourney.com/jobs/042c7da6-d2b4-4b4e-9fac-c8a1de048f01?index=0" TargetMode="External"/><Relationship Id="rId615" Type="http://schemas.openxmlformats.org/officeDocument/2006/relationships/hyperlink" Target="https://alpha.midjourney.com/jobs/ecea684f-75e7-4a2a-8d8c-b31339d7d861?index=0" TargetMode="External"/><Relationship Id="rId614" Type="http://schemas.openxmlformats.org/officeDocument/2006/relationships/hyperlink" Target="https://alpha.midjourney.com/jobs/1d4aed0b-b3f1-4a68-841a-b6560e29fb45?index=1"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641" Type="http://schemas.openxmlformats.org/officeDocument/2006/relationships/hyperlink" Target="https://alpha.midjourney.com/jobs/a3f9b0a5-cf95-46d6-b2ad-b875e23a9b7b?index=2" TargetMode="External"/><Relationship Id="rId640" Type="http://schemas.openxmlformats.org/officeDocument/2006/relationships/hyperlink" Target="https://alpha.midjourney.com/jobs/a3f9b0a5-cf95-46d6-b2ad-b875e23a9b7b?index=3" TargetMode="External"/><Relationship Id="rId635" Type="http://schemas.openxmlformats.org/officeDocument/2006/relationships/hyperlink" Target="https://alpha.midjourney.com/jobs/b4e6f87d-bee5-4e2c-bc71-25002b90cf7b?index=2" TargetMode="External"/><Relationship Id="rId634" Type="http://schemas.openxmlformats.org/officeDocument/2006/relationships/hyperlink" Target="https://alpha.midjourney.com/jobs/b4e6f87d-bee5-4e2c-bc71-25002b90cf7b?index=3" TargetMode="External"/><Relationship Id="rId633" Type="http://schemas.openxmlformats.org/officeDocument/2006/relationships/hyperlink" Target="https://alpha.midjourney.com/jobs/7f83f9df-7679-4c80-af2f-aaa0f9a41c1e?index=0" TargetMode="External"/><Relationship Id="rId632" Type="http://schemas.openxmlformats.org/officeDocument/2006/relationships/hyperlink" Target="https://alpha.midjourney.com/jobs/37b0498c-4b19-4c10-b0ef-756203163b3f?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636" Type="http://schemas.openxmlformats.org/officeDocument/2006/relationships/hyperlink" Target="https://alpha.midjourney.com/jobs/22a34a29-1762-4b99-a1b7-f4960f0961b3?index=0" TargetMode="External"/><Relationship Id="rId631" Type="http://schemas.openxmlformats.org/officeDocument/2006/relationships/hyperlink" Target="https://alpha.midjourney.com/jobs/3bf3147f-0874-4e69-a5cf-babf4744fc51?index=3" TargetMode="External"/><Relationship Id="rId630" Type="http://schemas.openxmlformats.org/officeDocument/2006/relationships/hyperlink" Target="https://alpha.midjourney.com/jobs/e9cfddb2-74e8-4821-93ef-db5a57e9c0e6?index=1" TargetMode="External"/><Relationship Id="rId829" Type="http://schemas.openxmlformats.org/officeDocument/2006/relationships/hyperlink" Target="https://alpha.midjourney.com/jobs/73e183ab-cd8f-4e66-b328-a4226a72e32b?index=1" TargetMode="External"/><Relationship Id="rId828" Type="http://schemas.openxmlformats.org/officeDocument/2006/relationships/hyperlink" Target="https://alpha.midjourney.com/jobs/1e429c2b-5a05-49ab-9489-c12018649b91?index=3" TargetMode="External"/><Relationship Id="rId827" Type="http://schemas.openxmlformats.org/officeDocument/2006/relationships/hyperlink" Target="https://alpha.midjourney.com/jobs/1f413697-4aa9-4268-8632-34cae7b439c3?index=3" TargetMode="External"/><Relationship Id="rId822" Type="http://schemas.openxmlformats.org/officeDocument/2006/relationships/hyperlink" Target="https://alpha.midjourney.com/jobs/149f71d5-4d94-4947-8b64-95192764e495?index=3" TargetMode="External"/><Relationship Id="rId821" Type="http://schemas.openxmlformats.org/officeDocument/2006/relationships/hyperlink" Target="https://alpha.midjourney.com/jobs/20c46836-19bc-4c62-8431-98b2760b75d0?index=2" TargetMode="External"/><Relationship Id="rId820" Type="http://schemas.openxmlformats.org/officeDocument/2006/relationships/hyperlink" Target="https://alpha.midjourney.com/jobs/20c46836-19bc-4c62-8431-98b2760b75d0?index=3" TargetMode="External"/><Relationship Id="rId826" Type="http://schemas.openxmlformats.org/officeDocument/2006/relationships/hyperlink" Target="https://alpha.midjourney.com/jobs/b66028ef-5e3a-4038-a5ee-304d9808015f?index=2" TargetMode="External"/><Relationship Id="rId825" Type="http://schemas.openxmlformats.org/officeDocument/2006/relationships/hyperlink" Target="https://alpha.midjourney.com/jobs/ead00509-22e1-4300-a2f5-37e68b0be839?index=0" TargetMode="External"/><Relationship Id="rId824" Type="http://schemas.openxmlformats.org/officeDocument/2006/relationships/hyperlink" Target="https://alpha.midjourney.com/jobs/46a0753e-b7f5-4268-a101-deb73939d6be?index=2" TargetMode="External"/><Relationship Id="rId823" Type="http://schemas.openxmlformats.org/officeDocument/2006/relationships/hyperlink" Target="https://alpha.midjourney.com/jobs/ead00509-22e1-4300-a2f5-37e68b0be839?index=1" TargetMode="External"/><Relationship Id="rId819" Type="http://schemas.openxmlformats.org/officeDocument/2006/relationships/hyperlink" Target="https://alpha.midjourney.com/jobs/8ddea716-e1f9-491b-aca2-f52b67ebc68d?index=0" TargetMode="External"/><Relationship Id="rId818" Type="http://schemas.openxmlformats.org/officeDocument/2006/relationships/hyperlink" Target="https://alpha.midjourney.com/jobs/6c892b4d-9f53-4686-88b5-2ef14a829397?index=0" TargetMode="External"/><Relationship Id="rId817" Type="http://schemas.openxmlformats.org/officeDocument/2006/relationships/hyperlink" Target="https://alpha.midjourney.com/jobs/6c892b4d-9f53-4686-88b5-2ef14a829397?index=1" TargetMode="External"/><Relationship Id="rId816" Type="http://schemas.openxmlformats.org/officeDocument/2006/relationships/hyperlink" Target="https://alpha.midjourney.com/jobs/5303463c-59b3-4fb2-94c4-4a297ae0ad1a?index=1" TargetMode="External"/><Relationship Id="rId811" Type="http://schemas.openxmlformats.org/officeDocument/2006/relationships/hyperlink" Target="https://alpha.midjourney.com/jobs/902f686b-2aa6-427e-aa01-bd0121e13b27?index=1" TargetMode="External"/><Relationship Id="rId810" Type="http://schemas.openxmlformats.org/officeDocument/2006/relationships/hyperlink" Target="https://alpha.midjourney.com/jobs/56ad7b68-b4aa-44c6-ba28-2093ea5e6556?index=3" TargetMode="External"/><Relationship Id="rId815" Type="http://schemas.openxmlformats.org/officeDocument/2006/relationships/hyperlink" Target="https://alpha.midjourney.com/jobs/486584b2-e68e-44a9-a038-0edfd1135259?index=3" TargetMode="External"/><Relationship Id="rId814" Type="http://schemas.openxmlformats.org/officeDocument/2006/relationships/hyperlink" Target="https://alpha.midjourney.com/jobs/8bc651f8-5a74-46c8-a338-5e7470e20d29?index=1" TargetMode="External"/><Relationship Id="rId813" Type="http://schemas.openxmlformats.org/officeDocument/2006/relationships/hyperlink" Target="https://alpha.midjourney.com/jobs/dd8db80a-be81-42cd-8117-d370f2fdce6b?index=1" TargetMode="External"/><Relationship Id="rId812" Type="http://schemas.openxmlformats.org/officeDocument/2006/relationships/hyperlink" Target="https://alpha.midjourney.com/jobs/3bce2cc2-7905-4055-a5c5-f61caeece66e?index=1"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drawing" Target="../drawings/drawing1.xm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e44b464d-8fb8-4785-b44d-30862c9b331d?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0910dc1c-1abc-4850-9805-126bdbab7799?index=2" TargetMode="External"/><Relationship Id="rId841" Type="http://schemas.openxmlformats.org/officeDocument/2006/relationships/hyperlink" Target="https://alpha.midjourney.com/jobs/ec5ac332-b6b1-4b86-8b06-ac7403f17f1b?index=1" TargetMode="External"/><Relationship Id="rId606" Type="http://schemas.openxmlformats.org/officeDocument/2006/relationships/hyperlink" Target="https://alpha.midjourney.com/jobs/47bd8a99-96cc-4b41-bc50-6ab93ee3369d?index=0" TargetMode="External"/><Relationship Id="rId605" Type="http://schemas.openxmlformats.org/officeDocument/2006/relationships/hyperlink" Target="https://alpha.midjourney.com/jobs/bdf467d6-4699-4676-a6f9-39e3cbb899e5?index=0" TargetMode="External"/><Relationship Id="rId604" Type="http://schemas.openxmlformats.org/officeDocument/2006/relationships/hyperlink" Target="https://alpha.midjourney.com/jobs/c4a83c37-4d6d-4f59-96bb-5d38ce1a9de6?index=3" TargetMode="External"/><Relationship Id="rId603" Type="http://schemas.openxmlformats.org/officeDocument/2006/relationships/hyperlink" Target="https://alpha.midjourney.com/jobs/dc99fa2e-811a-4134-88e2-76ee3a711eec?index=3" TargetMode="External"/><Relationship Id="rId840" Type="http://schemas.openxmlformats.org/officeDocument/2006/relationships/hyperlink" Target="https://alpha.midjourney.com/jobs/ec5ac332-b6b1-4b86-8b06-ac7403f17f1b?index=3" TargetMode="External"/><Relationship Id="rId839" Type="http://schemas.openxmlformats.org/officeDocument/2006/relationships/hyperlink" Target="https://alpha.midjourney.com/jobs/ca25e5d3-d262-4f14-9b5c-79a9a9086431?index=2" TargetMode="External"/><Relationship Id="rId838" Type="http://schemas.openxmlformats.org/officeDocument/2006/relationships/hyperlink" Target="https://alpha.midjourney.com/jobs/e39d57f2-0251-4a7d-83b3-fbf31cdf863d?index=1" TargetMode="External"/><Relationship Id="rId833" Type="http://schemas.openxmlformats.org/officeDocument/2006/relationships/hyperlink" Target="https://alpha.midjourney.com/jobs/cda9e665-f4f8-47ac-8a96-6bb29eb7cff1?index=0" TargetMode="External"/><Relationship Id="rId832" Type="http://schemas.openxmlformats.org/officeDocument/2006/relationships/hyperlink" Target="https://alpha.midjourney.com/jobs/9f44ec3c-8312-484b-bc3f-b055f211334b?index=1" TargetMode="External"/><Relationship Id="rId831" Type="http://schemas.openxmlformats.org/officeDocument/2006/relationships/hyperlink" Target="https://alpha.midjourney.com/jobs/62caf3af-4107-40ab-861f-b8b9f3da8602?index=2" TargetMode="External"/><Relationship Id="rId830" Type="http://schemas.openxmlformats.org/officeDocument/2006/relationships/hyperlink" Target="https://alpha.midjourney.com/jobs/93428f42-6dac-49ed-8e69-43a69015a590?index=0" TargetMode="External"/><Relationship Id="rId837" Type="http://schemas.openxmlformats.org/officeDocument/2006/relationships/hyperlink" Target="https://alpha.midjourney.com/jobs/d18a97fb-acf3-40be-b0ea-1d03a5d4f718?index=0" TargetMode="External"/><Relationship Id="rId836" Type="http://schemas.openxmlformats.org/officeDocument/2006/relationships/hyperlink" Target="https://alpha.midjourney.com/jobs/9c28fb54-8e94-4d81-8f7f-af5a9d185ca2?index=2" TargetMode="External"/><Relationship Id="rId835" Type="http://schemas.openxmlformats.org/officeDocument/2006/relationships/hyperlink" Target="https://alpha.midjourney.com/jobs/050c77d2-5182-4382-b5bc-db641bf5cec5?index=2" TargetMode="External"/><Relationship Id="rId834" Type="http://schemas.openxmlformats.org/officeDocument/2006/relationships/hyperlink" Target="https://alpha.midjourney.com/jobs/cda9e665-f4f8-47ac-8a96-6bb29eb7cff1?index=2"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651" Type="http://schemas.openxmlformats.org/officeDocument/2006/relationships/hyperlink" Target="https://alpha.midjourney.com/jobs/6e0215b8-b92d-42ca-b447-89ce45b7a682?index=3" TargetMode="External"/><Relationship Id="rId650" Type="http://schemas.openxmlformats.org/officeDocument/2006/relationships/hyperlink" Target="https://alpha.midjourney.com/jobs/4e8939d3-700e-432e-87ea-5a6d537e421f?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c r="J243" s="16" t="s">
        <v>1638</v>
      </c>
      <c r="K243" s="13" t="s">
        <v>1639</v>
      </c>
      <c r="L243" s="13" t="s">
        <v>1640</v>
      </c>
    </row>
    <row r="244" hidden="1">
      <c r="A244" s="16" t="s">
        <v>1641</v>
      </c>
      <c r="B244" s="90" t="s">
        <v>1501</v>
      </c>
      <c r="C244" s="15">
        <v>2.0</v>
      </c>
      <c r="D244" s="15" t="s">
        <v>111</v>
      </c>
      <c r="E244" s="16" t="s">
        <v>1642</v>
      </c>
      <c r="F244" s="17" t="s">
        <v>24</v>
      </c>
      <c r="G244" s="15">
        <v>1.0</v>
      </c>
      <c r="H244" s="15" t="s">
        <v>1503</v>
      </c>
      <c r="I244" s="15" t="s">
        <v>26</v>
      </c>
    </row>
    <row r="245">
      <c r="A245" s="16" t="s">
        <v>1643</v>
      </c>
      <c r="B245" s="16" t="s">
        <v>1039</v>
      </c>
      <c r="C245" s="15">
        <v>1.0</v>
      </c>
      <c r="D245" s="15" t="s">
        <v>1370</v>
      </c>
      <c r="E245" s="16" t="s">
        <v>1644</v>
      </c>
      <c r="F245" s="17" t="s">
        <v>1645</v>
      </c>
      <c r="G245" s="15">
        <v>5.0</v>
      </c>
      <c r="H245" s="16" t="s">
        <v>1646</v>
      </c>
      <c r="I245" s="9" t="s">
        <v>26</v>
      </c>
      <c r="J245" s="16" t="s">
        <v>1647</v>
      </c>
      <c r="K245" s="13" t="s">
        <v>1648</v>
      </c>
      <c r="L245" s="13" t="s">
        <v>1649</v>
      </c>
      <c r="M245" s="13" t="s">
        <v>1650</v>
      </c>
      <c r="N245" s="13" t="s">
        <v>1651</v>
      </c>
      <c r="O245" s="13" t="s">
        <v>1652</v>
      </c>
      <c r="P245" s="13" t="s">
        <v>1653</v>
      </c>
    </row>
    <row r="246">
      <c r="A246" s="16" t="s">
        <v>1654</v>
      </c>
      <c r="B246" s="16" t="s">
        <v>1039</v>
      </c>
      <c r="C246" s="15">
        <v>1.0</v>
      </c>
      <c r="D246" s="15" t="s">
        <v>335</v>
      </c>
      <c r="E246" s="16" t="s">
        <v>1655</v>
      </c>
      <c r="F246" s="17"/>
      <c r="G246" s="15">
        <v>3.0</v>
      </c>
      <c r="H246" s="16" t="s">
        <v>443</v>
      </c>
      <c r="I246" s="9" t="s">
        <v>26</v>
      </c>
      <c r="J246" s="16" t="s">
        <v>1656</v>
      </c>
      <c r="K246" s="13" t="s">
        <v>1657</v>
      </c>
      <c r="L246" s="13" t="s">
        <v>1658</v>
      </c>
      <c r="M246" s="13" t="s">
        <v>1659</v>
      </c>
    </row>
    <row r="247">
      <c r="A247" s="7" t="s">
        <v>1660</v>
      </c>
      <c r="B247" s="7" t="s">
        <v>1369</v>
      </c>
      <c r="C247" s="9">
        <v>1.0</v>
      </c>
      <c r="D247" s="9" t="s">
        <v>998</v>
      </c>
      <c r="E247" s="7" t="s">
        <v>1661</v>
      </c>
      <c r="F247" s="10" t="s">
        <v>1662</v>
      </c>
      <c r="G247" s="9">
        <v>3.0</v>
      </c>
      <c r="H247" s="9" t="s">
        <v>1663</v>
      </c>
      <c r="I247" s="9" t="s">
        <v>70</v>
      </c>
      <c r="J247" s="16" t="s">
        <v>1664</v>
      </c>
      <c r="K247" s="13" t="s">
        <v>1665</v>
      </c>
      <c r="L247" s="13" t="s">
        <v>1666</v>
      </c>
      <c r="M247" s="13" t="s">
        <v>1667</v>
      </c>
      <c r="N247" s="13" t="s">
        <v>1668</v>
      </c>
    </row>
    <row r="248">
      <c r="A248" s="22" t="s">
        <v>1669</v>
      </c>
      <c r="B248" s="7" t="s">
        <v>1369</v>
      </c>
      <c r="C248" s="9">
        <v>1.0</v>
      </c>
      <c r="D248" s="9" t="s">
        <v>1670</v>
      </c>
      <c r="E248" s="7" t="s">
        <v>1671</v>
      </c>
      <c r="F248" s="10" t="s">
        <v>1672</v>
      </c>
      <c r="G248" s="9">
        <v>3.0</v>
      </c>
      <c r="H248" s="9" t="s">
        <v>1673</v>
      </c>
      <c r="I248" s="9" t="s">
        <v>32</v>
      </c>
      <c r="J248" s="16" t="s">
        <v>1674</v>
      </c>
      <c r="K248" s="13" t="s">
        <v>1675</v>
      </c>
      <c r="L248" s="13" t="s">
        <v>1676</v>
      </c>
      <c r="M248" s="13" t="s">
        <v>1677</v>
      </c>
      <c r="N248" s="13" t="s">
        <v>1678</v>
      </c>
      <c r="O248" s="13" t="s">
        <v>1679</v>
      </c>
    </row>
    <row r="249">
      <c r="A249" s="7" t="s">
        <v>1680</v>
      </c>
      <c r="B249" s="7" t="s">
        <v>1369</v>
      </c>
      <c r="C249" s="9">
        <v>1.0</v>
      </c>
      <c r="D249" s="9" t="s">
        <v>1681</v>
      </c>
      <c r="E249" s="7"/>
      <c r="F249" s="10" t="s">
        <v>1682</v>
      </c>
      <c r="G249" s="9">
        <v>2.0</v>
      </c>
      <c r="H249" s="9" t="s">
        <v>1683</v>
      </c>
      <c r="I249" s="9" t="s">
        <v>26</v>
      </c>
      <c r="J249" s="16" t="s">
        <v>1684</v>
      </c>
      <c r="K249" s="13" t="s">
        <v>1685</v>
      </c>
      <c r="L249" s="13" t="s">
        <v>1686</v>
      </c>
      <c r="M249" s="13" t="s">
        <v>1687</v>
      </c>
      <c r="N249" s="13" t="s">
        <v>1688</v>
      </c>
      <c r="O249" s="13" t="s">
        <v>1689</v>
      </c>
    </row>
    <row r="250">
      <c r="A250" s="7" t="s">
        <v>1690</v>
      </c>
      <c r="B250" s="7" t="s">
        <v>1429</v>
      </c>
      <c r="C250" s="9">
        <v>1.0</v>
      </c>
      <c r="D250" s="9" t="s">
        <v>1691</v>
      </c>
      <c r="E250" s="7" t="s">
        <v>1692</v>
      </c>
      <c r="F250" s="10" t="s">
        <v>1693</v>
      </c>
      <c r="G250" s="9">
        <v>1.0</v>
      </c>
      <c r="H250" s="9" t="s">
        <v>1694</v>
      </c>
      <c r="I250" s="9" t="s">
        <v>70</v>
      </c>
      <c r="J250" s="16" t="s">
        <v>1695</v>
      </c>
      <c r="K250" s="13" t="s">
        <v>1696</v>
      </c>
      <c r="L250" s="13" t="s">
        <v>1697</v>
      </c>
      <c r="M250" s="13" t="s">
        <v>1698</v>
      </c>
      <c r="N250" s="13" t="s">
        <v>1699</v>
      </c>
      <c r="O250" s="13" t="s">
        <v>1700</v>
      </c>
    </row>
    <row r="251" hidden="1">
      <c r="A251" s="31" t="s">
        <v>1701</v>
      </c>
      <c r="B251" s="90" t="s">
        <v>1501</v>
      </c>
      <c r="C251" s="15">
        <v>2.0</v>
      </c>
      <c r="D251" s="15" t="s">
        <v>1702</v>
      </c>
      <c r="E251" s="16" t="s">
        <v>1703</v>
      </c>
      <c r="F251" s="17" t="s">
        <v>943</v>
      </c>
      <c r="G251" s="15">
        <v>4.0</v>
      </c>
      <c r="H251" s="15" t="s">
        <v>1704</v>
      </c>
      <c r="I251" s="15" t="s">
        <v>26</v>
      </c>
    </row>
    <row r="252" hidden="1">
      <c r="A252" s="22" t="s">
        <v>1705</v>
      </c>
      <c r="B252" s="88" t="s">
        <v>1501</v>
      </c>
      <c r="C252" s="9">
        <v>0.0</v>
      </c>
      <c r="D252" s="9" t="s">
        <v>1524</v>
      </c>
      <c r="E252" s="7" t="s">
        <v>1706</v>
      </c>
      <c r="F252" s="10" t="s">
        <v>1707</v>
      </c>
      <c r="G252" s="9">
        <v>5.0</v>
      </c>
      <c r="H252" s="9" t="s">
        <v>1704</v>
      </c>
      <c r="I252" s="9" t="s">
        <v>26</v>
      </c>
    </row>
    <row r="253" ht="14.25" hidden="1" customHeight="1">
      <c r="A253" s="7" t="s">
        <v>1708</v>
      </c>
      <c r="B253" s="86" t="s">
        <v>1501</v>
      </c>
      <c r="C253" s="9">
        <v>2.0</v>
      </c>
      <c r="D253" s="9" t="s">
        <v>661</v>
      </c>
      <c r="E253" s="7" t="s">
        <v>1709</v>
      </c>
      <c r="F253" s="10" t="s">
        <v>1710</v>
      </c>
      <c r="G253" s="9">
        <v>1.0</v>
      </c>
      <c r="H253" s="9" t="s">
        <v>1530</v>
      </c>
      <c r="I253" s="9" t="s">
        <v>70</v>
      </c>
    </row>
    <row r="254">
      <c r="A254" s="7" t="s">
        <v>1711</v>
      </c>
      <c r="B254" s="7" t="s">
        <v>1429</v>
      </c>
      <c r="C254" s="9">
        <v>1.0</v>
      </c>
      <c r="D254" s="9" t="s">
        <v>1446</v>
      </c>
      <c r="E254" s="7" t="s">
        <v>1712</v>
      </c>
      <c r="F254" s="10" t="s">
        <v>1713</v>
      </c>
      <c r="G254" s="9">
        <v>2.0</v>
      </c>
      <c r="H254" s="9" t="s">
        <v>1714</v>
      </c>
      <c r="I254" s="9" t="s">
        <v>32</v>
      </c>
      <c r="J254" s="16" t="s">
        <v>1715</v>
      </c>
      <c r="K254" s="13" t="s">
        <v>1716</v>
      </c>
      <c r="L254" s="13" t="s">
        <v>1717</v>
      </c>
      <c r="M254" s="13" t="s">
        <v>1718</v>
      </c>
      <c r="N254" s="13" t="s">
        <v>1719</v>
      </c>
      <c r="O254" s="13" t="s">
        <v>1720</v>
      </c>
    </row>
    <row r="255" hidden="1">
      <c r="A255" s="31" t="s">
        <v>1721</v>
      </c>
      <c r="B255" s="16" t="s">
        <v>1501</v>
      </c>
      <c r="C255" s="15">
        <v>2.0</v>
      </c>
      <c r="D255" s="15" t="s">
        <v>1722</v>
      </c>
      <c r="E255" s="16" t="s">
        <v>1723</v>
      </c>
      <c r="F255" s="17" t="s">
        <v>1724</v>
      </c>
      <c r="G255" s="15">
        <v>4.0</v>
      </c>
      <c r="H255" s="15" t="s">
        <v>1535</v>
      </c>
      <c r="I255" s="15" t="s">
        <v>70</v>
      </c>
    </row>
    <row r="256" hidden="1">
      <c r="A256" s="16" t="s">
        <v>1725</v>
      </c>
      <c r="B256" s="16" t="s">
        <v>1501</v>
      </c>
      <c r="C256" s="15">
        <v>2.0</v>
      </c>
      <c r="D256" s="15" t="s">
        <v>111</v>
      </c>
      <c r="E256" s="16" t="s">
        <v>1726</v>
      </c>
      <c r="F256" s="17" t="s">
        <v>1727</v>
      </c>
      <c r="G256" s="15">
        <v>6.0</v>
      </c>
      <c r="H256" s="15" t="s">
        <v>1728</v>
      </c>
      <c r="I256" s="15" t="s">
        <v>32</v>
      </c>
    </row>
    <row r="257" hidden="1">
      <c r="A257" s="16" t="s">
        <v>1729</v>
      </c>
      <c r="B257" s="90" t="s">
        <v>1501</v>
      </c>
      <c r="C257" s="15">
        <v>2.0</v>
      </c>
      <c r="D257" s="15" t="s">
        <v>297</v>
      </c>
      <c r="E257" s="16" t="s">
        <v>1730</v>
      </c>
      <c r="F257" s="17" t="s">
        <v>1173</v>
      </c>
      <c r="G257" s="15">
        <v>3.0</v>
      </c>
      <c r="H257" s="15" t="s">
        <v>1704</v>
      </c>
      <c r="I257" s="15" t="s">
        <v>70</v>
      </c>
    </row>
    <row r="258" hidden="1">
      <c r="A258" s="16" t="s">
        <v>1731</v>
      </c>
      <c r="B258" s="90" t="s">
        <v>1501</v>
      </c>
      <c r="C258" s="15">
        <v>0.0</v>
      </c>
      <c r="D258" s="15" t="s">
        <v>149</v>
      </c>
      <c r="E258" s="16" t="s">
        <v>1732</v>
      </c>
      <c r="F258" s="17" t="s">
        <v>1733</v>
      </c>
      <c r="G258" s="9">
        <v>3.0</v>
      </c>
      <c r="H258" s="9" t="s">
        <v>1734</v>
      </c>
      <c r="I258" s="9" t="s">
        <v>32</v>
      </c>
    </row>
    <row r="259">
      <c r="A259" s="7" t="s">
        <v>1735</v>
      </c>
      <c r="B259" s="7" t="s">
        <v>1429</v>
      </c>
      <c r="C259" s="9">
        <v>1.0</v>
      </c>
      <c r="D259" s="9" t="s">
        <v>1200</v>
      </c>
      <c r="E259" s="7"/>
      <c r="F259" s="10" t="s">
        <v>1736</v>
      </c>
      <c r="G259" s="9">
        <v>2.0</v>
      </c>
      <c r="H259" s="9" t="s">
        <v>1472</v>
      </c>
      <c r="I259" s="9" t="s">
        <v>26</v>
      </c>
      <c r="J259" s="16" t="s">
        <v>1737</v>
      </c>
      <c r="K259" s="13" t="s">
        <v>1738</v>
      </c>
      <c r="L259" s="13" t="s">
        <v>1739</v>
      </c>
      <c r="M259" s="13" t="s">
        <v>1740</v>
      </c>
      <c r="N259" s="13" t="s">
        <v>1741</v>
      </c>
      <c r="O259" s="13" t="s">
        <v>1742</v>
      </c>
    </row>
    <row r="260" hidden="1">
      <c r="A260" s="16" t="s">
        <v>1743</v>
      </c>
      <c r="B260" s="16" t="s">
        <v>1501</v>
      </c>
      <c r="C260" s="15">
        <v>2.0</v>
      </c>
      <c r="D260" s="15" t="s">
        <v>1744</v>
      </c>
      <c r="E260" s="16" t="s">
        <v>1745</v>
      </c>
      <c r="F260" s="17" t="s">
        <v>1746</v>
      </c>
      <c r="G260" s="15">
        <v>6.0</v>
      </c>
      <c r="H260" s="15" t="s">
        <v>1728</v>
      </c>
      <c r="I260" s="15" t="s">
        <v>32</v>
      </c>
    </row>
    <row r="261" hidden="1">
      <c r="A261" s="16" t="s">
        <v>1747</v>
      </c>
      <c r="B261" s="90" t="s">
        <v>1501</v>
      </c>
      <c r="C261" s="15">
        <v>2.0</v>
      </c>
      <c r="D261" s="15" t="s">
        <v>327</v>
      </c>
      <c r="E261" s="16" t="s">
        <v>1748</v>
      </c>
      <c r="F261" s="17" t="s">
        <v>1749</v>
      </c>
      <c r="G261" s="15">
        <v>3.0</v>
      </c>
      <c r="H261" s="15" t="s">
        <v>1750</v>
      </c>
      <c r="I261" s="15" t="s">
        <v>26</v>
      </c>
    </row>
    <row r="262">
      <c r="A262" s="16" t="s">
        <v>1751</v>
      </c>
      <c r="B262" s="16" t="s">
        <v>1501</v>
      </c>
      <c r="C262" s="15">
        <v>1.0</v>
      </c>
      <c r="D262" s="15" t="s">
        <v>387</v>
      </c>
      <c r="E262" s="16" t="s">
        <v>1752</v>
      </c>
      <c r="F262" s="17" t="s">
        <v>943</v>
      </c>
      <c r="G262" s="15">
        <v>3.0</v>
      </c>
      <c r="H262" s="15" t="s">
        <v>1530</v>
      </c>
      <c r="I262" s="9" t="s">
        <v>26</v>
      </c>
      <c r="J262" s="16" t="s">
        <v>1753</v>
      </c>
      <c r="K262" s="13" t="s">
        <v>1754</v>
      </c>
      <c r="L262" s="13" t="s">
        <v>1755</v>
      </c>
      <c r="M262" s="13" t="s">
        <v>1756</v>
      </c>
      <c r="N262" s="13" t="s">
        <v>1757</v>
      </c>
      <c r="O262" s="13" t="s">
        <v>1758</v>
      </c>
    </row>
    <row r="263">
      <c r="A263" s="7" t="s">
        <v>1759</v>
      </c>
      <c r="B263" s="7" t="s">
        <v>1501</v>
      </c>
      <c r="C263" s="9">
        <v>1.0</v>
      </c>
      <c r="D263" s="9" t="s">
        <v>383</v>
      </c>
      <c r="E263" s="16" t="s">
        <v>1760</v>
      </c>
      <c r="F263" s="17" t="s">
        <v>1761</v>
      </c>
      <c r="G263" s="9">
        <v>6.0</v>
      </c>
      <c r="H263" s="9" t="s">
        <v>1704</v>
      </c>
      <c r="I263" s="15" t="s">
        <v>70</v>
      </c>
      <c r="J263" s="16" t="s">
        <v>1762</v>
      </c>
      <c r="K263" s="13" t="s">
        <v>1763</v>
      </c>
      <c r="L263" s="13" t="s">
        <v>1764</v>
      </c>
      <c r="M263" s="13" t="s">
        <v>1765</v>
      </c>
      <c r="N263" s="13" t="s">
        <v>1766</v>
      </c>
      <c r="O263" s="13" t="s">
        <v>1767</v>
      </c>
    </row>
    <row r="264">
      <c r="A264" s="22" t="s">
        <v>1768</v>
      </c>
      <c r="B264" s="7" t="s">
        <v>1501</v>
      </c>
      <c r="C264" s="9">
        <v>1.0</v>
      </c>
      <c r="D264" s="9" t="s">
        <v>111</v>
      </c>
      <c r="E264" s="7" t="s">
        <v>1769</v>
      </c>
      <c r="F264" s="10" t="s">
        <v>1770</v>
      </c>
      <c r="G264" s="9">
        <v>4.0</v>
      </c>
      <c r="H264" s="9" t="s">
        <v>1704</v>
      </c>
      <c r="I264" s="9" t="s">
        <v>70</v>
      </c>
      <c r="J264" s="16" t="s">
        <v>1771</v>
      </c>
      <c r="K264" s="13" t="s">
        <v>1772</v>
      </c>
      <c r="L264" s="13" t="s">
        <v>1773</v>
      </c>
      <c r="M264" s="13" t="s">
        <v>1774</v>
      </c>
      <c r="N264" s="13" t="s">
        <v>1775</v>
      </c>
      <c r="O264" s="13" t="s">
        <v>1776</v>
      </c>
      <c r="P264" s="13" t="s">
        <v>1777</v>
      </c>
      <c r="Q264" s="13" t="s">
        <v>1778</v>
      </c>
    </row>
    <row r="265" hidden="1">
      <c r="A265" s="22" t="s">
        <v>1779</v>
      </c>
      <c r="B265" s="88" t="s">
        <v>1501</v>
      </c>
      <c r="C265" s="9">
        <v>2.0</v>
      </c>
      <c r="D265" s="9" t="s">
        <v>1722</v>
      </c>
      <c r="E265" s="16" t="s">
        <v>1780</v>
      </c>
      <c r="F265" s="10" t="s">
        <v>1781</v>
      </c>
      <c r="G265" s="9">
        <v>3.0</v>
      </c>
      <c r="H265" s="9" t="s">
        <v>1750</v>
      </c>
      <c r="I265" s="9" t="s">
        <v>26</v>
      </c>
    </row>
    <row r="266">
      <c r="A266" s="7" t="s">
        <v>1782</v>
      </c>
      <c r="B266" s="7" t="s">
        <v>1501</v>
      </c>
      <c r="C266" s="9">
        <v>1.0</v>
      </c>
      <c r="D266" s="9" t="s">
        <v>238</v>
      </c>
      <c r="E266" s="7" t="s">
        <v>81</v>
      </c>
      <c r="F266" s="10" t="s">
        <v>1783</v>
      </c>
      <c r="G266" s="9">
        <v>2.0</v>
      </c>
      <c r="H266" s="9" t="s">
        <v>1784</v>
      </c>
      <c r="I266" s="9" t="s">
        <v>26</v>
      </c>
      <c r="J266" s="16" t="s">
        <v>1785</v>
      </c>
      <c r="K266" s="13" t="s">
        <v>1786</v>
      </c>
      <c r="L266" s="13" t="s">
        <v>1787</v>
      </c>
      <c r="M266" s="13" t="s">
        <v>1788</v>
      </c>
      <c r="N266" s="13" t="s">
        <v>1789</v>
      </c>
      <c r="O266" s="13" t="s">
        <v>1790</v>
      </c>
      <c r="P266" s="13" t="s">
        <v>1791</v>
      </c>
      <c r="Q266" s="13" t="s">
        <v>1792</v>
      </c>
    </row>
    <row r="267" hidden="1">
      <c r="A267" s="16" t="s">
        <v>1793</v>
      </c>
      <c r="B267" s="90" t="s">
        <v>1501</v>
      </c>
      <c r="C267" s="15">
        <v>2.0</v>
      </c>
      <c r="D267" s="15" t="s">
        <v>1794</v>
      </c>
      <c r="E267" s="16" t="s">
        <v>1795</v>
      </c>
      <c r="F267" s="17" t="s">
        <v>1260</v>
      </c>
      <c r="G267" s="15">
        <v>4.0</v>
      </c>
      <c r="H267" s="15" t="s">
        <v>1750</v>
      </c>
      <c r="I267" s="15" t="s">
        <v>26</v>
      </c>
    </row>
    <row r="268" hidden="1">
      <c r="A268" s="22" t="s">
        <v>1796</v>
      </c>
      <c r="B268" s="7" t="s">
        <v>1501</v>
      </c>
      <c r="C268" s="9">
        <v>2.0</v>
      </c>
      <c r="D268" s="9" t="s">
        <v>1797</v>
      </c>
      <c r="E268" s="86" t="s">
        <v>1798</v>
      </c>
      <c r="F268" s="10" t="s">
        <v>1799</v>
      </c>
      <c r="G268" s="9">
        <v>6.0</v>
      </c>
      <c r="H268" s="9" t="s">
        <v>1800</v>
      </c>
      <c r="I268" s="9" t="s">
        <v>32</v>
      </c>
    </row>
    <row r="269" hidden="1">
      <c r="A269" s="16" t="s">
        <v>1801</v>
      </c>
      <c r="B269" s="86" t="s">
        <v>1501</v>
      </c>
      <c r="C269" s="9">
        <v>2.0</v>
      </c>
      <c r="D269" s="15" t="s">
        <v>919</v>
      </c>
      <c r="E269" s="16" t="s">
        <v>1802</v>
      </c>
      <c r="F269" s="17" t="s">
        <v>1803</v>
      </c>
      <c r="G269" s="15">
        <v>3.0</v>
      </c>
      <c r="H269" s="15" t="s">
        <v>1526</v>
      </c>
      <c r="I269" s="15" t="s">
        <v>70</v>
      </c>
    </row>
    <row r="270" ht="15.75" customHeight="1">
      <c r="A270" s="7" t="s">
        <v>1804</v>
      </c>
      <c r="B270" s="7" t="s">
        <v>1501</v>
      </c>
      <c r="C270" s="9">
        <v>1.0</v>
      </c>
      <c r="D270" s="9" t="s">
        <v>387</v>
      </c>
      <c r="E270" s="7" t="s">
        <v>1805</v>
      </c>
      <c r="F270" s="10" t="s">
        <v>1806</v>
      </c>
      <c r="G270" s="9">
        <v>2.0</v>
      </c>
      <c r="H270" s="9" t="s">
        <v>1530</v>
      </c>
      <c r="I270" s="9" t="s">
        <v>70</v>
      </c>
      <c r="J270" s="16" t="s">
        <v>1807</v>
      </c>
      <c r="K270" s="13" t="s">
        <v>1808</v>
      </c>
      <c r="L270" s="13" t="s">
        <v>1809</v>
      </c>
      <c r="M270" s="13" t="s">
        <v>1810</v>
      </c>
      <c r="N270" s="13" t="s">
        <v>1811</v>
      </c>
      <c r="O270" s="13" t="s">
        <v>1812</v>
      </c>
      <c r="P270" s="13" t="s">
        <v>1813</v>
      </c>
      <c r="Q270" s="13" t="s">
        <v>1814</v>
      </c>
      <c r="R270" s="13" t="s">
        <v>1815</v>
      </c>
      <c r="S270" s="13" t="s">
        <v>1816</v>
      </c>
    </row>
    <row r="271" hidden="1">
      <c r="A271" s="16" t="s">
        <v>1817</v>
      </c>
      <c r="B271" s="90" t="s">
        <v>1501</v>
      </c>
      <c r="C271" s="15">
        <v>2.0</v>
      </c>
      <c r="D271" s="15" t="s">
        <v>539</v>
      </c>
      <c r="E271" s="16" t="s">
        <v>1818</v>
      </c>
      <c r="F271" s="17" t="s">
        <v>119</v>
      </c>
      <c r="G271" s="15">
        <v>2.0</v>
      </c>
      <c r="H271" s="15" t="s">
        <v>1530</v>
      </c>
      <c r="I271" s="15" t="s">
        <v>26</v>
      </c>
    </row>
    <row r="272" hidden="1">
      <c r="A272" s="7" t="s">
        <v>1819</v>
      </c>
      <c r="B272" s="86" t="s">
        <v>1501</v>
      </c>
      <c r="C272" s="9">
        <v>2.0</v>
      </c>
      <c r="D272" s="9" t="s">
        <v>1524</v>
      </c>
      <c r="E272" s="7" t="s">
        <v>1820</v>
      </c>
      <c r="F272" s="10" t="s">
        <v>1821</v>
      </c>
      <c r="G272" s="9">
        <v>5.0</v>
      </c>
      <c r="H272" s="9" t="s">
        <v>1535</v>
      </c>
      <c r="I272" s="9" t="s">
        <v>26</v>
      </c>
    </row>
    <row r="273">
      <c r="A273" s="16" t="s">
        <v>1822</v>
      </c>
      <c r="B273" s="16" t="s">
        <v>1501</v>
      </c>
      <c r="C273" s="15">
        <v>1.0</v>
      </c>
      <c r="D273" s="15" t="s">
        <v>1794</v>
      </c>
      <c r="E273" s="16" t="s">
        <v>1823</v>
      </c>
      <c r="F273" s="17" t="s">
        <v>1824</v>
      </c>
      <c r="G273" s="15">
        <v>3.0</v>
      </c>
      <c r="H273" s="15" t="s">
        <v>1530</v>
      </c>
      <c r="I273" s="15" t="s">
        <v>26</v>
      </c>
      <c r="J273" s="16" t="s">
        <v>1825</v>
      </c>
      <c r="K273" s="13" t="s">
        <v>1826</v>
      </c>
      <c r="L273" s="13" t="s">
        <v>1827</v>
      </c>
      <c r="M273" s="13" t="s">
        <v>1828</v>
      </c>
      <c r="N273" s="13" t="s">
        <v>1829</v>
      </c>
      <c r="O273" s="13" t="s">
        <v>1830</v>
      </c>
      <c r="P273" s="13" t="s">
        <v>1831</v>
      </c>
    </row>
    <row r="274" hidden="1">
      <c r="A274" s="22" t="s">
        <v>1832</v>
      </c>
      <c r="B274" s="88" t="s">
        <v>1501</v>
      </c>
      <c r="C274" s="9">
        <v>2.0</v>
      </c>
      <c r="D274" s="9" t="s">
        <v>1397</v>
      </c>
      <c r="E274" s="7" t="s">
        <v>1833</v>
      </c>
      <c r="F274" s="10" t="s">
        <v>1834</v>
      </c>
      <c r="G274" s="9">
        <v>1.0</v>
      </c>
      <c r="H274" s="9" t="s">
        <v>1503</v>
      </c>
      <c r="I274" s="15" t="s">
        <v>26</v>
      </c>
    </row>
    <row r="275" hidden="1">
      <c r="A275" s="16" t="s">
        <v>1835</v>
      </c>
      <c r="B275" s="16" t="s">
        <v>1836</v>
      </c>
      <c r="C275" s="15">
        <v>0.0</v>
      </c>
      <c r="D275" s="15" t="s">
        <v>1837</v>
      </c>
      <c r="E275" s="16" t="s">
        <v>1838</v>
      </c>
      <c r="F275" s="38" t="s">
        <v>1839</v>
      </c>
      <c r="G275" s="15">
        <v>7.0</v>
      </c>
      <c r="H275" s="15" t="s">
        <v>1840</v>
      </c>
      <c r="I275" s="9" t="s">
        <v>32</v>
      </c>
    </row>
    <row r="276" hidden="1">
      <c r="A276" s="7" t="s">
        <v>1841</v>
      </c>
      <c r="B276" s="7" t="s">
        <v>1836</v>
      </c>
      <c r="C276" s="9">
        <v>2.0</v>
      </c>
      <c r="D276" s="9" t="s">
        <v>1842</v>
      </c>
      <c r="E276" s="7" t="s">
        <v>1843</v>
      </c>
      <c r="F276" s="10" t="s">
        <v>1844</v>
      </c>
      <c r="G276" s="9">
        <v>3.0</v>
      </c>
      <c r="H276" s="9" t="s">
        <v>1845</v>
      </c>
      <c r="I276" s="9" t="s">
        <v>70</v>
      </c>
    </row>
    <row r="277">
      <c r="A277" s="16" t="s">
        <v>1846</v>
      </c>
      <c r="B277" s="16" t="s">
        <v>1501</v>
      </c>
      <c r="C277" s="15">
        <v>1.0</v>
      </c>
      <c r="D277" s="15" t="s">
        <v>297</v>
      </c>
      <c r="E277" s="7" t="s">
        <v>1847</v>
      </c>
      <c r="F277" s="10" t="s">
        <v>1848</v>
      </c>
      <c r="G277" s="15">
        <v>3.0</v>
      </c>
      <c r="H277" s="15" t="s">
        <v>1530</v>
      </c>
      <c r="I277" s="15" t="s">
        <v>26</v>
      </c>
      <c r="J277" s="16" t="s">
        <v>1849</v>
      </c>
      <c r="K277" s="13" t="s">
        <v>1850</v>
      </c>
      <c r="L277" s="13" t="s">
        <v>1851</v>
      </c>
      <c r="M277" s="13" t="s">
        <v>1852</v>
      </c>
      <c r="N277" s="13" t="s">
        <v>1853</v>
      </c>
    </row>
    <row r="278">
      <c r="A278" s="16" t="s">
        <v>1854</v>
      </c>
      <c r="B278" s="90" t="s">
        <v>1501</v>
      </c>
      <c r="C278" s="15">
        <v>1.0</v>
      </c>
      <c r="D278" s="15" t="s">
        <v>1722</v>
      </c>
      <c r="E278" s="16" t="s">
        <v>1855</v>
      </c>
      <c r="F278" s="34"/>
      <c r="G278" s="15">
        <v>4.0</v>
      </c>
      <c r="H278" s="15" t="s">
        <v>1750</v>
      </c>
      <c r="I278" s="15" t="s">
        <v>70</v>
      </c>
      <c r="J278" s="16" t="s">
        <v>1856</v>
      </c>
      <c r="K278" s="13" t="s">
        <v>1857</v>
      </c>
      <c r="L278" s="13" t="s">
        <v>1858</v>
      </c>
      <c r="M278" s="13" t="s">
        <v>1859</v>
      </c>
    </row>
    <row r="279">
      <c r="A279" s="7" t="s">
        <v>1860</v>
      </c>
      <c r="B279" s="7" t="s">
        <v>1501</v>
      </c>
      <c r="C279" s="9">
        <v>1.0</v>
      </c>
      <c r="D279" s="9" t="s">
        <v>383</v>
      </c>
      <c r="E279" s="7" t="s">
        <v>1861</v>
      </c>
      <c r="F279" s="10" t="s">
        <v>1862</v>
      </c>
      <c r="G279" s="9">
        <v>5.0</v>
      </c>
      <c r="H279" s="9" t="s">
        <v>1704</v>
      </c>
      <c r="I279" s="9" t="s">
        <v>26</v>
      </c>
      <c r="J279" s="16" t="s">
        <v>1863</v>
      </c>
      <c r="K279" s="13" t="s">
        <v>1864</v>
      </c>
      <c r="L279" s="13" t="s">
        <v>1865</v>
      </c>
    </row>
    <row r="280" hidden="1">
      <c r="A280" s="16" t="s">
        <v>1866</v>
      </c>
      <c r="B280" s="16" t="s">
        <v>1501</v>
      </c>
      <c r="C280" s="15">
        <v>0.0</v>
      </c>
      <c r="D280" s="15" t="s">
        <v>111</v>
      </c>
      <c r="E280" s="7" t="s">
        <v>1867</v>
      </c>
      <c r="F280" s="10" t="s">
        <v>1868</v>
      </c>
      <c r="G280" s="15">
        <v>2.0</v>
      </c>
      <c r="H280" s="15" t="s">
        <v>1503</v>
      </c>
      <c r="I280" s="15" t="s">
        <v>26</v>
      </c>
    </row>
    <row r="281">
      <c r="A281" s="7" t="s">
        <v>1869</v>
      </c>
      <c r="B281" s="7" t="s">
        <v>1501</v>
      </c>
      <c r="C281" s="9">
        <v>1.0</v>
      </c>
      <c r="D281" s="9" t="s">
        <v>661</v>
      </c>
      <c r="E281" s="7" t="s">
        <v>1870</v>
      </c>
      <c r="F281" s="10" t="s">
        <v>1871</v>
      </c>
      <c r="G281" s="9">
        <v>3.0</v>
      </c>
      <c r="H281" s="9" t="s">
        <v>1526</v>
      </c>
      <c r="I281" s="9" t="s">
        <v>70</v>
      </c>
      <c r="J281" s="16" t="s">
        <v>1872</v>
      </c>
      <c r="K281" s="13" t="s">
        <v>1873</v>
      </c>
      <c r="L281" s="13" t="s">
        <v>1874</v>
      </c>
      <c r="M281" s="13" t="s">
        <v>1875</v>
      </c>
    </row>
    <row r="282">
      <c r="A282" s="7" t="s">
        <v>1876</v>
      </c>
      <c r="B282" s="7" t="s">
        <v>1501</v>
      </c>
      <c r="C282" s="9">
        <v>1.0</v>
      </c>
      <c r="D282" s="9" t="s">
        <v>1397</v>
      </c>
      <c r="E282" s="16" t="s">
        <v>1877</v>
      </c>
      <c r="F282" s="10" t="s">
        <v>1878</v>
      </c>
      <c r="G282" s="9">
        <v>3.0</v>
      </c>
      <c r="H282" s="9" t="s">
        <v>1734</v>
      </c>
      <c r="I282" s="9" t="s">
        <v>26</v>
      </c>
      <c r="J282" s="16" t="s">
        <v>1879</v>
      </c>
      <c r="K282" s="13" t="s">
        <v>1880</v>
      </c>
      <c r="L282" s="13" t="s">
        <v>1881</v>
      </c>
      <c r="M282" s="13" t="s">
        <v>1882</v>
      </c>
      <c r="N282" s="13" t="s">
        <v>1883</v>
      </c>
      <c r="O282" s="13" t="s">
        <v>1884</v>
      </c>
      <c r="P282" s="13" t="s">
        <v>1885</v>
      </c>
    </row>
    <row r="283" hidden="1">
      <c r="A283" s="7" t="s">
        <v>1886</v>
      </c>
      <c r="B283" s="97" t="s">
        <v>1887</v>
      </c>
      <c r="C283" s="9">
        <v>2.0</v>
      </c>
      <c r="D283" s="9" t="s">
        <v>124</v>
      </c>
      <c r="E283" s="7" t="s">
        <v>1888</v>
      </c>
      <c r="F283" s="17" t="s">
        <v>1889</v>
      </c>
      <c r="G283" s="9">
        <v>1.0</v>
      </c>
      <c r="H283" s="9" t="s">
        <v>1890</v>
      </c>
      <c r="I283" s="15" t="s">
        <v>70</v>
      </c>
    </row>
    <row r="284">
      <c r="A284" s="20" t="s">
        <v>1891</v>
      </c>
      <c r="B284" s="7" t="s">
        <v>1501</v>
      </c>
      <c r="C284" s="9">
        <v>1.0</v>
      </c>
      <c r="D284" s="9" t="s">
        <v>1797</v>
      </c>
      <c r="E284" s="7" t="s">
        <v>1892</v>
      </c>
      <c r="F284" s="10" t="s">
        <v>1893</v>
      </c>
      <c r="G284" s="9">
        <v>2.0</v>
      </c>
      <c r="H284" s="9" t="s">
        <v>1503</v>
      </c>
      <c r="I284" s="21" t="s">
        <v>26</v>
      </c>
      <c r="J284" s="16" t="s">
        <v>1894</v>
      </c>
      <c r="K284" s="13" t="s">
        <v>1895</v>
      </c>
      <c r="L284" s="13" t="s">
        <v>1896</v>
      </c>
      <c r="M284" s="13" t="s">
        <v>1897</v>
      </c>
      <c r="N284" s="13" t="s">
        <v>1898</v>
      </c>
      <c r="O284" s="13" t="s">
        <v>1899</v>
      </c>
    </row>
    <row r="285" hidden="1">
      <c r="A285" s="22" t="s">
        <v>1900</v>
      </c>
      <c r="B285" s="97" t="s">
        <v>1887</v>
      </c>
      <c r="C285" s="9">
        <v>2.0</v>
      </c>
      <c r="D285" s="9" t="s">
        <v>1901</v>
      </c>
      <c r="E285" s="7" t="s">
        <v>1902</v>
      </c>
      <c r="F285" s="10" t="s">
        <v>1903</v>
      </c>
      <c r="G285" s="9">
        <v>4.0</v>
      </c>
      <c r="H285" s="9" t="s">
        <v>1904</v>
      </c>
      <c r="I285" s="9" t="s">
        <v>32</v>
      </c>
    </row>
    <row r="286" hidden="1">
      <c r="A286" s="16" t="s">
        <v>1905</v>
      </c>
      <c r="B286" s="98" t="s">
        <v>1887</v>
      </c>
      <c r="C286" s="15">
        <v>2.0</v>
      </c>
      <c r="D286" s="15" t="s">
        <v>1906</v>
      </c>
      <c r="E286" s="30" t="s">
        <v>1907</v>
      </c>
      <c r="F286" s="17" t="s">
        <v>1908</v>
      </c>
      <c r="G286" s="15">
        <v>4.0</v>
      </c>
      <c r="H286" s="15" t="s">
        <v>1909</v>
      </c>
      <c r="I286" s="9" t="s">
        <v>32</v>
      </c>
    </row>
    <row r="287" hidden="1">
      <c r="A287" s="7" t="s">
        <v>1910</v>
      </c>
      <c r="B287" s="97" t="s">
        <v>1887</v>
      </c>
      <c r="C287" s="9">
        <v>2.0</v>
      </c>
      <c r="D287" s="9" t="s">
        <v>1911</v>
      </c>
      <c r="E287" s="16" t="s">
        <v>1912</v>
      </c>
      <c r="F287" s="10" t="s">
        <v>1913</v>
      </c>
      <c r="G287" s="9">
        <v>3.0</v>
      </c>
      <c r="H287" s="9" t="s">
        <v>1914</v>
      </c>
      <c r="I287" s="15" t="s">
        <v>70</v>
      </c>
    </row>
    <row r="288" hidden="1">
      <c r="A288" s="7" t="s">
        <v>1915</v>
      </c>
      <c r="B288" s="97" t="s">
        <v>1887</v>
      </c>
      <c r="C288" s="9">
        <v>2.0</v>
      </c>
      <c r="D288" s="9" t="s">
        <v>181</v>
      </c>
      <c r="E288" s="99" t="s">
        <v>1916</v>
      </c>
      <c r="F288" s="10" t="s">
        <v>1917</v>
      </c>
      <c r="G288" s="9">
        <v>0.0</v>
      </c>
      <c r="H288" s="9" t="s">
        <v>1918</v>
      </c>
      <c r="I288" s="15" t="s">
        <v>70</v>
      </c>
    </row>
    <row r="289" hidden="1">
      <c r="A289" s="16" t="s">
        <v>1919</v>
      </c>
      <c r="B289" s="97" t="s">
        <v>1887</v>
      </c>
      <c r="C289" s="9">
        <v>2.0</v>
      </c>
      <c r="D289" s="9" t="s">
        <v>124</v>
      </c>
      <c r="E289" s="7" t="s">
        <v>1920</v>
      </c>
      <c r="F289" s="10" t="s">
        <v>1921</v>
      </c>
      <c r="G289" s="9">
        <v>3.0</v>
      </c>
      <c r="H289" s="9" t="s">
        <v>1914</v>
      </c>
      <c r="I289" s="9" t="s">
        <v>26</v>
      </c>
    </row>
    <row r="290" hidden="1">
      <c r="A290" s="16" t="s">
        <v>1922</v>
      </c>
      <c r="B290" s="98" t="s">
        <v>1887</v>
      </c>
      <c r="C290" s="15">
        <v>2.0</v>
      </c>
      <c r="D290" s="15" t="s">
        <v>979</v>
      </c>
      <c r="E290" s="16" t="s">
        <v>1923</v>
      </c>
      <c r="F290" s="17" t="s">
        <v>1924</v>
      </c>
      <c r="G290" s="15">
        <v>0.0</v>
      </c>
      <c r="H290" s="15" t="s">
        <v>1918</v>
      </c>
      <c r="I290" s="15" t="s">
        <v>70</v>
      </c>
    </row>
    <row r="291" hidden="1">
      <c r="A291" s="16" t="s">
        <v>1925</v>
      </c>
      <c r="B291" s="98" t="s">
        <v>1887</v>
      </c>
      <c r="C291" s="15">
        <v>2.0</v>
      </c>
      <c r="D291" s="15" t="s">
        <v>124</v>
      </c>
      <c r="E291" s="16" t="s">
        <v>1926</v>
      </c>
      <c r="F291" s="17" t="s">
        <v>663</v>
      </c>
      <c r="G291" s="15">
        <v>4.0</v>
      </c>
      <c r="H291" s="15" t="s">
        <v>1927</v>
      </c>
      <c r="I291" s="9" t="s">
        <v>26</v>
      </c>
    </row>
    <row r="292" hidden="1">
      <c r="A292" s="7" t="s">
        <v>1928</v>
      </c>
      <c r="B292" s="97" t="s">
        <v>1887</v>
      </c>
      <c r="C292" s="9">
        <v>2.0</v>
      </c>
      <c r="D292" s="9" t="s">
        <v>1911</v>
      </c>
      <c r="E292" s="7" t="s">
        <v>1929</v>
      </c>
      <c r="F292" s="10" t="s">
        <v>663</v>
      </c>
      <c r="G292" s="9">
        <v>1.0</v>
      </c>
      <c r="H292" s="9" t="s">
        <v>1930</v>
      </c>
      <c r="I292" s="9" t="s">
        <v>32</v>
      </c>
    </row>
    <row r="293" hidden="1">
      <c r="A293" s="7" t="s">
        <v>1931</v>
      </c>
      <c r="B293" s="97" t="s">
        <v>1887</v>
      </c>
      <c r="C293" s="9">
        <v>2.0</v>
      </c>
      <c r="D293" s="9" t="s">
        <v>201</v>
      </c>
      <c r="E293" s="7" t="s">
        <v>1932</v>
      </c>
      <c r="F293" s="10" t="s">
        <v>1921</v>
      </c>
      <c r="G293" s="9">
        <v>5.0</v>
      </c>
      <c r="H293" s="9" t="s">
        <v>1904</v>
      </c>
      <c r="I293" s="9" t="s">
        <v>70</v>
      </c>
    </row>
    <row r="294">
      <c r="A294" s="7" t="s">
        <v>1933</v>
      </c>
      <c r="B294" s="7" t="s">
        <v>1501</v>
      </c>
      <c r="C294" s="9">
        <v>1.0</v>
      </c>
      <c r="D294" s="9" t="s">
        <v>1397</v>
      </c>
      <c r="E294" s="16" t="s">
        <v>1934</v>
      </c>
      <c r="F294" s="17" t="s">
        <v>1935</v>
      </c>
      <c r="G294" s="9">
        <v>2.0</v>
      </c>
      <c r="H294" s="9" t="s">
        <v>1503</v>
      </c>
      <c r="I294" s="9" t="s">
        <v>26</v>
      </c>
      <c r="J294" s="16" t="s">
        <v>1936</v>
      </c>
      <c r="K294" s="13" t="s">
        <v>1937</v>
      </c>
      <c r="L294" s="13" t="s">
        <v>1938</v>
      </c>
      <c r="M294" s="13" t="s">
        <v>1939</v>
      </c>
      <c r="N294" s="13" t="s">
        <v>1940</v>
      </c>
    </row>
    <row r="295" hidden="1">
      <c r="A295" s="7" t="s">
        <v>1941</v>
      </c>
      <c r="B295" s="97" t="s">
        <v>1887</v>
      </c>
      <c r="C295" s="9">
        <v>2.0</v>
      </c>
      <c r="D295" s="9" t="s">
        <v>1911</v>
      </c>
      <c r="E295" s="7" t="s">
        <v>1942</v>
      </c>
      <c r="F295" s="10" t="s">
        <v>663</v>
      </c>
      <c r="G295" s="9">
        <v>1.0</v>
      </c>
      <c r="H295" s="9" t="s">
        <v>1890</v>
      </c>
      <c r="I295" s="9" t="s">
        <v>26</v>
      </c>
    </row>
    <row r="296">
      <c r="A296" s="79" t="s">
        <v>1943</v>
      </c>
      <c r="B296" s="7" t="s">
        <v>1501</v>
      </c>
      <c r="C296" s="9">
        <v>1.0</v>
      </c>
      <c r="D296" s="9" t="s">
        <v>1944</v>
      </c>
      <c r="E296" s="7" t="s">
        <v>1945</v>
      </c>
      <c r="F296" s="17" t="s">
        <v>1946</v>
      </c>
      <c r="G296" s="9">
        <v>5.0</v>
      </c>
      <c r="H296" s="9" t="s">
        <v>1947</v>
      </c>
      <c r="I296" s="9" t="s">
        <v>70</v>
      </c>
      <c r="J296" s="16" t="s">
        <v>1948</v>
      </c>
      <c r="K296" s="13" t="s">
        <v>1949</v>
      </c>
      <c r="L296" s="13" t="s">
        <v>1950</v>
      </c>
      <c r="M296" s="13" t="s">
        <v>1951</v>
      </c>
      <c r="N296" s="13" t="s">
        <v>1952</v>
      </c>
    </row>
    <row r="297" hidden="1">
      <c r="A297" s="7" t="s">
        <v>1953</v>
      </c>
      <c r="B297" s="7" t="s">
        <v>1501</v>
      </c>
      <c r="C297" s="9">
        <v>0.0</v>
      </c>
      <c r="D297" s="9" t="s">
        <v>661</v>
      </c>
      <c r="E297" s="16" t="s">
        <v>1954</v>
      </c>
      <c r="F297" s="17" t="s">
        <v>1955</v>
      </c>
      <c r="G297" s="9">
        <v>2.0</v>
      </c>
      <c r="H297" s="9" t="s">
        <v>1503</v>
      </c>
      <c r="I297" s="9" t="s">
        <v>26</v>
      </c>
    </row>
    <row r="298">
      <c r="A298" s="24" t="s">
        <v>1956</v>
      </c>
      <c r="B298" s="7" t="s">
        <v>1501</v>
      </c>
      <c r="C298" s="15">
        <v>1.0</v>
      </c>
      <c r="D298" s="9" t="s">
        <v>1702</v>
      </c>
      <c r="E298" s="7" t="s">
        <v>1957</v>
      </c>
      <c r="F298" s="10" t="s">
        <v>1958</v>
      </c>
      <c r="G298" s="9">
        <v>7.0</v>
      </c>
      <c r="H298" s="9" t="s">
        <v>1728</v>
      </c>
      <c r="I298" s="9" t="s">
        <v>70</v>
      </c>
      <c r="J298" s="16" t="s">
        <v>1959</v>
      </c>
      <c r="K298" s="13" t="s">
        <v>1960</v>
      </c>
      <c r="L298" s="13" t="s">
        <v>1961</v>
      </c>
      <c r="M298" s="13" t="s">
        <v>1962</v>
      </c>
      <c r="N298" s="13" t="s">
        <v>1963</v>
      </c>
      <c r="O298" s="13" t="s">
        <v>1964</v>
      </c>
    </row>
    <row r="299">
      <c r="A299" s="24" t="s">
        <v>1965</v>
      </c>
      <c r="B299" s="7" t="s">
        <v>1501</v>
      </c>
      <c r="C299" s="9">
        <v>1.0</v>
      </c>
      <c r="D299" s="9" t="s">
        <v>1744</v>
      </c>
      <c r="E299" s="7" t="s">
        <v>1966</v>
      </c>
      <c r="F299" s="10" t="s">
        <v>1967</v>
      </c>
      <c r="G299" s="9">
        <v>4.0</v>
      </c>
      <c r="H299" s="9" t="s">
        <v>1704</v>
      </c>
      <c r="I299" s="9" t="s">
        <v>26</v>
      </c>
      <c r="K299" s="13" t="s">
        <v>1968</v>
      </c>
      <c r="L299" s="13" t="s">
        <v>1969</v>
      </c>
      <c r="M299" s="13" t="s">
        <v>1970</v>
      </c>
    </row>
    <row r="300" hidden="1">
      <c r="A300" s="22" t="s">
        <v>1971</v>
      </c>
      <c r="B300" s="97" t="s">
        <v>1887</v>
      </c>
      <c r="C300" s="9">
        <v>2.0</v>
      </c>
      <c r="D300" s="9" t="s">
        <v>1175</v>
      </c>
      <c r="E300" s="7" t="s">
        <v>1972</v>
      </c>
      <c r="F300" s="10" t="s">
        <v>1973</v>
      </c>
      <c r="G300" s="9">
        <v>3.0</v>
      </c>
      <c r="H300" s="9" t="s">
        <v>1914</v>
      </c>
      <c r="I300" s="9" t="s">
        <v>26</v>
      </c>
    </row>
    <row r="301" hidden="1">
      <c r="A301" s="22" t="s">
        <v>1974</v>
      </c>
      <c r="B301" s="97" t="s">
        <v>1887</v>
      </c>
      <c r="C301" s="9">
        <v>2.0</v>
      </c>
      <c r="D301" s="9" t="s">
        <v>37</v>
      </c>
      <c r="E301" s="7" t="s">
        <v>1975</v>
      </c>
      <c r="F301" s="10" t="s">
        <v>1976</v>
      </c>
      <c r="G301" s="9">
        <v>6.0</v>
      </c>
      <c r="H301" s="9" t="s">
        <v>1977</v>
      </c>
      <c r="I301" s="9" t="s">
        <v>70</v>
      </c>
    </row>
    <row r="302" hidden="1">
      <c r="A302" s="7" t="s">
        <v>1978</v>
      </c>
      <c r="B302" s="97" t="s">
        <v>1887</v>
      </c>
      <c r="C302" s="9">
        <v>2.0</v>
      </c>
      <c r="D302" s="9" t="s">
        <v>1911</v>
      </c>
      <c r="E302" s="16" t="s">
        <v>1979</v>
      </c>
      <c r="F302" s="10" t="s">
        <v>1980</v>
      </c>
      <c r="G302" s="9">
        <v>2.0</v>
      </c>
      <c r="H302" s="9" t="s">
        <v>1918</v>
      </c>
      <c r="I302" s="9" t="s">
        <v>70</v>
      </c>
    </row>
    <row r="303" hidden="1">
      <c r="A303" s="16" t="s">
        <v>1981</v>
      </c>
      <c r="B303" s="97" t="s">
        <v>1887</v>
      </c>
      <c r="C303" s="9">
        <v>2.0</v>
      </c>
      <c r="D303" s="15" t="s">
        <v>1029</v>
      </c>
      <c r="E303" s="16" t="s">
        <v>1982</v>
      </c>
      <c r="F303" s="55" t="s">
        <v>838</v>
      </c>
      <c r="G303" s="15">
        <v>5.0</v>
      </c>
      <c r="H303" s="15" t="s">
        <v>1983</v>
      </c>
      <c r="I303" s="15" t="s">
        <v>26</v>
      </c>
    </row>
    <row r="304">
      <c r="A304" s="7" t="s">
        <v>1984</v>
      </c>
      <c r="B304" s="7" t="s">
        <v>1501</v>
      </c>
      <c r="C304" s="9">
        <v>1.0</v>
      </c>
      <c r="D304" s="9" t="s">
        <v>297</v>
      </c>
      <c r="E304" s="7" t="s">
        <v>1985</v>
      </c>
      <c r="F304" s="10" t="s">
        <v>1986</v>
      </c>
      <c r="G304" s="9">
        <v>5.0</v>
      </c>
      <c r="H304" s="9" t="s">
        <v>1704</v>
      </c>
      <c r="I304" s="9" t="s">
        <v>26</v>
      </c>
    </row>
    <row r="305">
      <c r="A305" s="16" t="s">
        <v>1987</v>
      </c>
      <c r="B305" s="16" t="s">
        <v>1501</v>
      </c>
      <c r="C305" s="15">
        <v>1.0</v>
      </c>
      <c r="D305" s="15" t="s">
        <v>387</v>
      </c>
      <c r="E305" s="16" t="s">
        <v>1988</v>
      </c>
      <c r="F305" s="34"/>
      <c r="G305" s="15">
        <v>4.0</v>
      </c>
      <c r="H305" s="15" t="s">
        <v>1704</v>
      </c>
      <c r="I305" s="15" t="s">
        <v>70</v>
      </c>
    </row>
    <row r="306" hidden="1">
      <c r="A306" s="7" t="s">
        <v>1989</v>
      </c>
      <c r="B306" s="97" t="s">
        <v>1887</v>
      </c>
      <c r="C306" s="9">
        <v>2.0</v>
      </c>
      <c r="D306" s="9" t="s">
        <v>1990</v>
      </c>
      <c r="E306" s="18" t="s">
        <v>1991</v>
      </c>
      <c r="F306" s="17" t="s">
        <v>1992</v>
      </c>
      <c r="G306" s="9">
        <v>3.0</v>
      </c>
      <c r="H306" s="9" t="s">
        <v>1918</v>
      </c>
      <c r="I306" s="9" t="s">
        <v>70</v>
      </c>
    </row>
    <row r="307">
      <c r="A307" s="7" t="s">
        <v>1993</v>
      </c>
      <c r="B307" s="7" t="s">
        <v>1501</v>
      </c>
      <c r="C307" s="9">
        <v>1.0</v>
      </c>
      <c r="D307" s="9" t="s">
        <v>1994</v>
      </c>
      <c r="E307" s="7" t="s">
        <v>1995</v>
      </c>
      <c r="F307" s="10" t="s">
        <v>1996</v>
      </c>
      <c r="G307" s="9">
        <v>1.0</v>
      </c>
      <c r="H307" s="9" t="s">
        <v>1503</v>
      </c>
      <c r="I307" s="9" t="s">
        <v>26</v>
      </c>
    </row>
    <row r="308">
      <c r="A308" s="22" t="s">
        <v>1997</v>
      </c>
      <c r="B308" s="7" t="s">
        <v>1501</v>
      </c>
      <c r="C308" s="9">
        <v>1.0</v>
      </c>
      <c r="D308" s="9" t="s">
        <v>297</v>
      </c>
      <c r="E308" s="7" t="s">
        <v>1998</v>
      </c>
      <c r="F308" s="10" t="s">
        <v>1999</v>
      </c>
      <c r="G308" s="9">
        <v>1.0</v>
      </c>
      <c r="H308" s="9" t="s">
        <v>1530</v>
      </c>
      <c r="I308" s="9" t="s">
        <v>26</v>
      </c>
    </row>
    <row r="309" hidden="1">
      <c r="A309" s="7" t="s">
        <v>2000</v>
      </c>
      <c r="B309" s="97" t="s">
        <v>1887</v>
      </c>
      <c r="C309" s="9">
        <v>2.0</v>
      </c>
      <c r="D309" s="9" t="s">
        <v>201</v>
      </c>
      <c r="E309" s="7" t="s">
        <v>2001</v>
      </c>
      <c r="F309" s="10" t="s">
        <v>1921</v>
      </c>
      <c r="G309" s="9">
        <v>1.0</v>
      </c>
      <c r="H309" s="9" t="s">
        <v>1914</v>
      </c>
      <c r="I309" s="9" t="s">
        <v>26</v>
      </c>
    </row>
    <row r="310" hidden="1">
      <c r="A310" s="7" t="s">
        <v>2002</v>
      </c>
      <c r="B310" s="97" t="s">
        <v>1887</v>
      </c>
      <c r="C310" s="9">
        <v>2.0</v>
      </c>
      <c r="D310" s="9" t="s">
        <v>1842</v>
      </c>
      <c r="E310" s="7" t="s">
        <v>2003</v>
      </c>
      <c r="F310" s="10" t="s">
        <v>2004</v>
      </c>
      <c r="G310" s="9">
        <v>1.0</v>
      </c>
      <c r="H310" s="50" t="s">
        <v>1983</v>
      </c>
      <c r="I310" s="9" t="s">
        <v>70</v>
      </c>
    </row>
    <row r="311">
      <c r="A311" s="79" t="s">
        <v>2005</v>
      </c>
      <c r="B311" s="7" t="s">
        <v>1501</v>
      </c>
      <c r="C311" s="9">
        <v>1.0</v>
      </c>
      <c r="D311" s="9" t="s">
        <v>1794</v>
      </c>
      <c r="E311" s="7" t="s">
        <v>2006</v>
      </c>
      <c r="F311" s="10" t="s">
        <v>2007</v>
      </c>
      <c r="G311" s="9">
        <v>2.0</v>
      </c>
      <c r="H311" s="9" t="s">
        <v>1526</v>
      </c>
      <c r="I311" s="21" t="s">
        <v>70</v>
      </c>
    </row>
    <row r="312">
      <c r="A312" s="7" t="s">
        <v>2008</v>
      </c>
      <c r="B312" s="7" t="s">
        <v>1501</v>
      </c>
      <c r="C312" s="9">
        <v>1.0</v>
      </c>
      <c r="D312" s="9" t="s">
        <v>2009</v>
      </c>
      <c r="E312" s="7" t="s">
        <v>2010</v>
      </c>
      <c r="F312" s="10" t="s">
        <v>2011</v>
      </c>
      <c r="G312" s="9">
        <v>4.0</v>
      </c>
      <c r="H312" s="9" t="s">
        <v>2012</v>
      </c>
      <c r="I312" s="9" t="s">
        <v>32</v>
      </c>
    </row>
    <row r="313">
      <c r="A313" s="20" t="s">
        <v>2013</v>
      </c>
      <c r="B313" s="86" t="s">
        <v>1501</v>
      </c>
      <c r="C313" s="9">
        <v>1.0</v>
      </c>
      <c r="D313" s="9" t="s">
        <v>1029</v>
      </c>
      <c r="E313" s="7" t="s">
        <v>2014</v>
      </c>
      <c r="F313" s="10" t="s">
        <v>2015</v>
      </c>
      <c r="G313" s="9">
        <v>6.0</v>
      </c>
      <c r="H313" s="9" t="s">
        <v>1526</v>
      </c>
      <c r="I313" s="9" t="s">
        <v>32</v>
      </c>
    </row>
    <row r="314">
      <c r="A314" s="7" t="s">
        <v>2016</v>
      </c>
      <c r="B314" s="7" t="s">
        <v>1501</v>
      </c>
      <c r="C314" s="9">
        <v>1.0</v>
      </c>
      <c r="D314" s="9" t="s">
        <v>195</v>
      </c>
      <c r="E314" s="7" t="s">
        <v>2017</v>
      </c>
      <c r="F314" s="10" t="s">
        <v>2018</v>
      </c>
      <c r="G314" s="9">
        <v>4.0</v>
      </c>
      <c r="H314" s="9" t="s">
        <v>1947</v>
      </c>
      <c r="I314" s="9" t="s">
        <v>32</v>
      </c>
    </row>
    <row r="315" hidden="1">
      <c r="A315" s="7" t="s">
        <v>2019</v>
      </c>
      <c r="B315" s="97" t="s">
        <v>1887</v>
      </c>
      <c r="C315" s="9">
        <v>2.0</v>
      </c>
      <c r="D315" s="9" t="s">
        <v>1911</v>
      </c>
      <c r="E315" s="7" t="s">
        <v>2020</v>
      </c>
      <c r="F315" s="10" t="s">
        <v>2021</v>
      </c>
      <c r="G315" s="9">
        <v>3.0</v>
      </c>
      <c r="H315" s="9" t="s">
        <v>1914</v>
      </c>
      <c r="I315" s="9" t="s">
        <v>70</v>
      </c>
    </row>
    <row r="316">
      <c r="A316" s="16" t="s">
        <v>2022</v>
      </c>
      <c r="B316" s="16" t="s">
        <v>1501</v>
      </c>
      <c r="C316" s="15">
        <v>1.0</v>
      </c>
      <c r="D316" s="15" t="s">
        <v>1901</v>
      </c>
      <c r="E316" s="16" t="s">
        <v>2023</v>
      </c>
      <c r="F316" s="17" t="s">
        <v>2024</v>
      </c>
      <c r="G316" s="15">
        <v>5.0</v>
      </c>
      <c r="H316" s="15" t="s">
        <v>1704</v>
      </c>
      <c r="I316" s="15" t="s">
        <v>32</v>
      </c>
    </row>
    <row r="317" hidden="1">
      <c r="A317" s="31" t="s">
        <v>2025</v>
      </c>
      <c r="B317" s="98" t="s">
        <v>1887</v>
      </c>
      <c r="C317" s="15">
        <v>2.0</v>
      </c>
      <c r="D317" s="15" t="s">
        <v>1610</v>
      </c>
      <c r="E317" s="16" t="s">
        <v>275</v>
      </c>
      <c r="F317" s="17" t="s">
        <v>2026</v>
      </c>
      <c r="G317" s="15">
        <v>2.0</v>
      </c>
      <c r="H317" s="15" t="s">
        <v>1918</v>
      </c>
      <c r="I317" s="15" t="s">
        <v>26</v>
      </c>
    </row>
    <row r="318" hidden="1">
      <c r="A318" s="22" t="s">
        <v>2027</v>
      </c>
      <c r="B318" s="97" t="s">
        <v>1887</v>
      </c>
      <c r="C318" s="15">
        <v>2.0</v>
      </c>
      <c r="D318" s="9" t="s">
        <v>124</v>
      </c>
      <c r="E318" s="86" t="s">
        <v>2028</v>
      </c>
      <c r="F318" s="10" t="s">
        <v>2029</v>
      </c>
      <c r="G318" s="9">
        <v>2.0</v>
      </c>
      <c r="H318" s="9" t="s">
        <v>1918</v>
      </c>
      <c r="I318" s="9" t="s">
        <v>26</v>
      </c>
    </row>
    <row r="319" hidden="1">
      <c r="A319" s="16" t="s">
        <v>2030</v>
      </c>
      <c r="B319" s="98" t="s">
        <v>1887</v>
      </c>
      <c r="C319" s="15">
        <v>2.0</v>
      </c>
      <c r="D319" s="15" t="s">
        <v>2031</v>
      </c>
      <c r="E319" s="16" t="s">
        <v>2032</v>
      </c>
      <c r="F319" s="17" t="s">
        <v>2033</v>
      </c>
      <c r="G319" s="15">
        <v>3.0</v>
      </c>
      <c r="H319" s="15" t="s">
        <v>2034</v>
      </c>
      <c r="I319" s="15" t="s">
        <v>26</v>
      </c>
    </row>
    <row r="320" hidden="1">
      <c r="A320" s="16" t="s">
        <v>2035</v>
      </c>
      <c r="B320" s="97" t="s">
        <v>1887</v>
      </c>
      <c r="C320" s="9">
        <v>2.0</v>
      </c>
      <c r="D320" s="9" t="s">
        <v>1901</v>
      </c>
      <c r="E320" s="7" t="s">
        <v>2036</v>
      </c>
      <c r="F320" s="10" t="s">
        <v>2037</v>
      </c>
      <c r="G320" s="9">
        <v>2.0</v>
      </c>
      <c r="H320" s="9" t="s">
        <v>1983</v>
      </c>
      <c r="I320" s="9" t="s">
        <v>70</v>
      </c>
    </row>
    <row r="321" hidden="1">
      <c r="A321" s="16" t="s">
        <v>2038</v>
      </c>
      <c r="B321" s="98" t="s">
        <v>1887</v>
      </c>
      <c r="C321" s="15">
        <v>2.0</v>
      </c>
      <c r="D321" s="15" t="s">
        <v>88</v>
      </c>
      <c r="E321" s="16" t="s">
        <v>2039</v>
      </c>
      <c r="F321" s="17" t="s">
        <v>2040</v>
      </c>
      <c r="G321" s="15">
        <v>0.0</v>
      </c>
      <c r="H321" s="15" t="s">
        <v>1983</v>
      </c>
      <c r="I321" s="15" t="s">
        <v>70</v>
      </c>
    </row>
    <row r="322">
      <c r="A322" s="31" t="s">
        <v>2041</v>
      </c>
      <c r="B322" s="16" t="s">
        <v>1501</v>
      </c>
      <c r="C322" s="15">
        <v>1.0</v>
      </c>
      <c r="D322" s="15" t="s">
        <v>387</v>
      </c>
      <c r="E322" s="16" t="s">
        <v>2042</v>
      </c>
      <c r="F322" s="34"/>
      <c r="G322" s="15">
        <v>6.0</v>
      </c>
      <c r="H322" s="15" t="s">
        <v>2043</v>
      </c>
      <c r="I322" s="9" t="s">
        <v>32</v>
      </c>
    </row>
    <row r="323">
      <c r="A323" s="16" t="s">
        <v>2044</v>
      </c>
      <c r="B323" s="16" t="s">
        <v>1501</v>
      </c>
      <c r="C323" s="15">
        <v>1.0</v>
      </c>
      <c r="D323" s="15" t="s">
        <v>297</v>
      </c>
      <c r="F323" s="34"/>
      <c r="G323" s="15">
        <v>2.0</v>
      </c>
      <c r="H323" s="15" t="s">
        <v>1784</v>
      </c>
      <c r="I323" s="15" t="s">
        <v>26</v>
      </c>
      <c r="J323" s="11" t="s">
        <v>2045</v>
      </c>
      <c r="K323" s="13" t="s">
        <v>2046</v>
      </c>
      <c r="L323" s="13" t="s">
        <v>2047</v>
      </c>
    </row>
    <row r="324">
      <c r="A324" s="7" t="s">
        <v>2048</v>
      </c>
      <c r="B324" s="7" t="s">
        <v>1501</v>
      </c>
      <c r="C324" s="9">
        <v>1.0</v>
      </c>
      <c r="D324" s="9" t="s">
        <v>1994</v>
      </c>
      <c r="F324" s="10" t="s">
        <v>2049</v>
      </c>
      <c r="G324" s="9">
        <v>4.0</v>
      </c>
      <c r="H324" s="9" t="s">
        <v>1734</v>
      </c>
      <c r="I324" s="9" t="s">
        <v>26</v>
      </c>
    </row>
    <row r="325" hidden="1">
      <c r="A325" s="16" t="s">
        <v>2050</v>
      </c>
      <c r="B325" s="98" t="s">
        <v>1887</v>
      </c>
      <c r="C325" s="15">
        <v>2.0</v>
      </c>
      <c r="D325" s="15" t="s">
        <v>2051</v>
      </c>
      <c r="E325" s="16" t="s">
        <v>2052</v>
      </c>
      <c r="F325" s="17" t="s">
        <v>2053</v>
      </c>
      <c r="G325" s="15">
        <v>4.0</v>
      </c>
      <c r="H325" s="15" t="s">
        <v>1983</v>
      </c>
      <c r="I325" s="15" t="s">
        <v>70</v>
      </c>
    </row>
    <row r="326">
      <c r="A326" s="16" t="s">
        <v>2054</v>
      </c>
      <c r="B326" s="16" t="s">
        <v>1501</v>
      </c>
      <c r="C326" s="15">
        <v>1.0</v>
      </c>
      <c r="D326" s="15" t="s">
        <v>919</v>
      </c>
      <c r="F326" s="34"/>
      <c r="G326" s="15">
        <v>5.0</v>
      </c>
      <c r="H326" s="15" t="s">
        <v>2055</v>
      </c>
      <c r="I326" s="15" t="s">
        <v>26</v>
      </c>
    </row>
    <row r="327" hidden="1">
      <c r="A327" s="16" t="s">
        <v>2056</v>
      </c>
      <c r="B327" s="98" t="s">
        <v>1887</v>
      </c>
      <c r="C327" s="15">
        <v>2.0</v>
      </c>
      <c r="D327" s="15" t="s">
        <v>1175</v>
      </c>
      <c r="E327" s="16" t="s">
        <v>2057</v>
      </c>
      <c r="F327" s="17" t="s">
        <v>2058</v>
      </c>
      <c r="G327" s="15">
        <v>2.0</v>
      </c>
      <c r="H327" s="15" t="s">
        <v>1914</v>
      </c>
      <c r="I327" s="15" t="s">
        <v>26</v>
      </c>
    </row>
    <row r="328">
      <c r="A328" s="31" t="s">
        <v>2059</v>
      </c>
      <c r="B328" s="16" t="s">
        <v>1501</v>
      </c>
      <c r="C328" s="15">
        <v>1.0</v>
      </c>
      <c r="D328" s="15" t="s">
        <v>1397</v>
      </c>
      <c r="E328" s="100" t="s">
        <v>2060</v>
      </c>
      <c r="F328" s="17" t="s">
        <v>2061</v>
      </c>
      <c r="G328" s="15">
        <v>1.0</v>
      </c>
      <c r="H328" s="15" t="s">
        <v>1784</v>
      </c>
      <c r="I328" s="15" t="s">
        <v>32</v>
      </c>
    </row>
    <row r="329">
      <c r="A329" s="31" t="s">
        <v>2062</v>
      </c>
      <c r="B329" s="16" t="s">
        <v>1501</v>
      </c>
      <c r="C329" s="15">
        <v>1.0</v>
      </c>
      <c r="D329" s="15" t="s">
        <v>1797</v>
      </c>
      <c r="E329" s="16" t="s">
        <v>2063</v>
      </c>
      <c r="F329" s="34"/>
      <c r="G329" s="15">
        <v>6.0</v>
      </c>
      <c r="H329" s="16" t="s">
        <v>1535</v>
      </c>
      <c r="I329" s="9" t="s">
        <v>70</v>
      </c>
    </row>
    <row r="330">
      <c r="A330" s="31" t="s">
        <v>2064</v>
      </c>
      <c r="B330" s="16" t="s">
        <v>1501</v>
      </c>
      <c r="C330" s="15">
        <v>1.0</v>
      </c>
      <c r="D330" s="15" t="s">
        <v>250</v>
      </c>
      <c r="E330" s="16" t="s">
        <v>2065</v>
      </c>
      <c r="F330" s="34"/>
      <c r="G330" s="15">
        <v>4.0</v>
      </c>
      <c r="H330" s="15" t="s">
        <v>1947</v>
      </c>
      <c r="I330" s="9" t="s">
        <v>32</v>
      </c>
    </row>
    <row r="331" hidden="1">
      <c r="A331" s="16" t="s">
        <v>2066</v>
      </c>
      <c r="B331" s="98" t="s">
        <v>1887</v>
      </c>
      <c r="C331" s="15">
        <v>2.0</v>
      </c>
      <c r="D331" s="15" t="s">
        <v>651</v>
      </c>
      <c r="E331" s="16" t="s">
        <v>2067</v>
      </c>
      <c r="F331" s="17" t="s">
        <v>2068</v>
      </c>
      <c r="G331" s="15">
        <v>0.0</v>
      </c>
      <c r="H331" s="15" t="s">
        <v>1904</v>
      </c>
      <c r="I331" s="15" t="s">
        <v>70</v>
      </c>
    </row>
    <row r="332" hidden="1">
      <c r="A332" s="7" t="s">
        <v>2069</v>
      </c>
      <c r="B332" s="97" t="s">
        <v>1887</v>
      </c>
      <c r="C332" s="9">
        <v>2.0</v>
      </c>
      <c r="D332" s="9" t="s">
        <v>342</v>
      </c>
      <c r="E332" s="7" t="s">
        <v>2070</v>
      </c>
      <c r="F332" s="10" t="s">
        <v>2071</v>
      </c>
      <c r="G332" s="9">
        <v>2.0</v>
      </c>
      <c r="H332" s="9" t="s">
        <v>1983</v>
      </c>
      <c r="I332" s="9" t="s">
        <v>70</v>
      </c>
    </row>
    <row r="333" hidden="1">
      <c r="A333" s="16" t="s">
        <v>2072</v>
      </c>
      <c r="B333" s="98" t="s">
        <v>1887</v>
      </c>
      <c r="C333" s="15">
        <v>2.0</v>
      </c>
      <c r="D333" s="15" t="s">
        <v>2073</v>
      </c>
      <c r="E333" s="16" t="s">
        <v>2074</v>
      </c>
      <c r="F333" s="17" t="s">
        <v>2075</v>
      </c>
      <c r="G333" s="15">
        <v>3.0</v>
      </c>
      <c r="H333" s="15" t="s">
        <v>1914</v>
      </c>
      <c r="I333" s="15" t="s">
        <v>26</v>
      </c>
    </row>
    <row r="334" hidden="1">
      <c r="A334" s="7" t="s">
        <v>2076</v>
      </c>
      <c r="B334" s="97" t="s">
        <v>1887</v>
      </c>
      <c r="C334" s="9">
        <v>2.0</v>
      </c>
      <c r="D334" s="9" t="s">
        <v>2077</v>
      </c>
      <c r="E334" s="7" t="s">
        <v>2078</v>
      </c>
      <c r="F334" s="10" t="s">
        <v>2079</v>
      </c>
      <c r="G334" s="9">
        <v>4.0</v>
      </c>
      <c r="H334" s="9" t="s">
        <v>1904</v>
      </c>
      <c r="I334" s="9" t="s">
        <v>70</v>
      </c>
    </row>
    <row r="335">
      <c r="A335" s="16" t="s">
        <v>2080</v>
      </c>
      <c r="B335" s="91" t="s">
        <v>1501</v>
      </c>
      <c r="C335" s="15">
        <v>1.0</v>
      </c>
      <c r="D335" s="15" t="s">
        <v>2081</v>
      </c>
      <c r="E335" s="16" t="s">
        <v>2082</v>
      </c>
      <c r="F335" s="34"/>
      <c r="G335" s="15">
        <v>0.0</v>
      </c>
      <c r="H335" s="15" t="s">
        <v>1535</v>
      </c>
      <c r="I335" s="15" t="s">
        <v>32</v>
      </c>
    </row>
    <row r="336" hidden="1">
      <c r="A336" s="16" t="s">
        <v>2083</v>
      </c>
      <c r="B336" s="97" t="s">
        <v>1887</v>
      </c>
      <c r="C336" s="9">
        <v>2.0</v>
      </c>
      <c r="D336" s="15" t="s">
        <v>2084</v>
      </c>
      <c r="E336" s="16" t="s">
        <v>2085</v>
      </c>
      <c r="F336" s="17" t="s">
        <v>2086</v>
      </c>
      <c r="G336" s="15">
        <v>2.0</v>
      </c>
      <c r="H336" s="15" t="s">
        <v>1918</v>
      </c>
      <c r="I336" s="15" t="s">
        <v>26</v>
      </c>
    </row>
    <row r="337" hidden="1">
      <c r="A337" s="16" t="s">
        <v>2087</v>
      </c>
      <c r="B337" s="98" t="s">
        <v>1887</v>
      </c>
      <c r="C337" s="15">
        <v>2.0</v>
      </c>
      <c r="D337" s="15" t="s">
        <v>181</v>
      </c>
      <c r="E337" s="16" t="s">
        <v>2088</v>
      </c>
      <c r="F337" s="17" t="s">
        <v>2089</v>
      </c>
      <c r="G337" s="15">
        <v>0.0</v>
      </c>
      <c r="H337" s="15" t="s">
        <v>1983</v>
      </c>
      <c r="I337" s="15" t="s">
        <v>70</v>
      </c>
    </row>
    <row r="338" hidden="1">
      <c r="A338" s="51" t="s">
        <v>2090</v>
      </c>
      <c r="B338" s="51"/>
      <c r="C338" s="53">
        <v>2.0</v>
      </c>
      <c r="D338" s="53" t="s">
        <v>2091</v>
      </c>
      <c r="E338" s="54" t="s">
        <v>2092</v>
      </c>
      <c r="F338" s="55" t="s">
        <v>2093</v>
      </c>
      <c r="G338" s="56">
        <v>3.0</v>
      </c>
      <c r="H338" s="53" t="s">
        <v>2094</v>
      </c>
      <c r="I338" s="53" t="s">
        <v>26</v>
      </c>
    </row>
    <row r="339">
      <c r="A339" s="16" t="s">
        <v>2095</v>
      </c>
      <c r="B339" s="16" t="s">
        <v>1501</v>
      </c>
      <c r="C339" s="15">
        <v>1.0</v>
      </c>
      <c r="D339" s="15" t="s">
        <v>40</v>
      </c>
      <c r="F339" s="34"/>
      <c r="G339" s="15">
        <v>6.0</v>
      </c>
      <c r="H339" s="15" t="s">
        <v>2096</v>
      </c>
      <c r="I339" s="15" t="s">
        <v>26</v>
      </c>
    </row>
    <row r="340" hidden="1">
      <c r="A340" s="16" t="s">
        <v>2097</v>
      </c>
      <c r="C340" s="15">
        <v>2.0</v>
      </c>
      <c r="D340" s="15" t="s">
        <v>1610</v>
      </c>
      <c r="E340" s="16" t="s">
        <v>275</v>
      </c>
      <c r="F340" s="17" t="s">
        <v>2098</v>
      </c>
      <c r="G340" s="15">
        <v>2.0</v>
      </c>
      <c r="H340" s="15" t="s">
        <v>2099</v>
      </c>
      <c r="I340" s="15" t="s">
        <v>26</v>
      </c>
    </row>
    <row r="341" hidden="1">
      <c r="A341" s="51" t="s">
        <v>2100</v>
      </c>
      <c r="B341" s="51"/>
      <c r="C341" s="53">
        <v>2.0</v>
      </c>
      <c r="D341" s="53" t="s">
        <v>2051</v>
      </c>
      <c r="E341" s="54" t="s">
        <v>2101</v>
      </c>
      <c r="F341" s="55" t="s">
        <v>2102</v>
      </c>
      <c r="G341" s="53">
        <v>9.0</v>
      </c>
      <c r="H341" s="53" t="s">
        <v>2103</v>
      </c>
      <c r="I341" s="56" t="s">
        <v>70</v>
      </c>
    </row>
    <row r="342" hidden="1">
      <c r="A342" s="51" t="s">
        <v>2104</v>
      </c>
      <c r="B342" s="51"/>
      <c r="C342" s="53">
        <v>2.0</v>
      </c>
      <c r="D342" s="53" t="s">
        <v>2105</v>
      </c>
      <c r="E342" s="101" t="s">
        <v>2106</v>
      </c>
      <c r="F342" s="55" t="s">
        <v>2107</v>
      </c>
      <c r="G342" s="53">
        <v>6.0</v>
      </c>
      <c r="H342" s="53" t="s">
        <v>2108</v>
      </c>
      <c r="I342" s="56" t="s">
        <v>26</v>
      </c>
    </row>
    <row r="343" hidden="1">
      <c r="A343" s="16" t="s">
        <v>2109</v>
      </c>
      <c r="B343" s="16"/>
      <c r="C343" s="15">
        <v>2.0</v>
      </c>
      <c r="D343" s="15"/>
      <c r="E343" s="16" t="s">
        <v>2110</v>
      </c>
      <c r="F343" s="17" t="s">
        <v>2111</v>
      </c>
      <c r="G343" s="15">
        <v>2.0</v>
      </c>
      <c r="H343" s="15" t="s">
        <v>2099</v>
      </c>
      <c r="I343" s="15" t="s">
        <v>70</v>
      </c>
    </row>
    <row r="344">
      <c r="A344" s="7" t="s">
        <v>2112</v>
      </c>
      <c r="B344" s="7" t="s">
        <v>1501</v>
      </c>
      <c r="C344" s="9">
        <v>1.0</v>
      </c>
      <c r="D344" s="9" t="s">
        <v>387</v>
      </c>
      <c r="F344" s="63" t="s">
        <v>2113</v>
      </c>
      <c r="G344" s="9">
        <v>8.0</v>
      </c>
      <c r="H344" s="9" t="s">
        <v>1728</v>
      </c>
      <c r="I344" s="9" t="s">
        <v>26</v>
      </c>
    </row>
    <row r="345" hidden="1">
      <c r="A345" s="16" t="s">
        <v>2114</v>
      </c>
      <c r="B345" s="16"/>
      <c r="C345" s="15">
        <v>2.0</v>
      </c>
      <c r="D345" s="15" t="s">
        <v>2115</v>
      </c>
      <c r="E345" s="16" t="s">
        <v>2116</v>
      </c>
      <c r="F345" s="17" t="s">
        <v>838</v>
      </c>
      <c r="G345" s="15">
        <v>0.0</v>
      </c>
      <c r="H345" s="15" t="s">
        <v>2099</v>
      </c>
      <c r="I345" s="15" t="s">
        <v>70</v>
      </c>
    </row>
    <row r="346">
      <c r="A346" s="16" t="s">
        <v>2117</v>
      </c>
      <c r="B346" s="16" t="s">
        <v>1501</v>
      </c>
      <c r="C346" s="15">
        <v>1.0</v>
      </c>
      <c r="D346" s="15" t="s">
        <v>998</v>
      </c>
      <c r="F346" s="34"/>
      <c r="G346" s="15">
        <v>2.0</v>
      </c>
      <c r="H346" s="15" t="s">
        <v>1503</v>
      </c>
      <c r="I346" s="15" t="s">
        <v>26</v>
      </c>
    </row>
    <row r="347">
      <c r="A347" s="16" t="s">
        <v>2118</v>
      </c>
      <c r="B347" s="16" t="s">
        <v>1836</v>
      </c>
      <c r="C347" s="15">
        <v>1.0</v>
      </c>
      <c r="D347" s="15" t="s">
        <v>1842</v>
      </c>
      <c r="E347" s="16" t="s">
        <v>2119</v>
      </c>
      <c r="F347" s="38" t="s">
        <v>2120</v>
      </c>
      <c r="G347" s="15">
        <v>0.0</v>
      </c>
      <c r="H347" s="15" t="s">
        <v>2121</v>
      </c>
      <c r="I347" s="15" t="s">
        <v>70</v>
      </c>
    </row>
    <row r="348">
      <c r="A348" s="7" t="s">
        <v>2122</v>
      </c>
      <c r="B348" s="7" t="s">
        <v>1836</v>
      </c>
      <c r="C348" s="9">
        <v>1.0</v>
      </c>
      <c r="D348" s="9" t="s">
        <v>979</v>
      </c>
      <c r="E348" s="7" t="s">
        <v>2123</v>
      </c>
      <c r="F348" s="10" t="s">
        <v>2124</v>
      </c>
      <c r="G348" s="9">
        <v>1.0</v>
      </c>
      <c r="H348" s="9" t="s">
        <v>2125</v>
      </c>
      <c r="I348" s="9" t="s">
        <v>32</v>
      </c>
    </row>
    <row r="349">
      <c r="A349" s="7" t="s">
        <v>2126</v>
      </c>
      <c r="B349" s="7" t="s">
        <v>1836</v>
      </c>
      <c r="C349" s="9">
        <v>1.0</v>
      </c>
      <c r="D349" s="9" t="s">
        <v>2127</v>
      </c>
      <c r="E349" s="7"/>
      <c r="F349" s="10" t="s">
        <v>2128</v>
      </c>
      <c r="G349" s="9">
        <v>2.0</v>
      </c>
      <c r="H349" s="9" t="s">
        <v>2129</v>
      </c>
      <c r="I349" s="9" t="s">
        <v>26</v>
      </c>
    </row>
    <row r="350">
      <c r="A350" s="16" t="s">
        <v>2130</v>
      </c>
      <c r="B350" s="16" t="s">
        <v>1887</v>
      </c>
      <c r="C350" s="15">
        <v>1.0</v>
      </c>
      <c r="D350" s="15" t="s">
        <v>2131</v>
      </c>
      <c r="E350" s="16" t="s">
        <v>2132</v>
      </c>
      <c r="F350" s="17" t="s">
        <v>2133</v>
      </c>
      <c r="G350" s="15">
        <v>2.0</v>
      </c>
      <c r="H350" s="15" t="s">
        <v>2134</v>
      </c>
      <c r="I350" s="15" t="s">
        <v>70</v>
      </c>
      <c r="J350" s="11" t="s">
        <v>2135</v>
      </c>
      <c r="K350" s="13" t="s">
        <v>2136</v>
      </c>
    </row>
    <row r="351">
      <c r="A351" s="7" t="s">
        <v>2137</v>
      </c>
      <c r="B351" s="7" t="s">
        <v>1887</v>
      </c>
      <c r="C351" s="9">
        <v>1.0</v>
      </c>
      <c r="D351" s="9" t="s">
        <v>2077</v>
      </c>
      <c r="E351" s="7" t="s">
        <v>2138</v>
      </c>
      <c r="F351" s="10" t="s">
        <v>2139</v>
      </c>
      <c r="G351" s="9">
        <v>4.0</v>
      </c>
      <c r="H351" s="50" t="s">
        <v>1983</v>
      </c>
      <c r="I351" s="9" t="s">
        <v>70</v>
      </c>
    </row>
    <row r="352">
      <c r="A352" s="22" t="s">
        <v>2140</v>
      </c>
      <c r="B352" s="7" t="s">
        <v>1887</v>
      </c>
      <c r="C352" s="9">
        <v>1.0</v>
      </c>
      <c r="D352" s="9" t="s">
        <v>2084</v>
      </c>
      <c r="E352" s="7" t="s">
        <v>2141</v>
      </c>
      <c r="F352" s="17" t="s">
        <v>2142</v>
      </c>
      <c r="G352" s="9">
        <v>2.0</v>
      </c>
      <c r="H352" s="9" t="s">
        <v>1914</v>
      </c>
      <c r="I352" s="9" t="s">
        <v>70</v>
      </c>
    </row>
    <row r="353">
      <c r="A353" s="16" t="s">
        <v>2143</v>
      </c>
      <c r="B353" s="7" t="s">
        <v>1887</v>
      </c>
      <c r="C353" s="9">
        <v>1.0</v>
      </c>
      <c r="D353" s="15" t="s">
        <v>1175</v>
      </c>
      <c r="E353" s="16" t="s">
        <v>2144</v>
      </c>
      <c r="F353" s="17" t="s">
        <v>2145</v>
      </c>
      <c r="G353" s="15">
        <v>2.0</v>
      </c>
      <c r="H353" s="15" t="s">
        <v>1918</v>
      </c>
      <c r="I353" s="15" t="s">
        <v>26</v>
      </c>
    </row>
    <row r="354">
      <c r="A354" s="7" t="s">
        <v>2146</v>
      </c>
      <c r="B354" s="7" t="s">
        <v>1887</v>
      </c>
      <c r="C354" s="9">
        <v>1.0</v>
      </c>
      <c r="D354" s="15" t="s">
        <v>2147</v>
      </c>
      <c r="E354" s="16" t="s">
        <v>2148</v>
      </c>
      <c r="F354" s="17" t="s">
        <v>2149</v>
      </c>
      <c r="G354" s="15">
        <v>2.0</v>
      </c>
      <c r="H354" s="15" t="s">
        <v>2034</v>
      </c>
      <c r="I354" s="9" t="s">
        <v>70</v>
      </c>
    </row>
    <row r="355">
      <c r="A355" s="7" t="s">
        <v>2150</v>
      </c>
      <c r="B355" s="7" t="s">
        <v>1887</v>
      </c>
      <c r="C355" s="9">
        <v>1.0</v>
      </c>
      <c r="D355" s="9" t="s">
        <v>335</v>
      </c>
      <c r="E355" s="7" t="s">
        <v>2151</v>
      </c>
      <c r="F355" s="10" t="s">
        <v>2152</v>
      </c>
      <c r="G355" s="9">
        <v>3.0</v>
      </c>
      <c r="H355" s="9" t="s">
        <v>2034</v>
      </c>
      <c r="I355" s="9" t="s">
        <v>70</v>
      </c>
    </row>
    <row r="356">
      <c r="A356" s="7" t="s">
        <v>2153</v>
      </c>
      <c r="B356" s="7" t="s">
        <v>1887</v>
      </c>
      <c r="C356" s="9">
        <v>1.0</v>
      </c>
      <c r="D356" s="9" t="s">
        <v>1175</v>
      </c>
      <c r="E356" s="16" t="s">
        <v>2154</v>
      </c>
      <c r="F356" s="10" t="s">
        <v>2155</v>
      </c>
      <c r="G356" s="9">
        <v>3.0</v>
      </c>
      <c r="H356" s="9" t="s">
        <v>1914</v>
      </c>
      <c r="I356" s="9" t="s">
        <v>26</v>
      </c>
    </row>
    <row r="357">
      <c r="A357" s="16" t="s">
        <v>2156</v>
      </c>
      <c r="B357" s="7" t="s">
        <v>1887</v>
      </c>
      <c r="C357" s="9">
        <v>1.0</v>
      </c>
      <c r="D357" s="15" t="s">
        <v>1175</v>
      </c>
      <c r="E357" s="16" t="s">
        <v>2157</v>
      </c>
      <c r="F357" s="17" t="s">
        <v>2158</v>
      </c>
      <c r="G357" s="15">
        <v>3.0</v>
      </c>
      <c r="H357" s="15" t="s">
        <v>1914</v>
      </c>
      <c r="I357" s="15" t="s">
        <v>26</v>
      </c>
    </row>
    <row r="358">
      <c r="A358" s="24" t="s">
        <v>2159</v>
      </c>
      <c r="B358" s="7" t="s">
        <v>1887</v>
      </c>
      <c r="C358" s="9">
        <v>1.0</v>
      </c>
      <c r="D358" s="21" t="s">
        <v>1911</v>
      </c>
      <c r="E358" s="7" t="s">
        <v>2160</v>
      </c>
      <c r="F358" s="17" t="s">
        <v>2161</v>
      </c>
      <c r="G358" s="9">
        <v>2.0</v>
      </c>
      <c r="H358" s="9" t="s">
        <v>1918</v>
      </c>
      <c r="I358" s="15" t="s">
        <v>26</v>
      </c>
    </row>
    <row r="359">
      <c r="A359" s="7" t="s">
        <v>2162</v>
      </c>
      <c r="B359" s="7" t="s">
        <v>1887</v>
      </c>
      <c r="C359" s="9">
        <v>1.0</v>
      </c>
      <c r="D359" s="9" t="s">
        <v>1837</v>
      </c>
      <c r="E359" s="7" t="s">
        <v>2163</v>
      </c>
      <c r="F359" s="102" t="s">
        <v>2164</v>
      </c>
      <c r="G359" s="9">
        <v>4.0</v>
      </c>
      <c r="H359" s="9" t="s">
        <v>2034</v>
      </c>
      <c r="I359" s="15" t="s">
        <v>26</v>
      </c>
    </row>
    <row r="360">
      <c r="A360" s="20" t="s">
        <v>2165</v>
      </c>
      <c r="B360" s="7" t="s">
        <v>1887</v>
      </c>
      <c r="C360" s="9">
        <v>1.0</v>
      </c>
      <c r="D360" s="9" t="s">
        <v>181</v>
      </c>
      <c r="E360" s="7" t="s">
        <v>2166</v>
      </c>
      <c r="F360" s="10" t="s">
        <v>2167</v>
      </c>
      <c r="G360" s="9">
        <v>0.0</v>
      </c>
      <c r="H360" s="9" t="s">
        <v>1914</v>
      </c>
      <c r="I360" s="9" t="s">
        <v>26</v>
      </c>
    </row>
    <row r="361">
      <c r="A361" s="51" t="s">
        <v>2168</v>
      </c>
      <c r="B361" s="54" t="s">
        <v>1887</v>
      </c>
      <c r="C361" s="53">
        <v>1.0</v>
      </c>
      <c r="D361" s="53" t="s">
        <v>1464</v>
      </c>
      <c r="E361" s="54" t="s">
        <v>2169</v>
      </c>
      <c r="F361" s="55" t="s">
        <v>2170</v>
      </c>
      <c r="G361" s="53">
        <v>4.0</v>
      </c>
      <c r="H361" s="53" t="s">
        <v>1904</v>
      </c>
      <c r="I361" s="53" t="s">
        <v>70</v>
      </c>
    </row>
    <row r="362" hidden="1">
      <c r="A362" s="16" t="s">
        <v>2171</v>
      </c>
      <c r="B362" s="16" t="s">
        <v>21</v>
      </c>
      <c r="C362" s="15">
        <v>3.0</v>
      </c>
      <c r="D362" s="16" t="s">
        <v>2172</v>
      </c>
      <c r="E362" s="16" t="s">
        <v>2173</v>
      </c>
      <c r="G362" s="15">
        <v>4.0</v>
      </c>
      <c r="H362" s="15" t="s">
        <v>158</v>
      </c>
      <c r="I362" s="16" t="s">
        <v>70</v>
      </c>
    </row>
    <row r="363" hidden="1">
      <c r="A363" s="16" t="s">
        <v>2174</v>
      </c>
      <c r="B363" s="16" t="s">
        <v>1887</v>
      </c>
      <c r="C363" s="15">
        <v>3.0</v>
      </c>
      <c r="D363" s="16" t="s">
        <v>2175</v>
      </c>
      <c r="E363" s="16" t="s">
        <v>2176</v>
      </c>
      <c r="G363" s="15">
        <v>3.0</v>
      </c>
      <c r="H363" s="15" t="s">
        <v>2177</v>
      </c>
      <c r="I363" s="16" t="s">
        <v>32</v>
      </c>
    </row>
    <row r="364" hidden="1">
      <c r="A364" s="16" t="s">
        <v>2178</v>
      </c>
      <c r="B364" s="16" t="s">
        <v>1039</v>
      </c>
      <c r="C364" s="15">
        <v>3.0</v>
      </c>
      <c r="D364" s="16" t="s">
        <v>37</v>
      </c>
      <c r="E364" s="16" t="s">
        <v>2179</v>
      </c>
      <c r="G364" s="15">
        <v>1.0</v>
      </c>
      <c r="H364" s="15" t="s">
        <v>1051</v>
      </c>
      <c r="I364" s="16" t="s">
        <v>26</v>
      </c>
    </row>
    <row r="365" hidden="1">
      <c r="A365" s="16" t="s">
        <v>2180</v>
      </c>
      <c r="B365" s="16" t="s">
        <v>418</v>
      </c>
      <c r="C365" s="15">
        <v>3.0</v>
      </c>
      <c r="D365" s="16" t="s">
        <v>631</v>
      </c>
      <c r="E365" s="16" t="s">
        <v>2181</v>
      </c>
      <c r="G365" s="15">
        <v>3.0</v>
      </c>
      <c r="H365" s="15" t="s">
        <v>586</v>
      </c>
      <c r="I365" s="16" t="s">
        <v>26</v>
      </c>
    </row>
    <row r="366" hidden="1">
      <c r="A366" s="16" t="s">
        <v>2182</v>
      </c>
      <c r="B366" s="16" t="s">
        <v>964</v>
      </c>
      <c r="C366" s="15">
        <v>3.0</v>
      </c>
      <c r="D366" s="16" t="s">
        <v>2183</v>
      </c>
      <c r="E366" s="16" t="s">
        <v>2184</v>
      </c>
      <c r="G366" s="15">
        <v>6.0</v>
      </c>
      <c r="H366" s="15" t="s">
        <v>2185</v>
      </c>
      <c r="I366" s="16" t="s">
        <v>70</v>
      </c>
    </row>
    <row r="367" hidden="1">
      <c r="A367" s="16" t="s">
        <v>2186</v>
      </c>
      <c r="B367" s="16" t="s">
        <v>391</v>
      </c>
      <c r="C367" s="15">
        <v>3.0</v>
      </c>
      <c r="D367" s="16" t="s">
        <v>2187</v>
      </c>
      <c r="E367" s="16" t="s">
        <v>2188</v>
      </c>
      <c r="G367" s="15">
        <v>5.0</v>
      </c>
      <c r="H367" s="15" t="s">
        <v>2189</v>
      </c>
      <c r="I367" s="16" t="s">
        <v>32</v>
      </c>
    </row>
    <row r="368" hidden="1">
      <c r="A368" s="16" t="s">
        <v>2190</v>
      </c>
      <c r="B368" s="16" t="s">
        <v>1501</v>
      </c>
      <c r="C368" s="15">
        <v>3.0</v>
      </c>
      <c r="D368" s="16" t="s">
        <v>2191</v>
      </c>
      <c r="E368" s="16" t="s">
        <v>2192</v>
      </c>
      <c r="G368" s="15">
        <v>5.0</v>
      </c>
      <c r="H368" s="15" t="s">
        <v>1535</v>
      </c>
      <c r="I368" s="16" t="s">
        <v>70</v>
      </c>
    </row>
    <row r="369" hidden="1">
      <c r="A369" s="16" t="s">
        <v>2193</v>
      </c>
      <c r="B369" s="16" t="s">
        <v>21</v>
      </c>
      <c r="C369" s="15">
        <v>3.0</v>
      </c>
      <c r="D369" s="16" t="s">
        <v>111</v>
      </c>
      <c r="E369" s="16" t="s">
        <v>2194</v>
      </c>
      <c r="G369" s="15">
        <v>2.0</v>
      </c>
      <c r="H369" s="15" t="s">
        <v>106</v>
      </c>
      <c r="I369" s="16" t="s">
        <v>26</v>
      </c>
    </row>
    <row r="370" hidden="1">
      <c r="A370" s="16" t="s">
        <v>2195</v>
      </c>
      <c r="B370" s="16" t="s">
        <v>418</v>
      </c>
      <c r="C370" s="15">
        <v>3.0</v>
      </c>
      <c r="D370" s="16" t="s">
        <v>2196</v>
      </c>
      <c r="E370" s="16" t="s">
        <v>2197</v>
      </c>
      <c r="G370" s="15">
        <v>3.0</v>
      </c>
      <c r="H370" s="15" t="s">
        <v>421</v>
      </c>
      <c r="I370" s="16" t="s">
        <v>26</v>
      </c>
    </row>
    <row r="371" hidden="1">
      <c r="A371" s="16" t="s">
        <v>2198</v>
      </c>
      <c r="B371" s="16" t="s">
        <v>895</v>
      </c>
      <c r="C371" s="15">
        <v>3.0</v>
      </c>
      <c r="D371" s="16" t="s">
        <v>2199</v>
      </c>
      <c r="E371" s="16" t="s">
        <v>2200</v>
      </c>
      <c r="G371" s="15">
        <v>3.0</v>
      </c>
      <c r="H371" s="15" t="s">
        <v>2201</v>
      </c>
      <c r="I371" s="16" t="s">
        <v>70</v>
      </c>
    </row>
    <row r="372" hidden="1">
      <c r="A372" s="16" t="s">
        <v>2202</v>
      </c>
      <c r="B372" s="16" t="s">
        <v>1887</v>
      </c>
      <c r="C372" s="15">
        <v>3.0</v>
      </c>
      <c r="D372" s="16" t="s">
        <v>2203</v>
      </c>
      <c r="E372" s="16" t="s">
        <v>2204</v>
      </c>
      <c r="G372" s="103"/>
      <c r="H372" s="103"/>
    </row>
    <row r="373" hidden="1">
      <c r="A373" s="16" t="s">
        <v>2205</v>
      </c>
      <c r="B373" s="16" t="s">
        <v>1501</v>
      </c>
      <c r="C373" s="15">
        <v>3.0</v>
      </c>
      <c r="D373" s="16" t="s">
        <v>1397</v>
      </c>
      <c r="E373" s="16" t="s">
        <v>2206</v>
      </c>
      <c r="G373" s="15">
        <v>3.0</v>
      </c>
      <c r="H373" s="15" t="s">
        <v>1530</v>
      </c>
      <c r="I373" s="16" t="s">
        <v>26</v>
      </c>
    </row>
    <row r="374" hidden="1">
      <c r="A374" s="16" t="s">
        <v>2207</v>
      </c>
      <c r="B374" s="16" t="s">
        <v>1887</v>
      </c>
      <c r="C374" s="15">
        <v>3.0</v>
      </c>
      <c r="D374" s="16" t="s">
        <v>2208</v>
      </c>
      <c r="E374" s="16" t="s">
        <v>2209</v>
      </c>
      <c r="G374" s="15">
        <v>4.0</v>
      </c>
      <c r="H374" s="15" t="s">
        <v>2034</v>
      </c>
      <c r="I374" s="16" t="s">
        <v>70</v>
      </c>
    </row>
    <row r="375" hidden="1">
      <c r="A375" s="16" t="s">
        <v>2210</v>
      </c>
      <c r="B375" s="16" t="s">
        <v>2211</v>
      </c>
      <c r="C375" s="15">
        <v>3.0</v>
      </c>
      <c r="D375" s="16" t="s">
        <v>28</v>
      </c>
      <c r="E375" s="16" t="s">
        <v>2212</v>
      </c>
      <c r="G375" s="15">
        <v>3.0</v>
      </c>
      <c r="H375" s="15" t="s">
        <v>2213</v>
      </c>
      <c r="I375" s="16" t="s">
        <v>26</v>
      </c>
    </row>
    <row r="376" hidden="1">
      <c r="A376" s="16" t="s">
        <v>2214</v>
      </c>
      <c r="B376" s="16" t="s">
        <v>418</v>
      </c>
      <c r="C376" s="15">
        <v>3.0</v>
      </c>
      <c r="D376" s="16" t="s">
        <v>2215</v>
      </c>
      <c r="E376" s="16" t="s">
        <v>2216</v>
      </c>
      <c r="G376" s="15">
        <v>5.0</v>
      </c>
      <c r="H376" s="15" t="s">
        <v>526</v>
      </c>
      <c r="I376" s="16" t="s">
        <v>26</v>
      </c>
    </row>
    <row r="377" hidden="1">
      <c r="A377" s="16" t="s">
        <v>2217</v>
      </c>
      <c r="B377" s="14" t="s">
        <v>21</v>
      </c>
      <c r="C377" s="15">
        <v>3.0</v>
      </c>
      <c r="D377" s="15" t="s">
        <v>80</v>
      </c>
      <c r="E377" s="16" t="s">
        <v>2218</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2219</v>
      </c>
      <c r="B378" s="16" t="s">
        <v>418</v>
      </c>
      <c r="C378" s="15">
        <v>3.0</v>
      </c>
      <c r="D378" s="16" t="s">
        <v>2220</v>
      </c>
      <c r="E378" s="16" t="s">
        <v>2221</v>
      </c>
      <c r="G378" s="15">
        <v>2.0</v>
      </c>
      <c r="H378" s="15" t="s">
        <v>586</v>
      </c>
      <c r="I378" s="16" t="s">
        <v>70</v>
      </c>
    </row>
    <row r="379" hidden="1">
      <c r="A379" s="22" t="s">
        <v>2222</v>
      </c>
      <c r="B379" s="88" t="s">
        <v>1501</v>
      </c>
      <c r="C379" s="9">
        <v>3.0</v>
      </c>
      <c r="D379" s="9" t="s">
        <v>80</v>
      </c>
      <c r="E379" s="7" t="s">
        <v>2223</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1704</v>
      </c>
      <c r="I379" s="9" t="s">
        <v>32</v>
      </c>
    </row>
    <row r="380" hidden="1">
      <c r="A380" s="7" t="s">
        <v>2146</v>
      </c>
      <c r="B380" s="97" t="s">
        <v>1887</v>
      </c>
      <c r="C380" s="9">
        <v>3.0</v>
      </c>
      <c r="D380" s="15" t="s">
        <v>2224</v>
      </c>
      <c r="E380" s="16" t="s">
        <v>2148</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2034</v>
      </c>
      <c r="I380" s="9" t="s">
        <v>32</v>
      </c>
    </row>
    <row r="381" hidden="1">
      <c r="A381" s="7" t="s">
        <v>2225</v>
      </c>
      <c r="B381" s="8" t="s">
        <v>21</v>
      </c>
      <c r="C381" s="9">
        <v>3.0</v>
      </c>
      <c r="D381" s="9" t="s">
        <v>408</v>
      </c>
      <c r="E381" s="7" t="s">
        <v>2226</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2227</v>
      </c>
      <c r="B382" s="104" t="s">
        <v>21</v>
      </c>
      <c r="C382" s="65">
        <v>3.0</v>
      </c>
      <c r="D382" s="67" t="s">
        <v>2228</v>
      </c>
      <c r="E382" s="29" t="s">
        <v>2229</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2230</v>
      </c>
      <c r="B383" s="16" t="s">
        <v>391</v>
      </c>
      <c r="C383" s="15">
        <v>3.0</v>
      </c>
      <c r="D383" s="15" t="s">
        <v>1446</v>
      </c>
      <c r="E383" s="16" t="s">
        <v>2231</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2232</v>
      </c>
      <c r="B384" s="48" t="s">
        <v>418</v>
      </c>
      <c r="C384" s="9">
        <v>3.0</v>
      </c>
      <c r="D384" s="9" t="s">
        <v>433</v>
      </c>
      <c r="E384" s="16" t="s">
        <v>2233</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2234</v>
      </c>
      <c r="B385" s="7" t="s">
        <v>317</v>
      </c>
      <c r="C385" s="9">
        <v>3.0</v>
      </c>
      <c r="D385" s="9" t="s">
        <v>155</v>
      </c>
      <c r="E385" s="7" t="s">
        <v>2235</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2236</v>
      </c>
      <c r="G386" s="103"/>
      <c r="H386" s="103"/>
    </row>
    <row r="387" hidden="1">
      <c r="C387" s="15">
        <v>3.0</v>
      </c>
      <c r="D387" s="16" t="s">
        <v>1994</v>
      </c>
      <c r="G387" s="103"/>
      <c r="H387" s="103"/>
    </row>
    <row r="388" hidden="1">
      <c r="C388" s="15">
        <v>3.0</v>
      </c>
      <c r="E388" s="16" t="s">
        <v>2237</v>
      </c>
      <c r="G388" s="103"/>
      <c r="H388" s="103"/>
    </row>
    <row r="389" hidden="1">
      <c r="A389" s="16" t="s">
        <v>2238</v>
      </c>
      <c r="B389" s="16" t="s">
        <v>1501</v>
      </c>
      <c r="C389" s="15">
        <v>3.0</v>
      </c>
      <c r="D389" s="16" t="s">
        <v>37</v>
      </c>
      <c r="E389" s="16" t="s">
        <v>2239</v>
      </c>
      <c r="G389" s="15">
        <v>1.0</v>
      </c>
      <c r="H389" s="15" t="s">
        <v>1734</v>
      </c>
      <c r="I389" s="16" t="s">
        <v>26</v>
      </c>
    </row>
    <row r="390" hidden="1">
      <c r="C390" s="15">
        <v>3.0</v>
      </c>
      <c r="E390" s="16" t="s">
        <v>2240</v>
      </c>
      <c r="G390" s="103"/>
      <c r="H390" s="103"/>
    </row>
    <row r="391" hidden="1">
      <c r="A391" s="16" t="s">
        <v>2241</v>
      </c>
      <c r="B391" s="16" t="s">
        <v>1039</v>
      </c>
      <c r="C391" s="15">
        <v>3.0</v>
      </c>
      <c r="D391" s="16" t="s">
        <v>697</v>
      </c>
      <c r="E391" s="16" t="s">
        <v>2242</v>
      </c>
      <c r="G391" s="103"/>
      <c r="H391" s="103"/>
    </row>
    <row r="392" hidden="1">
      <c r="A392" s="7" t="s">
        <v>2243</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2244</v>
      </c>
      <c r="C393" s="16">
        <v>3.0</v>
      </c>
      <c r="E393" s="16" t="s">
        <v>2245</v>
      </c>
      <c r="G393" s="103"/>
      <c r="H393" s="103"/>
    </row>
    <row r="394" hidden="1">
      <c r="C394" s="15">
        <v>3.0</v>
      </c>
      <c r="E394" s="16" t="s">
        <v>2246</v>
      </c>
      <c r="G394" s="103"/>
      <c r="H394" s="103"/>
    </row>
    <row r="395" hidden="1">
      <c r="C395" s="15">
        <v>3.0</v>
      </c>
      <c r="E395" s="16" t="s">
        <v>2247</v>
      </c>
      <c r="G395" s="103"/>
      <c r="H395" s="103"/>
    </row>
    <row r="396" hidden="1">
      <c r="C396" s="15">
        <v>3.0</v>
      </c>
      <c r="E396" s="16" t="s">
        <v>2248</v>
      </c>
      <c r="G396" s="103"/>
      <c r="H396" s="103"/>
    </row>
    <row r="397" hidden="1">
      <c r="A397" s="16" t="s">
        <v>2249</v>
      </c>
      <c r="C397" s="15">
        <v>3.0</v>
      </c>
      <c r="D397" s="16" t="s">
        <v>2250</v>
      </c>
      <c r="E397" s="16" t="s">
        <v>2251</v>
      </c>
      <c r="G397" s="103"/>
      <c r="H397" s="103"/>
    </row>
    <row r="398" hidden="1">
      <c r="C398" s="15">
        <v>3.0</v>
      </c>
      <c r="E398" s="105" t="s">
        <v>2252</v>
      </c>
      <c r="G398" s="103"/>
      <c r="H398" s="103"/>
    </row>
    <row r="399" hidden="1">
      <c r="A399" s="16" t="s">
        <v>2253</v>
      </c>
      <c r="C399" s="15">
        <v>3.0</v>
      </c>
      <c r="D399" s="16" t="s">
        <v>2254</v>
      </c>
      <c r="E399" s="16" t="s">
        <v>2255</v>
      </c>
      <c r="G399" s="103"/>
      <c r="H399" s="103"/>
    </row>
    <row r="400" hidden="1">
      <c r="A400" s="16" t="s">
        <v>2256</v>
      </c>
      <c r="C400" s="15">
        <v>3.0</v>
      </c>
      <c r="D400" s="16" t="s">
        <v>2254</v>
      </c>
      <c r="E400" s="16" t="s">
        <v>2257</v>
      </c>
      <c r="G400" s="103"/>
      <c r="H400" s="103"/>
    </row>
    <row r="401" hidden="1">
      <c r="A401" s="16" t="s">
        <v>2258</v>
      </c>
      <c r="C401" s="15">
        <v>3.0</v>
      </c>
      <c r="D401" s="16" t="s">
        <v>2254</v>
      </c>
      <c r="E401" s="16" t="s">
        <v>2259</v>
      </c>
      <c r="G401" s="103"/>
      <c r="H401" s="103"/>
    </row>
    <row r="402" hidden="1">
      <c r="A402" s="16" t="s">
        <v>2260</v>
      </c>
      <c r="C402" s="15">
        <v>3.0</v>
      </c>
      <c r="D402" s="16" t="s">
        <v>2254</v>
      </c>
      <c r="E402" s="16" t="s">
        <v>2261</v>
      </c>
      <c r="G402" s="103"/>
      <c r="H402" s="103"/>
    </row>
    <row r="403" hidden="1">
      <c r="A403" s="16" t="s">
        <v>2262</v>
      </c>
      <c r="C403" s="15">
        <v>3.0</v>
      </c>
      <c r="D403" s="16" t="s">
        <v>2254</v>
      </c>
      <c r="E403" s="16" t="s">
        <v>2263</v>
      </c>
      <c r="G403" s="103"/>
      <c r="H403" s="103"/>
    </row>
    <row r="404" hidden="1">
      <c r="A404" s="16" t="s">
        <v>2264</v>
      </c>
      <c r="B404" s="16" t="s">
        <v>391</v>
      </c>
      <c r="C404" s="15">
        <v>3.0</v>
      </c>
      <c r="E404" s="16" t="s">
        <v>2265</v>
      </c>
      <c r="G404" s="103"/>
      <c r="H404" s="15" t="s">
        <v>475</v>
      </c>
      <c r="I404" s="16" t="s">
        <v>70</v>
      </c>
    </row>
    <row r="405" hidden="1">
      <c r="C405" s="16">
        <v>3.0</v>
      </c>
      <c r="E405" s="16" t="s">
        <v>2266</v>
      </c>
      <c r="G405" s="103"/>
      <c r="H405" s="103"/>
    </row>
    <row r="406" hidden="1">
      <c r="A406" s="16" t="s">
        <v>2267</v>
      </c>
      <c r="B406" s="16" t="s">
        <v>418</v>
      </c>
      <c r="C406" s="15">
        <v>3.0</v>
      </c>
      <c r="E406" s="16" t="s">
        <v>2268</v>
      </c>
      <c r="G406" s="103"/>
      <c r="H406" s="103"/>
    </row>
    <row r="407">
      <c r="A407" s="7" t="s">
        <v>2269</v>
      </c>
      <c r="B407" s="7" t="s">
        <v>1887</v>
      </c>
      <c r="C407" s="9">
        <v>1.0</v>
      </c>
      <c r="D407" s="9" t="s">
        <v>1842</v>
      </c>
      <c r="E407" s="7" t="s">
        <v>2270</v>
      </c>
      <c r="F407" s="10" t="s">
        <v>2271</v>
      </c>
      <c r="G407" s="9">
        <v>1.0</v>
      </c>
      <c r="H407" s="9" t="s">
        <v>1918</v>
      </c>
      <c r="I407" s="9" t="s">
        <v>26</v>
      </c>
    </row>
    <row r="408">
      <c r="A408" s="24" t="s">
        <v>2272</v>
      </c>
      <c r="B408" s="7" t="s">
        <v>1887</v>
      </c>
      <c r="C408" s="9">
        <v>1.0</v>
      </c>
      <c r="D408" s="9" t="s">
        <v>979</v>
      </c>
      <c r="E408" s="7" t="s">
        <v>636</v>
      </c>
      <c r="F408" s="17" t="s">
        <v>2273</v>
      </c>
      <c r="G408" s="21">
        <v>3.0</v>
      </c>
      <c r="H408" s="9" t="s">
        <v>1914</v>
      </c>
      <c r="I408" s="21" t="s">
        <v>26</v>
      </c>
    </row>
    <row r="409">
      <c r="A409" s="24" t="s">
        <v>2274</v>
      </c>
      <c r="B409" s="7" t="s">
        <v>1887</v>
      </c>
      <c r="C409" s="9">
        <v>1.0</v>
      </c>
      <c r="D409" s="9" t="s">
        <v>979</v>
      </c>
      <c r="E409" s="7" t="s">
        <v>2275</v>
      </c>
      <c r="F409" s="17" t="s">
        <v>2276</v>
      </c>
      <c r="G409" s="21">
        <v>4.0</v>
      </c>
      <c r="H409" s="9" t="s">
        <v>1983</v>
      </c>
      <c r="I409" s="21" t="s">
        <v>26</v>
      </c>
    </row>
    <row r="410">
      <c r="A410" s="7" t="s">
        <v>2277</v>
      </c>
      <c r="B410" s="7" t="s">
        <v>1887</v>
      </c>
      <c r="C410" s="9">
        <v>1.0</v>
      </c>
      <c r="D410" s="9" t="s">
        <v>1901</v>
      </c>
      <c r="E410" s="7" t="s">
        <v>2278</v>
      </c>
      <c r="F410" s="10" t="s">
        <v>2279</v>
      </c>
      <c r="G410" s="9">
        <v>4.0</v>
      </c>
      <c r="H410" s="9" t="s">
        <v>1983</v>
      </c>
      <c r="I410" s="9" t="s">
        <v>26</v>
      </c>
    </row>
    <row r="411">
      <c r="A411" s="22" t="s">
        <v>2280</v>
      </c>
      <c r="B411" s="7" t="s">
        <v>1887</v>
      </c>
      <c r="C411" s="9">
        <v>1.0</v>
      </c>
      <c r="D411" s="9" t="s">
        <v>201</v>
      </c>
      <c r="E411" s="7" t="s">
        <v>2281</v>
      </c>
      <c r="F411" s="10" t="s">
        <v>2282</v>
      </c>
      <c r="G411" s="9">
        <v>5.0</v>
      </c>
      <c r="H411" s="9" t="s">
        <v>1904</v>
      </c>
      <c r="I411" s="9" t="s">
        <v>70</v>
      </c>
      <c r="K411" s="13" t="s">
        <v>2283</v>
      </c>
    </row>
    <row r="412">
      <c r="A412" s="24" t="s">
        <v>2284</v>
      </c>
      <c r="B412" s="7" t="s">
        <v>1887</v>
      </c>
      <c r="C412" s="9">
        <v>1.0</v>
      </c>
      <c r="D412" s="9" t="s">
        <v>124</v>
      </c>
      <c r="E412" s="7" t="s">
        <v>2285</v>
      </c>
      <c r="F412" s="10" t="s">
        <v>2286</v>
      </c>
      <c r="G412" s="9">
        <v>1.0</v>
      </c>
      <c r="H412" s="9" t="s">
        <v>1914</v>
      </c>
      <c r="I412" s="21" t="s">
        <v>70</v>
      </c>
    </row>
    <row r="413">
      <c r="A413" s="22" t="s">
        <v>2287</v>
      </c>
      <c r="B413" s="7" t="s">
        <v>1887</v>
      </c>
      <c r="C413" s="9">
        <v>1.0</v>
      </c>
      <c r="D413" s="9" t="s">
        <v>2288</v>
      </c>
      <c r="E413" s="7" t="s">
        <v>2289</v>
      </c>
      <c r="F413" s="10" t="s">
        <v>2290</v>
      </c>
      <c r="G413" s="9">
        <v>2.0</v>
      </c>
      <c r="H413" s="9" t="s">
        <v>1918</v>
      </c>
      <c r="I413" s="9" t="s">
        <v>26</v>
      </c>
    </row>
    <row r="414">
      <c r="A414" s="24" t="s">
        <v>2291</v>
      </c>
      <c r="B414" s="7" t="s">
        <v>1887</v>
      </c>
      <c r="C414" s="9">
        <v>1.0</v>
      </c>
      <c r="D414" s="9" t="s">
        <v>651</v>
      </c>
      <c r="E414" s="7" t="s">
        <v>2292</v>
      </c>
      <c r="F414" s="17" t="s">
        <v>2293</v>
      </c>
      <c r="G414" s="9">
        <v>10.0</v>
      </c>
      <c r="H414" s="9" t="s">
        <v>1983</v>
      </c>
      <c r="I414" s="21" t="s">
        <v>32</v>
      </c>
    </row>
    <row r="415">
      <c r="A415" s="7" t="s">
        <v>2294</v>
      </c>
      <c r="B415" s="7" t="s">
        <v>1887</v>
      </c>
      <c r="C415" s="9">
        <v>1.0</v>
      </c>
      <c r="D415" s="9" t="s">
        <v>2295</v>
      </c>
      <c r="E415" s="7" t="s">
        <v>2296</v>
      </c>
      <c r="F415" s="10" t="s">
        <v>2297</v>
      </c>
      <c r="G415" s="9">
        <v>6.0</v>
      </c>
      <c r="H415" s="9" t="s">
        <v>1977</v>
      </c>
      <c r="I415" s="9" t="s">
        <v>32</v>
      </c>
    </row>
    <row r="416">
      <c r="A416" s="69" t="s">
        <v>2298</v>
      </c>
      <c r="B416" s="106" t="s">
        <v>1887</v>
      </c>
      <c r="C416" s="71">
        <v>1.0</v>
      </c>
      <c r="D416" s="71" t="s">
        <v>2077</v>
      </c>
      <c r="E416" s="29" t="s">
        <v>2299</v>
      </c>
      <c r="F416" s="69"/>
      <c r="G416" s="71">
        <v>6.0</v>
      </c>
      <c r="H416" s="71" t="s">
        <v>1909</v>
      </c>
      <c r="I416" s="71" t="s">
        <v>32</v>
      </c>
      <c r="J416" s="28"/>
      <c r="K416" s="28"/>
      <c r="L416" s="28"/>
      <c r="M416" s="28"/>
      <c r="N416" s="28"/>
      <c r="O416" s="28"/>
      <c r="P416" s="28"/>
      <c r="Q416" s="28"/>
      <c r="R416" s="28"/>
      <c r="S416" s="28"/>
      <c r="T416" s="28"/>
    </row>
    <row r="417">
      <c r="A417" s="7" t="s">
        <v>2300</v>
      </c>
      <c r="B417" s="7" t="s">
        <v>1887</v>
      </c>
      <c r="C417" s="9">
        <v>1.0</v>
      </c>
      <c r="D417" s="9" t="s">
        <v>1446</v>
      </c>
      <c r="F417" s="10" t="s">
        <v>2301</v>
      </c>
      <c r="G417" s="9">
        <v>1.0</v>
      </c>
      <c r="H417" s="9" t="s">
        <v>1890</v>
      </c>
      <c r="I417" s="9" t="s">
        <v>26</v>
      </c>
    </row>
    <row r="418">
      <c r="A418" s="16" t="s">
        <v>2302</v>
      </c>
      <c r="B418" s="16" t="s">
        <v>1887</v>
      </c>
      <c r="C418" s="15">
        <v>1.0</v>
      </c>
      <c r="D418" s="15" t="s">
        <v>1524</v>
      </c>
      <c r="F418" s="34"/>
      <c r="G418" s="15">
        <v>2.0</v>
      </c>
      <c r="H418" s="15" t="s">
        <v>1918</v>
      </c>
      <c r="I418" s="15" t="s">
        <v>26</v>
      </c>
    </row>
    <row r="419">
      <c r="A419" s="24" t="s">
        <v>2303</v>
      </c>
      <c r="B419" s="7" t="s">
        <v>1887</v>
      </c>
      <c r="C419" s="9">
        <v>1.0</v>
      </c>
      <c r="D419" s="9" t="s">
        <v>2073</v>
      </c>
      <c r="F419" s="10" t="s">
        <v>2304</v>
      </c>
      <c r="G419" s="9">
        <v>5.0</v>
      </c>
      <c r="H419" s="9" t="s">
        <v>1983</v>
      </c>
      <c r="I419" s="21" t="s">
        <v>26</v>
      </c>
    </row>
    <row r="420">
      <c r="A420" s="7" t="s">
        <v>2305</v>
      </c>
      <c r="B420" s="7" t="s">
        <v>1887</v>
      </c>
      <c r="C420" s="9">
        <v>1.0</v>
      </c>
      <c r="D420" s="9" t="s">
        <v>1906</v>
      </c>
      <c r="F420" s="10" t="s">
        <v>2306</v>
      </c>
      <c r="G420" s="9">
        <v>6.0</v>
      </c>
      <c r="H420" s="50" t="s">
        <v>1904</v>
      </c>
      <c r="I420" s="9" t="s">
        <v>26</v>
      </c>
    </row>
    <row r="421">
      <c r="A421" s="16" t="s">
        <v>2307</v>
      </c>
      <c r="B421" s="16" t="s">
        <v>1887</v>
      </c>
      <c r="C421" s="15">
        <v>1.0</v>
      </c>
      <c r="D421" s="15" t="s">
        <v>266</v>
      </c>
      <c r="F421" s="17" t="s">
        <v>2308</v>
      </c>
      <c r="G421" s="15">
        <v>4.0</v>
      </c>
      <c r="H421" s="15" t="s">
        <v>2034</v>
      </c>
      <c r="I421" s="15" t="s">
        <v>26</v>
      </c>
    </row>
    <row r="422">
      <c r="A422" s="16" t="s">
        <v>2309</v>
      </c>
      <c r="B422" s="16" t="s">
        <v>1887</v>
      </c>
      <c r="C422" s="15">
        <v>1.0</v>
      </c>
      <c r="D422" s="15" t="s">
        <v>302</v>
      </c>
      <c r="F422" s="34"/>
      <c r="G422" s="15">
        <v>3.0</v>
      </c>
      <c r="H422" s="9" t="s">
        <v>1914</v>
      </c>
      <c r="I422" s="15" t="s">
        <v>26</v>
      </c>
    </row>
    <row r="423">
      <c r="A423" s="16" t="s">
        <v>2310</v>
      </c>
      <c r="B423" s="16" t="s">
        <v>1887</v>
      </c>
      <c r="C423" s="15">
        <v>1.0</v>
      </c>
      <c r="D423" s="15" t="s">
        <v>2311</v>
      </c>
      <c r="E423" s="16" t="s">
        <v>60</v>
      </c>
      <c r="F423" s="34"/>
      <c r="G423" s="15">
        <v>5.0</v>
      </c>
      <c r="H423" s="9" t="s">
        <v>2312</v>
      </c>
      <c r="I423" s="15" t="s">
        <v>26</v>
      </c>
      <c r="J423" s="16" t="s">
        <v>2313</v>
      </c>
      <c r="K423" s="13" t="s">
        <v>2314</v>
      </c>
      <c r="L423" s="13" t="s">
        <v>2315</v>
      </c>
      <c r="M423" s="13" t="s">
        <v>2316</v>
      </c>
    </row>
    <row r="424">
      <c r="A424" s="31" t="s">
        <v>2317</v>
      </c>
      <c r="B424" s="16" t="s">
        <v>1887</v>
      </c>
      <c r="C424" s="15">
        <v>1.0</v>
      </c>
      <c r="D424" s="15" t="s">
        <v>813</v>
      </c>
      <c r="E424" s="31" t="s">
        <v>2318</v>
      </c>
      <c r="F424" s="34"/>
      <c r="G424" s="15">
        <v>3.0</v>
      </c>
      <c r="H424" s="16" t="s">
        <v>1904</v>
      </c>
      <c r="I424" s="9" t="s">
        <v>70</v>
      </c>
      <c r="J424" s="16" t="s">
        <v>2319</v>
      </c>
      <c r="K424" s="13" t="s">
        <v>2320</v>
      </c>
      <c r="L424" s="13" t="s">
        <v>2321</v>
      </c>
      <c r="M424" s="13" t="s">
        <v>2322</v>
      </c>
      <c r="N424" s="13" t="s">
        <v>2323</v>
      </c>
    </row>
    <row r="425">
      <c r="A425" s="16" t="s">
        <v>2324</v>
      </c>
      <c r="B425" s="16" t="s">
        <v>1887</v>
      </c>
      <c r="C425" s="15">
        <v>1.0</v>
      </c>
      <c r="D425" s="15" t="s">
        <v>1842</v>
      </c>
      <c r="E425" s="16" t="s">
        <v>2325</v>
      </c>
      <c r="F425" s="34"/>
      <c r="G425" s="15">
        <v>3.0</v>
      </c>
      <c r="H425" s="15" t="s">
        <v>2134</v>
      </c>
      <c r="I425" s="9" t="s">
        <v>70</v>
      </c>
      <c r="J425" s="16" t="s">
        <v>2326</v>
      </c>
      <c r="K425" s="13" t="s">
        <v>2327</v>
      </c>
      <c r="L425" s="13" t="s">
        <v>2328</v>
      </c>
      <c r="M425" s="13" t="s">
        <v>2329</v>
      </c>
    </row>
    <row r="426">
      <c r="A426" s="79" t="s">
        <v>2330</v>
      </c>
      <c r="B426" s="7" t="s">
        <v>1887</v>
      </c>
      <c r="C426" s="9">
        <v>1.0</v>
      </c>
      <c r="D426" s="9" t="s">
        <v>2084</v>
      </c>
      <c r="E426" s="16" t="s">
        <v>2331</v>
      </c>
      <c r="F426" s="10" t="s">
        <v>2332</v>
      </c>
      <c r="G426" s="9">
        <v>3.0</v>
      </c>
      <c r="H426" s="9" t="s">
        <v>1930</v>
      </c>
      <c r="I426" s="9" t="s">
        <v>32</v>
      </c>
      <c r="J426" s="16" t="s">
        <v>2333</v>
      </c>
      <c r="K426" s="13" t="s">
        <v>2334</v>
      </c>
      <c r="L426" s="13" t="s">
        <v>2335</v>
      </c>
      <c r="M426" s="13" t="s">
        <v>2336</v>
      </c>
    </row>
    <row r="427">
      <c r="A427" s="31" t="s">
        <v>2337</v>
      </c>
      <c r="B427" s="16" t="s">
        <v>1887</v>
      </c>
      <c r="C427" s="15">
        <v>1.0</v>
      </c>
      <c r="D427" s="15" t="s">
        <v>1365</v>
      </c>
      <c r="E427" s="16" t="s">
        <v>2338</v>
      </c>
      <c r="F427" s="34"/>
      <c r="G427" s="15">
        <v>4.0</v>
      </c>
      <c r="H427" s="9" t="s">
        <v>2034</v>
      </c>
      <c r="I427" s="9" t="s">
        <v>32</v>
      </c>
      <c r="J427" s="16" t="s">
        <v>2339</v>
      </c>
      <c r="K427" s="13" t="s">
        <v>2340</v>
      </c>
      <c r="L427" s="13" t="s">
        <v>2341</v>
      </c>
      <c r="M427" s="13" t="s">
        <v>2342</v>
      </c>
      <c r="N427" s="13" t="s">
        <v>2343</v>
      </c>
    </row>
    <row r="428">
      <c r="A428" s="31" t="s">
        <v>2344</v>
      </c>
      <c r="B428" s="16" t="s">
        <v>1887</v>
      </c>
      <c r="C428" s="15">
        <v>1.0</v>
      </c>
      <c r="D428" s="15" t="s">
        <v>360</v>
      </c>
      <c r="E428" s="16" t="s">
        <v>2345</v>
      </c>
      <c r="F428" s="17" t="s">
        <v>2346</v>
      </c>
      <c r="G428" s="15">
        <v>3.0</v>
      </c>
      <c r="H428" s="15" t="s">
        <v>1918</v>
      </c>
      <c r="I428" s="15" t="s">
        <v>32</v>
      </c>
      <c r="J428" s="16" t="s">
        <v>2347</v>
      </c>
      <c r="K428" s="13" t="s">
        <v>2348</v>
      </c>
      <c r="L428" s="13" t="s">
        <v>2349</v>
      </c>
      <c r="M428" s="13" t="s">
        <v>2350</v>
      </c>
    </row>
    <row r="429">
      <c r="A429" s="16" t="s">
        <v>2351</v>
      </c>
      <c r="B429" s="16" t="s">
        <v>1887</v>
      </c>
      <c r="C429" s="15">
        <v>1.0</v>
      </c>
      <c r="D429" s="15" t="s">
        <v>1837</v>
      </c>
      <c r="E429" s="16" t="s">
        <v>2352</v>
      </c>
      <c r="F429" s="34"/>
      <c r="G429" s="15">
        <v>2.0</v>
      </c>
      <c r="H429" s="15" t="s">
        <v>2134</v>
      </c>
      <c r="I429" s="15" t="s">
        <v>32</v>
      </c>
      <c r="J429" s="16" t="s">
        <v>2353</v>
      </c>
      <c r="K429" s="13" t="s">
        <v>2354</v>
      </c>
      <c r="L429" s="13" t="s">
        <v>2355</v>
      </c>
      <c r="M429" s="13" t="s">
        <v>2356</v>
      </c>
      <c r="N429" s="13" t="s">
        <v>2357</v>
      </c>
    </row>
    <row r="430">
      <c r="A430" s="16" t="s">
        <v>2358</v>
      </c>
      <c r="B430" s="91" t="s">
        <v>1887</v>
      </c>
      <c r="C430" s="15">
        <v>1.0</v>
      </c>
      <c r="D430" s="15" t="s">
        <v>651</v>
      </c>
      <c r="E430" s="16" t="s">
        <v>2359</v>
      </c>
      <c r="F430" s="17" t="s">
        <v>2360</v>
      </c>
      <c r="G430" s="15">
        <v>3.0</v>
      </c>
      <c r="H430" s="9" t="s">
        <v>1914</v>
      </c>
      <c r="I430" s="15" t="s">
        <v>32</v>
      </c>
      <c r="J430" s="16" t="s">
        <v>2361</v>
      </c>
      <c r="K430" s="13" t="s">
        <v>2362</v>
      </c>
      <c r="L430" s="13" t="s">
        <v>2363</v>
      </c>
      <c r="M430" s="13" t="s">
        <v>2364</v>
      </c>
      <c r="N430" s="13" t="s">
        <v>2365</v>
      </c>
      <c r="O430" s="13" t="s">
        <v>2366</v>
      </c>
      <c r="P430" s="13" t="s">
        <v>2367</v>
      </c>
      <c r="Q430" s="13" t="s">
        <v>2368</v>
      </c>
      <c r="R430" s="13" t="s">
        <v>2369</v>
      </c>
    </row>
    <row r="431">
      <c r="A431" s="107" t="s">
        <v>2370</v>
      </c>
      <c r="B431" s="7"/>
      <c r="C431" s="9">
        <v>1.0</v>
      </c>
      <c r="D431" s="21" t="s">
        <v>80</v>
      </c>
      <c r="F431" s="10" t="s">
        <v>2371</v>
      </c>
      <c r="G431" s="9">
        <v>3.0</v>
      </c>
      <c r="H431" s="9" t="s">
        <v>2108</v>
      </c>
      <c r="I431" s="21" t="s">
        <v>26</v>
      </c>
      <c r="J431" s="16" t="s">
        <v>2372</v>
      </c>
      <c r="K431" s="13" t="s">
        <v>2373</v>
      </c>
      <c r="L431" s="13" t="s">
        <v>2374</v>
      </c>
      <c r="M431" s="13" t="s">
        <v>2375</v>
      </c>
    </row>
    <row r="432">
      <c r="A432" s="7" t="s">
        <v>2376</v>
      </c>
      <c r="B432" s="7"/>
      <c r="C432" s="9">
        <v>1.0</v>
      </c>
      <c r="D432" s="9" t="s">
        <v>59</v>
      </c>
      <c r="F432" s="10" t="s">
        <v>2377</v>
      </c>
      <c r="G432" s="9">
        <v>6.0</v>
      </c>
      <c r="H432" s="9" t="s">
        <v>2378</v>
      </c>
      <c r="I432" s="9" t="s">
        <v>26</v>
      </c>
      <c r="J432" s="16" t="s">
        <v>2379</v>
      </c>
      <c r="K432" s="13" t="s">
        <v>2380</v>
      </c>
      <c r="L432" s="13" t="s">
        <v>2381</v>
      </c>
    </row>
    <row r="433">
      <c r="A433" s="54" t="s">
        <v>2382</v>
      </c>
      <c r="B433" s="7" t="s">
        <v>21</v>
      </c>
      <c r="C433" s="9">
        <v>1.0</v>
      </c>
      <c r="D433" s="9" t="s">
        <v>242</v>
      </c>
      <c r="E433" s="16" t="s">
        <v>2383</v>
      </c>
      <c r="F433" s="10"/>
      <c r="G433" s="9">
        <v>4.0</v>
      </c>
      <c r="H433" s="9" t="s">
        <v>268</v>
      </c>
      <c r="I433" s="9" t="s">
        <v>26</v>
      </c>
      <c r="J433" s="16" t="s">
        <v>2384</v>
      </c>
      <c r="K433" s="13" t="s">
        <v>2385</v>
      </c>
      <c r="L433" s="13" t="s">
        <v>2386</v>
      </c>
      <c r="M433" s="13" t="s">
        <v>2387</v>
      </c>
      <c r="N433" s="13" t="s">
        <v>2388</v>
      </c>
      <c r="O433" s="13" t="s">
        <v>2389</v>
      </c>
      <c r="P433" s="13" t="s">
        <v>2390</v>
      </c>
      <c r="Q433" s="13" t="s">
        <v>2391</v>
      </c>
      <c r="R433" s="13" t="s">
        <v>2392</v>
      </c>
    </row>
    <row r="434">
      <c r="A434" s="16" t="s">
        <v>2393</v>
      </c>
      <c r="B434" s="7"/>
      <c r="C434" s="9">
        <v>1.0</v>
      </c>
      <c r="D434" s="15" t="s">
        <v>111</v>
      </c>
      <c r="E434" s="7" t="s">
        <v>2394</v>
      </c>
      <c r="F434" s="10" t="s">
        <v>2395</v>
      </c>
      <c r="G434" s="9">
        <v>3.0</v>
      </c>
      <c r="H434" s="9" t="s">
        <v>2108</v>
      </c>
      <c r="I434" s="9" t="s">
        <v>32</v>
      </c>
      <c r="J434" s="16" t="s">
        <v>2396</v>
      </c>
      <c r="K434" s="13" t="s">
        <v>2397</v>
      </c>
      <c r="L434" s="13" t="s">
        <v>2398</v>
      </c>
    </row>
    <row r="435">
      <c r="A435" s="7" t="s">
        <v>2399</v>
      </c>
      <c r="B435" s="7"/>
      <c r="C435" s="15">
        <v>1.0</v>
      </c>
      <c r="D435" s="9"/>
      <c r="E435" s="7" t="s">
        <v>2400</v>
      </c>
      <c r="F435" s="10" t="s">
        <v>2401</v>
      </c>
      <c r="G435" s="9">
        <v>2.0</v>
      </c>
      <c r="H435" s="9" t="s">
        <v>2402</v>
      </c>
      <c r="I435" s="9" t="s">
        <v>32</v>
      </c>
      <c r="J435" s="16" t="s">
        <v>2403</v>
      </c>
      <c r="K435" s="13" t="s">
        <v>2404</v>
      </c>
      <c r="L435" s="13" t="s">
        <v>2405</v>
      </c>
    </row>
    <row r="436">
      <c r="A436" s="7" t="s">
        <v>2406</v>
      </c>
      <c r="B436" s="16"/>
      <c r="C436" s="15">
        <v>1.0</v>
      </c>
      <c r="D436" s="9"/>
      <c r="E436" s="7" t="s">
        <v>2407</v>
      </c>
      <c r="F436" s="10" t="s">
        <v>2408</v>
      </c>
      <c r="G436" s="9">
        <v>2.0</v>
      </c>
      <c r="H436" s="9" t="s">
        <v>2402</v>
      </c>
      <c r="I436" s="9" t="s">
        <v>32</v>
      </c>
      <c r="J436" s="16" t="s">
        <v>2409</v>
      </c>
      <c r="K436" s="13" t="s">
        <v>2410</v>
      </c>
      <c r="L436" s="13" t="s">
        <v>2411</v>
      </c>
      <c r="M436" s="13" t="s">
        <v>2412</v>
      </c>
      <c r="N436" s="13" t="s">
        <v>2413</v>
      </c>
    </row>
    <row r="437" hidden="1">
      <c r="A437" s="16" t="s">
        <v>2414</v>
      </c>
      <c r="B437" s="16" t="s">
        <v>1501</v>
      </c>
      <c r="C437" s="15">
        <v>0.0</v>
      </c>
      <c r="D437" s="15" t="s">
        <v>387</v>
      </c>
      <c r="E437" s="16" t="s">
        <v>2415</v>
      </c>
      <c r="F437" s="34"/>
      <c r="G437" s="15">
        <v>6.0</v>
      </c>
      <c r="H437" s="15" t="s">
        <v>1535</v>
      </c>
      <c r="I437" s="15" t="s">
        <v>32</v>
      </c>
    </row>
    <row r="438" hidden="1">
      <c r="A438" s="16" t="s">
        <v>2416</v>
      </c>
      <c r="B438" s="16" t="s">
        <v>1501</v>
      </c>
      <c r="C438" s="15">
        <v>0.0</v>
      </c>
      <c r="D438" s="15" t="s">
        <v>387</v>
      </c>
      <c r="E438" s="16" t="s">
        <v>2417</v>
      </c>
      <c r="F438" s="34"/>
      <c r="G438" s="15">
        <v>4.0</v>
      </c>
      <c r="H438" s="15" t="s">
        <v>1704</v>
      </c>
      <c r="I438" s="15" t="s">
        <v>70</v>
      </c>
    </row>
    <row r="439" hidden="1">
      <c r="C439" s="103"/>
      <c r="D439" s="103"/>
      <c r="F439" s="34"/>
      <c r="G439" s="103"/>
      <c r="H439" s="103"/>
      <c r="I439" s="103"/>
    </row>
    <row r="440" hidden="1">
      <c r="C440" s="103"/>
      <c r="D440" s="103"/>
      <c r="F440" s="34"/>
      <c r="G440" s="103"/>
      <c r="H440" s="103"/>
      <c r="I440" s="103"/>
    </row>
    <row r="441" hidden="1">
      <c r="C441" s="103"/>
      <c r="D441" s="103"/>
      <c r="F441" s="34"/>
      <c r="G441" s="103"/>
      <c r="H441" s="103"/>
      <c r="I441" s="103"/>
    </row>
    <row r="442" hidden="1">
      <c r="C442" s="103"/>
      <c r="D442" s="103"/>
      <c r="F442" s="34"/>
      <c r="G442" s="103"/>
      <c r="H442" s="103"/>
      <c r="I442" s="103"/>
    </row>
    <row r="443" hidden="1">
      <c r="C443" s="103"/>
      <c r="D443" s="103"/>
      <c r="F443" s="34"/>
      <c r="G443" s="103"/>
      <c r="H443" s="103"/>
      <c r="I443" s="103"/>
    </row>
    <row r="444" hidden="1">
      <c r="C444" s="103"/>
      <c r="D444" s="103"/>
      <c r="F444" s="34"/>
      <c r="G444" s="103"/>
      <c r="H444" s="103"/>
      <c r="I444" s="103"/>
    </row>
    <row r="445" hidden="1">
      <c r="C445" s="103"/>
      <c r="D445" s="103"/>
      <c r="F445" s="34"/>
      <c r="G445" s="103"/>
      <c r="H445" s="103"/>
      <c r="I445" s="103"/>
    </row>
    <row r="446" hidden="1">
      <c r="C446" s="103"/>
      <c r="D446" s="103"/>
      <c r="F446" s="34"/>
      <c r="G446" s="103"/>
      <c r="H446" s="103"/>
      <c r="I446" s="103"/>
    </row>
    <row r="447" hidden="1">
      <c r="C447" s="103"/>
      <c r="D447" s="103"/>
      <c r="F447" s="34"/>
      <c r="G447" s="103"/>
      <c r="H447" s="103"/>
      <c r="I447" s="103"/>
    </row>
    <row r="448" hidden="1">
      <c r="C448" s="103"/>
      <c r="D448" s="103"/>
      <c r="F448" s="34"/>
      <c r="G448" s="103"/>
      <c r="H448" s="103"/>
      <c r="I448" s="103"/>
    </row>
    <row r="449" hidden="1">
      <c r="C449" s="103"/>
      <c r="D449" s="103"/>
      <c r="F449" s="34"/>
      <c r="G449" s="103"/>
      <c r="H449" s="103"/>
      <c r="I449" s="103"/>
    </row>
    <row r="450" hidden="1">
      <c r="C450" s="103"/>
      <c r="D450" s="103"/>
      <c r="F450" s="34"/>
      <c r="G450" s="103"/>
      <c r="H450" s="103"/>
      <c r="I450" s="103"/>
    </row>
    <row r="451" hidden="1">
      <c r="C451" s="103"/>
      <c r="D451" s="103"/>
      <c r="F451" s="34"/>
      <c r="G451" s="103"/>
      <c r="H451" s="103"/>
      <c r="I451" s="103"/>
    </row>
    <row r="452" hidden="1">
      <c r="C452" s="103"/>
      <c r="D452" s="103"/>
      <c r="F452" s="34"/>
      <c r="G452" s="103"/>
      <c r="H452" s="103"/>
      <c r="I452" s="103"/>
    </row>
    <row r="453" hidden="1">
      <c r="C453" s="103"/>
      <c r="D453" s="103"/>
      <c r="F453" s="34"/>
      <c r="G453" s="103"/>
      <c r="H453" s="103"/>
      <c r="I453" s="103"/>
    </row>
    <row r="454" hidden="1">
      <c r="C454" s="103"/>
      <c r="D454" s="103"/>
      <c r="F454" s="34"/>
      <c r="G454" s="103"/>
      <c r="H454" s="103"/>
      <c r="I454" s="103"/>
    </row>
    <row r="455" hidden="1">
      <c r="C455" s="103"/>
      <c r="D455" s="103"/>
      <c r="F455" s="34"/>
      <c r="G455" s="103"/>
      <c r="H455" s="103"/>
      <c r="I455" s="103"/>
    </row>
    <row r="456" hidden="1">
      <c r="C456" s="103"/>
      <c r="D456" s="103"/>
      <c r="F456" s="34"/>
      <c r="G456" s="103"/>
      <c r="H456" s="103"/>
      <c r="I456" s="103"/>
    </row>
    <row r="457" hidden="1">
      <c r="C457" s="103"/>
      <c r="D457" s="103"/>
      <c r="F457" s="34"/>
      <c r="G457" s="103"/>
      <c r="H457" s="103"/>
      <c r="I457" s="103"/>
    </row>
    <row r="458" hidden="1">
      <c r="C458" s="103"/>
      <c r="D458" s="103"/>
      <c r="F458" s="34"/>
      <c r="G458" s="103"/>
      <c r="H458" s="103"/>
      <c r="I458" s="103"/>
    </row>
    <row r="459" hidden="1">
      <c r="C459" s="103"/>
      <c r="D459" s="103"/>
      <c r="F459" s="34"/>
      <c r="G459" s="103"/>
      <c r="H459" s="103"/>
      <c r="I459" s="103"/>
    </row>
    <row r="460" hidden="1">
      <c r="C460" s="103"/>
      <c r="D460" s="103"/>
      <c r="F460" s="34"/>
      <c r="G460" s="103"/>
      <c r="H460" s="103"/>
      <c r="I460" s="103"/>
    </row>
    <row r="461" hidden="1">
      <c r="C461" s="103"/>
      <c r="D461" s="103"/>
      <c r="F461" s="34"/>
      <c r="G461" s="103"/>
      <c r="H461" s="103"/>
      <c r="I461" s="103"/>
    </row>
    <row r="462" hidden="1">
      <c r="C462" s="103"/>
      <c r="D462" s="103"/>
      <c r="F462" s="34"/>
      <c r="G462" s="103"/>
      <c r="H462" s="103"/>
      <c r="I462" s="103"/>
    </row>
    <row r="463" hidden="1">
      <c r="C463" s="103"/>
      <c r="D463" s="103"/>
      <c r="F463" s="34"/>
      <c r="G463" s="103"/>
      <c r="H463" s="103"/>
      <c r="I463" s="103"/>
    </row>
    <row r="464" hidden="1">
      <c r="C464" s="103"/>
      <c r="D464" s="103"/>
      <c r="F464" s="34"/>
      <c r="G464" s="103"/>
      <c r="H464" s="103"/>
      <c r="I464" s="103"/>
    </row>
    <row r="465" hidden="1">
      <c r="C465" s="103"/>
      <c r="D465" s="103"/>
      <c r="F465" s="34"/>
      <c r="G465" s="103"/>
      <c r="H465" s="103"/>
      <c r="I465" s="103"/>
    </row>
    <row r="466" hidden="1">
      <c r="C466" s="103"/>
      <c r="D466" s="103"/>
      <c r="F466" s="34"/>
      <c r="G466" s="103"/>
      <c r="H466" s="103"/>
      <c r="I466" s="103"/>
    </row>
    <row r="467" hidden="1">
      <c r="C467" s="103"/>
      <c r="D467" s="103"/>
      <c r="F467" s="34"/>
      <c r="G467" s="103"/>
      <c r="H467" s="103"/>
      <c r="I467" s="103"/>
    </row>
    <row r="468" hidden="1">
      <c r="C468" s="103"/>
      <c r="D468" s="103"/>
      <c r="F468" s="34"/>
      <c r="G468" s="103"/>
      <c r="H468" s="103"/>
      <c r="I468" s="103"/>
    </row>
    <row r="469" hidden="1">
      <c r="C469" s="103"/>
      <c r="D469" s="103"/>
      <c r="F469" s="34"/>
      <c r="G469" s="103"/>
      <c r="H469" s="103"/>
      <c r="I469" s="103"/>
    </row>
    <row r="470" hidden="1">
      <c r="C470" s="103"/>
      <c r="D470" s="103"/>
      <c r="F470" s="34"/>
      <c r="G470" s="103"/>
      <c r="H470" s="103"/>
      <c r="I470" s="103"/>
    </row>
    <row r="471" hidden="1">
      <c r="C471" s="103"/>
      <c r="D471" s="103"/>
      <c r="F471" s="34"/>
      <c r="G471" s="103"/>
      <c r="H471" s="103"/>
      <c r="I471" s="103"/>
    </row>
    <row r="472" hidden="1">
      <c r="C472" s="103"/>
      <c r="D472" s="103"/>
      <c r="F472" s="34"/>
      <c r="G472" s="103"/>
      <c r="H472" s="103"/>
      <c r="I472" s="103"/>
    </row>
    <row r="473" hidden="1">
      <c r="C473" s="103"/>
      <c r="D473" s="103"/>
      <c r="F473" s="34"/>
      <c r="G473" s="103"/>
      <c r="H473" s="103"/>
      <c r="I473" s="103"/>
    </row>
    <row r="474" hidden="1">
      <c r="C474" s="103"/>
      <c r="D474" s="103"/>
      <c r="F474" s="34"/>
      <c r="G474" s="103"/>
      <c r="H474" s="103"/>
      <c r="I474" s="103"/>
    </row>
    <row r="475" hidden="1">
      <c r="C475" s="103"/>
      <c r="D475" s="103"/>
      <c r="F475" s="34"/>
      <c r="G475" s="103"/>
      <c r="H475" s="103"/>
      <c r="I475" s="103"/>
    </row>
    <row r="476" hidden="1">
      <c r="C476" s="103"/>
      <c r="D476" s="103"/>
      <c r="F476" s="34"/>
      <c r="G476" s="103"/>
      <c r="H476" s="103"/>
      <c r="I476" s="103"/>
    </row>
    <row r="477" hidden="1">
      <c r="C477" s="103"/>
      <c r="D477" s="103"/>
      <c r="F477" s="34"/>
      <c r="G477" s="103"/>
      <c r="H477" s="103"/>
      <c r="I477" s="103"/>
    </row>
    <row r="478" hidden="1">
      <c r="C478" s="103"/>
      <c r="D478" s="103"/>
      <c r="F478" s="34"/>
      <c r="G478" s="103"/>
      <c r="H478" s="103"/>
      <c r="I478" s="103"/>
    </row>
    <row r="479" hidden="1">
      <c r="C479" s="103"/>
      <c r="D479" s="103"/>
      <c r="F479" s="34"/>
      <c r="G479" s="103"/>
      <c r="H479" s="103"/>
      <c r="I479" s="103"/>
    </row>
    <row r="480" hidden="1">
      <c r="C480" s="103"/>
      <c r="D480" s="103"/>
      <c r="F480" s="34"/>
      <c r="G480" s="103"/>
      <c r="H480" s="103"/>
      <c r="I480" s="103"/>
    </row>
    <row r="481" hidden="1">
      <c r="C481" s="103"/>
      <c r="D481" s="103"/>
      <c r="F481" s="34"/>
      <c r="G481" s="103"/>
      <c r="H481" s="103"/>
      <c r="I481" s="103"/>
    </row>
    <row r="482" hidden="1">
      <c r="C482" s="103"/>
      <c r="D482" s="103"/>
      <c r="F482" s="34"/>
      <c r="G482" s="103"/>
      <c r="H482" s="103"/>
      <c r="I482" s="103"/>
    </row>
    <row r="483" hidden="1">
      <c r="C483" s="103"/>
      <c r="D483" s="103"/>
      <c r="F483" s="34"/>
      <c r="G483" s="103"/>
      <c r="H483" s="103"/>
      <c r="I483" s="103"/>
    </row>
    <row r="484" hidden="1">
      <c r="C484" s="103"/>
      <c r="D484" s="103"/>
      <c r="F484" s="34"/>
      <c r="G484" s="103"/>
      <c r="H484" s="103"/>
      <c r="I484" s="103"/>
    </row>
    <row r="485" hidden="1">
      <c r="C485" s="103"/>
      <c r="D485" s="103"/>
      <c r="F485" s="34"/>
      <c r="G485" s="103"/>
      <c r="H485" s="103"/>
      <c r="I485" s="103"/>
    </row>
    <row r="486" hidden="1">
      <c r="C486" s="103"/>
      <c r="D486" s="103"/>
      <c r="F486" s="34"/>
      <c r="G486" s="103"/>
      <c r="H486" s="103"/>
      <c r="I486" s="103"/>
    </row>
    <row r="487" hidden="1">
      <c r="C487" s="103"/>
      <c r="D487" s="103"/>
      <c r="F487" s="34"/>
      <c r="G487" s="103"/>
      <c r="H487" s="103"/>
      <c r="I487" s="103"/>
    </row>
    <row r="488" hidden="1">
      <c r="C488" s="103"/>
      <c r="D488" s="103"/>
      <c r="F488" s="34"/>
      <c r="G488" s="103"/>
      <c r="H488" s="103"/>
      <c r="I488" s="103"/>
    </row>
    <row r="489" hidden="1">
      <c r="C489" s="103"/>
      <c r="D489" s="103"/>
      <c r="F489" s="34"/>
      <c r="G489" s="103"/>
      <c r="H489" s="103"/>
      <c r="I489" s="103"/>
    </row>
    <row r="490" hidden="1">
      <c r="C490" s="103"/>
      <c r="D490" s="103"/>
      <c r="F490" s="34"/>
      <c r="G490" s="103"/>
      <c r="H490" s="103"/>
      <c r="I490" s="103"/>
    </row>
    <row r="491" hidden="1">
      <c r="C491" s="103"/>
      <c r="D491" s="103"/>
      <c r="F491" s="34"/>
      <c r="G491" s="103"/>
      <c r="H491" s="103"/>
      <c r="I491" s="103"/>
    </row>
    <row r="492" hidden="1">
      <c r="C492" s="103"/>
      <c r="D492" s="103"/>
      <c r="F492" s="34"/>
      <c r="G492" s="103"/>
      <c r="H492" s="103"/>
      <c r="I492" s="103"/>
    </row>
    <row r="493" hidden="1">
      <c r="C493" s="103"/>
      <c r="D493" s="103"/>
      <c r="F493" s="34"/>
      <c r="G493" s="103"/>
      <c r="H493" s="103"/>
      <c r="I493" s="103"/>
    </row>
    <row r="494" hidden="1">
      <c r="C494" s="103"/>
      <c r="D494" s="103"/>
      <c r="F494" s="34"/>
      <c r="G494" s="103"/>
      <c r="H494" s="103"/>
      <c r="I494" s="103"/>
    </row>
    <row r="495" hidden="1">
      <c r="C495" s="103"/>
      <c r="D495" s="103"/>
      <c r="F495" s="34"/>
      <c r="G495" s="103"/>
      <c r="H495" s="103"/>
      <c r="I495" s="103"/>
    </row>
    <row r="496" hidden="1">
      <c r="C496" s="103"/>
      <c r="D496" s="103"/>
      <c r="F496" s="34"/>
      <c r="G496" s="103"/>
      <c r="H496" s="103"/>
      <c r="I496" s="103"/>
    </row>
    <row r="497" hidden="1">
      <c r="C497" s="103"/>
      <c r="D497" s="103"/>
      <c r="F497" s="34"/>
      <c r="G497" s="103"/>
      <c r="H497" s="103"/>
      <c r="I497" s="103"/>
    </row>
    <row r="498" hidden="1">
      <c r="C498" s="103"/>
      <c r="D498" s="103"/>
      <c r="F498" s="34"/>
      <c r="G498" s="103"/>
      <c r="H498" s="103"/>
      <c r="I498" s="103"/>
    </row>
    <row r="499" hidden="1">
      <c r="C499" s="103"/>
      <c r="D499" s="103"/>
      <c r="F499" s="34"/>
      <c r="G499" s="103"/>
      <c r="H499" s="103"/>
      <c r="I499" s="103"/>
    </row>
    <row r="500" hidden="1">
      <c r="C500" s="103"/>
      <c r="D500" s="103"/>
      <c r="F500" s="34"/>
      <c r="G500" s="103"/>
      <c r="H500" s="103"/>
      <c r="I500" s="103"/>
    </row>
    <row r="501" hidden="1">
      <c r="C501" s="103"/>
      <c r="D501" s="103"/>
      <c r="F501" s="34"/>
      <c r="G501" s="103"/>
      <c r="H501" s="103"/>
      <c r="I501" s="103"/>
    </row>
    <row r="502" hidden="1">
      <c r="C502" s="103"/>
      <c r="D502" s="103"/>
      <c r="F502" s="34"/>
      <c r="G502" s="103"/>
      <c r="H502" s="103"/>
      <c r="I502" s="103"/>
    </row>
    <row r="503" hidden="1">
      <c r="C503" s="103"/>
      <c r="D503" s="103"/>
      <c r="F503" s="34"/>
      <c r="G503" s="103"/>
      <c r="H503" s="103"/>
      <c r="I503" s="103"/>
    </row>
    <row r="504" hidden="1">
      <c r="C504" s="103"/>
      <c r="D504" s="103"/>
      <c r="F504" s="34"/>
      <c r="G504" s="103"/>
      <c r="H504" s="103"/>
      <c r="I504" s="103"/>
    </row>
    <row r="505" hidden="1">
      <c r="C505" s="103"/>
      <c r="D505" s="103"/>
      <c r="F505" s="34"/>
      <c r="G505" s="103"/>
      <c r="H505" s="103"/>
      <c r="I505" s="103"/>
    </row>
    <row r="506" hidden="1">
      <c r="C506" s="103"/>
      <c r="D506" s="103"/>
      <c r="F506" s="34"/>
      <c r="G506" s="103"/>
      <c r="H506" s="103"/>
      <c r="I506" s="103"/>
    </row>
    <row r="507" hidden="1">
      <c r="C507" s="103"/>
      <c r="D507" s="103"/>
      <c r="F507" s="34"/>
      <c r="G507" s="103"/>
      <c r="H507" s="103"/>
      <c r="I507" s="103"/>
    </row>
    <row r="508" hidden="1">
      <c r="C508" s="103"/>
      <c r="D508" s="103"/>
      <c r="F508" s="34"/>
      <c r="G508" s="103"/>
      <c r="H508" s="103"/>
      <c r="I508" s="103"/>
    </row>
    <row r="509" hidden="1">
      <c r="C509" s="103"/>
      <c r="D509" s="103"/>
      <c r="F509" s="34"/>
      <c r="G509" s="103"/>
      <c r="H509" s="103"/>
      <c r="I509" s="103"/>
    </row>
    <row r="510" hidden="1">
      <c r="C510" s="103"/>
      <c r="D510" s="103"/>
      <c r="F510" s="34"/>
      <c r="G510" s="103"/>
      <c r="H510" s="103"/>
      <c r="I510" s="103"/>
    </row>
    <row r="511" hidden="1">
      <c r="C511" s="103"/>
      <c r="D511" s="103"/>
      <c r="F511" s="34"/>
      <c r="G511" s="103"/>
      <c r="H511" s="103"/>
      <c r="I511" s="103"/>
    </row>
    <row r="512" hidden="1">
      <c r="C512" s="103"/>
      <c r="D512" s="103"/>
      <c r="F512" s="34"/>
      <c r="G512" s="103"/>
      <c r="H512" s="103"/>
      <c r="I512" s="103"/>
    </row>
    <row r="513" hidden="1">
      <c r="C513" s="103"/>
      <c r="D513" s="103"/>
      <c r="F513" s="34"/>
      <c r="G513" s="103"/>
      <c r="H513" s="103"/>
      <c r="I513" s="103"/>
    </row>
    <row r="514" hidden="1">
      <c r="C514" s="103"/>
      <c r="D514" s="103"/>
      <c r="F514" s="34"/>
      <c r="G514" s="103"/>
      <c r="H514" s="103"/>
      <c r="I514" s="103"/>
    </row>
    <row r="515" hidden="1">
      <c r="C515" s="103"/>
      <c r="D515" s="103"/>
      <c r="F515" s="34"/>
      <c r="G515" s="103"/>
      <c r="H515" s="103"/>
      <c r="I515" s="103"/>
    </row>
    <row r="516" hidden="1">
      <c r="C516" s="103"/>
      <c r="D516" s="103"/>
      <c r="F516" s="34"/>
      <c r="G516" s="103"/>
      <c r="H516" s="103"/>
      <c r="I516" s="103"/>
    </row>
    <row r="517" hidden="1">
      <c r="C517" s="103"/>
      <c r="D517" s="103"/>
      <c r="F517" s="34"/>
      <c r="G517" s="103"/>
      <c r="H517" s="103"/>
      <c r="I517" s="103"/>
    </row>
    <row r="518" hidden="1">
      <c r="C518" s="103"/>
      <c r="D518" s="103"/>
      <c r="F518" s="34"/>
      <c r="G518" s="103"/>
      <c r="H518" s="103"/>
      <c r="I518" s="103"/>
    </row>
    <row r="519" hidden="1">
      <c r="C519" s="103"/>
      <c r="D519" s="103"/>
      <c r="F519" s="34"/>
      <c r="G519" s="103"/>
      <c r="H519" s="103"/>
      <c r="I519" s="103"/>
    </row>
    <row r="520" hidden="1">
      <c r="C520" s="103"/>
      <c r="D520" s="103"/>
      <c r="F520" s="34"/>
      <c r="G520" s="103"/>
      <c r="H520" s="103"/>
      <c r="I520" s="103"/>
    </row>
    <row r="521" hidden="1">
      <c r="C521" s="103"/>
      <c r="D521" s="103"/>
      <c r="F521" s="34"/>
      <c r="G521" s="103"/>
      <c r="H521" s="103"/>
      <c r="I521" s="103"/>
    </row>
    <row r="522" hidden="1">
      <c r="C522" s="103"/>
      <c r="D522" s="103"/>
      <c r="F522" s="34"/>
      <c r="G522" s="103"/>
      <c r="H522" s="103"/>
      <c r="I522" s="103"/>
    </row>
    <row r="523" hidden="1">
      <c r="C523" s="103"/>
      <c r="D523" s="103"/>
      <c r="F523" s="34"/>
      <c r="G523" s="103"/>
      <c r="H523" s="103"/>
      <c r="I523" s="103"/>
    </row>
    <row r="524" hidden="1">
      <c r="C524" s="103"/>
      <c r="D524" s="103"/>
      <c r="F524" s="34"/>
      <c r="G524" s="103"/>
      <c r="H524" s="103"/>
      <c r="I524" s="103"/>
    </row>
    <row r="525" hidden="1">
      <c r="C525" s="103"/>
      <c r="D525" s="103"/>
      <c r="F525" s="34"/>
      <c r="G525" s="103"/>
      <c r="H525" s="103"/>
      <c r="I525" s="103"/>
    </row>
    <row r="526" hidden="1">
      <c r="C526" s="103"/>
      <c r="D526" s="103"/>
      <c r="F526" s="34"/>
      <c r="G526" s="103"/>
      <c r="H526" s="103"/>
      <c r="I526" s="103"/>
    </row>
    <row r="527" hidden="1">
      <c r="C527" s="103"/>
      <c r="D527" s="103"/>
      <c r="F527" s="34"/>
      <c r="G527" s="103"/>
      <c r="H527" s="103"/>
      <c r="I527" s="103"/>
    </row>
    <row r="528" hidden="1">
      <c r="C528" s="103"/>
      <c r="D528" s="103"/>
      <c r="F528" s="34"/>
      <c r="G528" s="103"/>
      <c r="H528" s="103"/>
      <c r="I528" s="103"/>
    </row>
    <row r="529" hidden="1">
      <c r="C529" s="103"/>
      <c r="D529" s="103"/>
      <c r="F529" s="34"/>
      <c r="G529" s="103"/>
      <c r="H529" s="103"/>
      <c r="I529" s="103"/>
    </row>
    <row r="530" hidden="1">
      <c r="C530" s="103"/>
      <c r="D530" s="103"/>
      <c r="F530" s="34"/>
      <c r="G530" s="103"/>
      <c r="H530" s="103"/>
      <c r="I530" s="103"/>
    </row>
    <row r="531" hidden="1">
      <c r="C531" s="103"/>
      <c r="D531" s="103"/>
      <c r="F531" s="34"/>
      <c r="G531" s="103"/>
      <c r="H531" s="103"/>
      <c r="I531" s="103"/>
    </row>
    <row r="532" hidden="1">
      <c r="C532" s="103"/>
      <c r="D532" s="103"/>
      <c r="F532" s="34"/>
      <c r="G532" s="103"/>
      <c r="H532" s="103"/>
      <c r="I532" s="103"/>
    </row>
    <row r="533" hidden="1">
      <c r="C533" s="103"/>
      <c r="D533" s="103"/>
      <c r="F533" s="34"/>
      <c r="G533" s="103"/>
      <c r="H533" s="103"/>
      <c r="I533" s="103"/>
    </row>
    <row r="534" hidden="1">
      <c r="C534" s="103"/>
      <c r="D534" s="103"/>
      <c r="F534" s="34"/>
      <c r="G534" s="103"/>
      <c r="H534" s="103"/>
      <c r="I534" s="103"/>
    </row>
    <row r="535" hidden="1">
      <c r="C535" s="103"/>
      <c r="D535" s="103"/>
      <c r="F535" s="34"/>
      <c r="G535" s="103"/>
      <c r="H535" s="103"/>
      <c r="I535" s="103"/>
    </row>
    <row r="536" hidden="1">
      <c r="C536" s="103"/>
      <c r="D536" s="103"/>
      <c r="F536" s="34"/>
      <c r="G536" s="103"/>
      <c r="H536" s="103"/>
      <c r="I536" s="103"/>
    </row>
    <row r="537" hidden="1">
      <c r="C537" s="103"/>
      <c r="D537" s="103"/>
      <c r="F537" s="34"/>
      <c r="G537" s="103"/>
      <c r="H537" s="103"/>
      <c r="I537" s="103"/>
    </row>
    <row r="538" hidden="1">
      <c r="C538" s="103"/>
      <c r="D538" s="103"/>
      <c r="F538" s="34"/>
      <c r="G538" s="103"/>
      <c r="H538" s="103"/>
      <c r="I538" s="103"/>
    </row>
    <row r="539" hidden="1">
      <c r="C539" s="103"/>
      <c r="D539" s="103"/>
      <c r="F539" s="34"/>
      <c r="G539" s="103"/>
      <c r="H539" s="103"/>
      <c r="I539" s="103"/>
    </row>
    <row r="540" hidden="1">
      <c r="C540" s="103"/>
      <c r="D540" s="103"/>
      <c r="F540" s="34"/>
      <c r="G540" s="103"/>
      <c r="H540" s="103"/>
      <c r="I540" s="103"/>
    </row>
    <row r="541" hidden="1">
      <c r="C541" s="103"/>
      <c r="D541" s="103"/>
      <c r="F541" s="34"/>
      <c r="G541" s="103"/>
      <c r="H541" s="103"/>
      <c r="I541" s="103"/>
    </row>
    <row r="542" hidden="1">
      <c r="C542" s="103"/>
      <c r="D542" s="103"/>
      <c r="F542" s="34"/>
      <c r="G542" s="103"/>
      <c r="H542" s="103"/>
      <c r="I542" s="103"/>
    </row>
    <row r="543" hidden="1">
      <c r="C543" s="103"/>
      <c r="D543" s="103"/>
      <c r="F543" s="34"/>
      <c r="G543" s="103"/>
      <c r="H543" s="103"/>
      <c r="I543" s="103"/>
    </row>
    <row r="544" hidden="1">
      <c r="C544" s="103"/>
      <c r="D544" s="103"/>
      <c r="F544" s="34"/>
      <c r="G544" s="103"/>
      <c r="H544" s="103"/>
      <c r="I544" s="103"/>
    </row>
    <row r="545" hidden="1">
      <c r="C545" s="103"/>
      <c r="D545" s="103"/>
      <c r="F545" s="34"/>
      <c r="G545" s="103"/>
      <c r="H545" s="103"/>
      <c r="I545" s="103"/>
    </row>
    <row r="546" hidden="1">
      <c r="C546" s="103"/>
      <c r="D546" s="103"/>
      <c r="F546" s="34"/>
      <c r="G546" s="103"/>
      <c r="H546" s="103"/>
      <c r="I546" s="103"/>
    </row>
    <row r="547" hidden="1">
      <c r="C547" s="103"/>
      <c r="D547" s="103"/>
      <c r="F547" s="34"/>
      <c r="G547" s="103"/>
      <c r="H547" s="103"/>
      <c r="I547" s="103"/>
    </row>
    <row r="548" hidden="1">
      <c r="C548" s="103"/>
      <c r="D548" s="103"/>
      <c r="F548" s="34"/>
      <c r="G548" s="103"/>
      <c r="H548" s="103"/>
      <c r="I548" s="103"/>
    </row>
    <row r="549" hidden="1">
      <c r="C549" s="103"/>
      <c r="D549" s="103"/>
      <c r="F549" s="34"/>
      <c r="G549" s="103"/>
      <c r="H549" s="103"/>
      <c r="I549" s="103"/>
    </row>
    <row r="550" hidden="1">
      <c r="C550" s="103"/>
      <c r="D550" s="103"/>
      <c r="F550" s="34"/>
      <c r="G550" s="103"/>
      <c r="H550" s="103"/>
      <c r="I550" s="103"/>
    </row>
    <row r="551" hidden="1">
      <c r="C551" s="103"/>
      <c r="D551" s="103"/>
      <c r="F551" s="34"/>
      <c r="G551" s="103"/>
      <c r="H551" s="103"/>
      <c r="I551" s="103"/>
    </row>
    <row r="552" hidden="1">
      <c r="C552" s="103"/>
      <c r="D552" s="103"/>
      <c r="F552" s="34"/>
      <c r="G552" s="103"/>
      <c r="H552" s="103"/>
      <c r="I552" s="103"/>
    </row>
    <row r="553" hidden="1">
      <c r="C553" s="103"/>
      <c r="D553" s="103"/>
      <c r="F553" s="34"/>
      <c r="G553" s="103"/>
      <c r="H553" s="103"/>
      <c r="I553" s="103"/>
    </row>
    <row r="554" hidden="1">
      <c r="C554" s="103"/>
      <c r="D554" s="103"/>
      <c r="F554" s="34"/>
      <c r="G554" s="103"/>
      <c r="H554" s="103"/>
      <c r="I554" s="103"/>
    </row>
    <row r="555" hidden="1">
      <c r="C555" s="103"/>
      <c r="D555" s="103"/>
      <c r="F555" s="34"/>
      <c r="G555" s="103"/>
      <c r="H555" s="103"/>
      <c r="I555" s="103"/>
    </row>
    <row r="556" hidden="1">
      <c r="C556" s="103"/>
      <c r="D556" s="103"/>
      <c r="F556" s="34"/>
      <c r="G556" s="103"/>
      <c r="H556" s="103"/>
      <c r="I556" s="103"/>
    </row>
    <row r="557" hidden="1">
      <c r="C557" s="103"/>
      <c r="D557" s="103"/>
      <c r="F557" s="34"/>
      <c r="G557" s="103"/>
      <c r="H557" s="103"/>
      <c r="I557" s="103"/>
    </row>
    <row r="558" hidden="1">
      <c r="C558" s="103"/>
      <c r="D558" s="103"/>
      <c r="F558" s="34"/>
      <c r="G558" s="103"/>
      <c r="H558" s="103"/>
      <c r="I558" s="103"/>
    </row>
    <row r="559" hidden="1">
      <c r="C559" s="103"/>
      <c r="D559" s="103"/>
      <c r="F559" s="34"/>
      <c r="G559" s="103"/>
      <c r="H559" s="103"/>
      <c r="I559" s="103"/>
    </row>
    <row r="560" hidden="1">
      <c r="C560" s="103"/>
      <c r="D560" s="103"/>
      <c r="F560" s="34"/>
      <c r="G560" s="103"/>
      <c r="H560" s="103"/>
      <c r="I560" s="103"/>
    </row>
    <row r="561" hidden="1">
      <c r="C561" s="103"/>
      <c r="D561" s="103"/>
      <c r="F561" s="34"/>
      <c r="G561" s="103"/>
      <c r="H561" s="103"/>
      <c r="I561" s="103"/>
    </row>
    <row r="562" hidden="1">
      <c r="C562" s="103"/>
      <c r="D562" s="103"/>
      <c r="F562" s="34"/>
      <c r="G562" s="103"/>
      <c r="H562" s="103"/>
      <c r="I562" s="103"/>
    </row>
    <row r="563" hidden="1">
      <c r="C563" s="103"/>
      <c r="D563" s="103"/>
      <c r="F563" s="34"/>
      <c r="G563" s="103"/>
      <c r="H563" s="103"/>
      <c r="I563" s="103"/>
    </row>
    <row r="564" hidden="1">
      <c r="C564" s="103"/>
      <c r="D564" s="103"/>
      <c r="F564" s="34"/>
      <c r="G564" s="103"/>
      <c r="H564" s="103"/>
      <c r="I564" s="103"/>
    </row>
    <row r="565" hidden="1">
      <c r="C565" s="103"/>
      <c r="D565" s="103"/>
      <c r="F565" s="34"/>
      <c r="G565" s="103"/>
      <c r="H565" s="103"/>
      <c r="I565" s="103"/>
    </row>
    <row r="566" hidden="1">
      <c r="C566" s="103"/>
      <c r="D566" s="103"/>
      <c r="F566" s="34"/>
      <c r="G566" s="103"/>
      <c r="H566" s="103"/>
      <c r="I566" s="103"/>
    </row>
    <row r="567" hidden="1">
      <c r="C567" s="103"/>
      <c r="D567" s="103"/>
      <c r="F567" s="34"/>
      <c r="G567" s="103"/>
      <c r="H567" s="103"/>
      <c r="I567" s="103"/>
    </row>
    <row r="568" hidden="1">
      <c r="C568" s="103"/>
      <c r="D568" s="103"/>
      <c r="F568" s="34"/>
      <c r="G568" s="103"/>
      <c r="H568" s="103"/>
      <c r="I568" s="103"/>
    </row>
    <row r="569" hidden="1">
      <c r="C569" s="103"/>
      <c r="D569" s="103"/>
      <c r="F569" s="34"/>
      <c r="G569" s="103"/>
      <c r="H569" s="103"/>
      <c r="I569" s="103"/>
    </row>
    <row r="570" hidden="1">
      <c r="C570" s="103"/>
      <c r="D570" s="103"/>
      <c r="F570" s="34"/>
      <c r="G570" s="103"/>
      <c r="H570" s="103"/>
      <c r="I570" s="103"/>
    </row>
    <row r="571" hidden="1">
      <c r="C571" s="103"/>
      <c r="D571" s="103"/>
      <c r="F571" s="34"/>
      <c r="G571" s="103"/>
      <c r="H571" s="103"/>
      <c r="I571" s="103"/>
    </row>
    <row r="572" hidden="1">
      <c r="C572" s="103"/>
      <c r="D572" s="103"/>
      <c r="F572" s="34"/>
      <c r="G572" s="103"/>
      <c r="H572" s="103"/>
      <c r="I572" s="103"/>
    </row>
    <row r="573" hidden="1">
      <c r="C573" s="103"/>
      <c r="D573" s="103"/>
      <c r="F573" s="34"/>
      <c r="G573" s="103"/>
      <c r="H573" s="103"/>
      <c r="I573" s="103"/>
    </row>
    <row r="574" hidden="1">
      <c r="C574" s="103"/>
      <c r="D574" s="103"/>
      <c r="F574" s="34"/>
      <c r="G574" s="103"/>
      <c r="H574" s="103"/>
      <c r="I574" s="103"/>
    </row>
    <row r="575" hidden="1">
      <c r="C575" s="103"/>
      <c r="D575" s="103"/>
      <c r="F575" s="34"/>
      <c r="G575" s="103"/>
      <c r="H575" s="103"/>
      <c r="I575" s="103"/>
    </row>
    <row r="576" hidden="1">
      <c r="C576" s="103"/>
      <c r="D576" s="103"/>
      <c r="F576" s="34"/>
      <c r="G576" s="103"/>
      <c r="H576" s="103"/>
      <c r="I576" s="103"/>
    </row>
    <row r="577" hidden="1">
      <c r="C577" s="103"/>
      <c r="D577" s="103"/>
      <c r="F577" s="34"/>
      <c r="G577" s="103"/>
      <c r="H577" s="103"/>
      <c r="I577" s="103"/>
    </row>
    <row r="578" hidden="1">
      <c r="C578" s="103"/>
      <c r="D578" s="103"/>
      <c r="F578" s="34"/>
      <c r="G578" s="103"/>
      <c r="H578" s="103"/>
      <c r="I578" s="103"/>
    </row>
    <row r="579" hidden="1">
      <c r="C579" s="103"/>
      <c r="D579" s="103"/>
      <c r="F579" s="34"/>
      <c r="G579" s="103"/>
      <c r="H579" s="103"/>
      <c r="I579" s="103"/>
    </row>
    <row r="580" hidden="1">
      <c r="C580" s="103"/>
      <c r="D580" s="103"/>
      <c r="F580" s="34"/>
      <c r="G580" s="103"/>
      <c r="H580" s="103"/>
      <c r="I580" s="103"/>
    </row>
    <row r="581" hidden="1">
      <c r="C581" s="103"/>
      <c r="D581" s="103"/>
      <c r="F581" s="34"/>
      <c r="G581" s="103"/>
      <c r="H581" s="103"/>
      <c r="I581" s="103"/>
    </row>
    <row r="582" hidden="1">
      <c r="C582" s="103"/>
      <c r="D582" s="103"/>
      <c r="F582" s="34"/>
      <c r="G582" s="103"/>
      <c r="H582" s="103"/>
      <c r="I582" s="103"/>
    </row>
    <row r="583" hidden="1">
      <c r="C583" s="103"/>
      <c r="D583" s="103"/>
      <c r="F583" s="34"/>
      <c r="G583" s="103"/>
      <c r="H583" s="103"/>
      <c r="I583" s="103"/>
    </row>
    <row r="584" hidden="1">
      <c r="C584" s="103"/>
      <c r="D584" s="103"/>
      <c r="F584" s="34"/>
      <c r="G584" s="103"/>
      <c r="H584" s="103"/>
      <c r="I584" s="103"/>
    </row>
    <row r="585" hidden="1">
      <c r="C585" s="103"/>
      <c r="D585" s="103"/>
      <c r="F585" s="34"/>
      <c r="G585" s="103"/>
      <c r="H585" s="103"/>
      <c r="I585" s="103"/>
    </row>
    <row r="586" hidden="1">
      <c r="C586" s="103"/>
      <c r="D586" s="103"/>
      <c r="F586" s="34"/>
      <c r="G586" s="103"/>
      <c r="H586" s="103"/>
      <c r="I586" s="103"/>
    </row>
    <row r="587" hidden="1">
      <c r="C587" s="103"/>
      <c r="D587" s="103"/>
      <c r="F587" s="34"/>
      <c r="G587" s="103"/>
      <c r="H587" s="103"/>
      <c r="I587" s="103"/>
    </row>
    <row r="588" hidden="1">
      <c r="C588" s="103"/>
      <c r="D588" s="103"/>
      <c r="F588" s="34"/>
      <c r="G588" s="103"/>
      <c r="H588" s="103"/>
      <c r="I588" s="103"/>
    </row>
    <row r="589" hidden="1">
      <c r="C589" s="103"/>
      <c r="D589" s="103"/>
      <c r="F589" s="34"/>
      <c r="G589" s="103"/>
      <c r="H589" s="103"/>
      <c r="I589" s="103"/>
    </row>
    <row r="590" hidden="1">
      <c r="C590" s="103"/>
      <c r="D590" s="103"/>
      <c r="F590" s="34"/>
      <c r="G590" s="103"/>
      <c r="H590" s="103"/>
      <c r="I590" s="103"/>
    </row>
    <row r="591" hidden="1">
      <c r="C591" s="103"/>
      <c r="D591" s="103"/>
      <c r="F591" s="34"/>
      <c r="G591" s="103"/>
      <c r="H591" s="103"/>
      <c r="I591" s="103"/>
    </row>
    <row r="592" hidden="1">
      <c r="C592" s="103"/>
      <c r="D592" s="103"/>
      <c r="F592" s="34"/>
      <c r="G592" s="103"/>
      <c r="H592" s="103"/>
      <c r="I592" s="103"/>
    </row>
    <row r="593" hidden="1">
      <c r="C593" s="103"/>
      <c r="D593" s="103"/>
      <c r="F593" s="34"/>
      <c r="G593" s="103"/>
      <c r="H593" s="103"/>
      <c r="I593" s="103"/>
    </row>
    <row r="594" hidden="1">
      <c r="C594" s="103"/>
      <c r="D594" s="103"/>
      <c r="F594" s="34"/>
      <c r="G594" s="103"/>
      <c r="H594" s="103"/>
      <c r="I594" s="103"/>
    </row>
    <row r="595" hidden="1">
      <c r="C595" s="103"/>
      <c r="D595" s="103"/>
      <c r="F595" s="34"/>
      <c r="G595" s="103"/>
      <c r="H595" s="103"/>
      <c r="I595" s="103"/>
    </row>
    <row r="596" hidden="1">
      <c r="C596" s="103"/>
      <c r="D596" s="103"/>
      <c r="F596" s="34"/>
      <c r="G596" s="103"/>
      <c r="H596" s="103"/>
      <c r="I596" s="103"/>
    </row>
    <row r="597" hidden="1">
      <c r="C597" s="103"/>
      <c r="D597" s="103"/>
      <c r="F597" s="34"/>
      <c r="G597" s="103"/>
      <c r="H597" s="103"/>
      <c r="I597" s="103"/>
    </row>
    <row r="598" hidden="1">
      <c r="C598" s="103"/>
      <c r="D598" s="103"/>
      <c r="F598" s="34"/>
      <c r="G598" s="103"/>
      <c r="H598" s="103"/>
      <c r="I598" s="103"/>
    </row>
    <row r="599" hidden="1">
      <c r="C599" s="103"/>
      <c r="D599" s="103"/>
      <c r="F599" s="34"/>
      <c r="G599" s="103"/>
      <c r="H599" s="103"/>
      <c r="I599" s="103"/>
    </row>
    <row r="600" hidden="1">
      <c r="C600" s="103"/>
      <c r="D600" s="103"/>
      <c r="F600" s="34"/>
      <c r="G600" s="103"/>
      <c r="H600" s="103"/>
      <c r="I600" s="103"/>
    </row>
    <row r="601" hidden="1">
      <c r="C601" s="103"/>
      <c r="D601" s="103"/>
      <c r="F601" s="34"/>
      <c r="G601" s="103"/>
      <c r="H601" s="103"/>
      <c r="I601" s="103"/>
    </row>
    <row r="602" hidden="1">
      <c r="C602" s="103"/>
      <c r="D602" s="103"/>
      <c r="F602" s="34"/>
      <c r="G602" s="103"/>
      <c r="H602" s="103"/>
      <c r="I602" s="103"/>
    </row>
    <row r="603" hidden="1">
      <c r="C603" s="103"/>
      <c r="D603" s="103"/>
      <c r="F603" s="34"/>
      <c r="G603" s="103"/>
      <c r="H603" s="103"/>
      <c r="I603" s="103"/>
    </row>
    <row r="604" hidden="1">
      <c r="C604" s="103"/>
      <c r="D604" s="103"/>
      <c r="F604" s="34"/>
      <c r="G604" s="103"/>
      <c r="H604" s="103"/>
      <c r="I604" s="103"/>
    </row>
    <row r="605" hidden="1">
      <c r="C605" s="103"/>
      <c r="D605" s="103"/>
      <c r="F605" s="34"/>
      <c r="G605" s="103"/>
      <c r="H605" s="103"/>
      <c r="I605" s="103"/>
    </row>
    <row r="606" hidden="1">
      <c r="C606" s="103"/>
      <c r="D606" s="103"/>
      <c r="F606" s="34"/>
      <c r="G606" s="103"/>
      <c r="H606" s="103"/>
      <c r="I606" s="103"/>
    </row>
    <row r="607" hidden="1">
      <c r="C607" s="103"/>
      <c r="D607" s="103"/>
      <c r="F607" s="34"/>
      <c r="G607" s="103"/>
      <c r="H607" s="103"/>
      <c r="I607" s="103"/>
    </row>
    <row r="608" hidden="1">
      <c r="C608" s="103"/>
      <c r="D608" s="103"/>
      <c r="F608" s="34"/>
      <c r="G608" s="103"/>
      <c r="H608" s="103"/>
      <c r="I608" s="103"/>
    </row>
    <row r="609" hidden="1">
      <c r="C609" s="103"/>
      <c r="D609" s="103"/>
      <c r="F609" s="34"/>
      <c r="G609" s="103"/>
      <c r="H609" s="103"/>
      <c r="I609" s="103"/>
    </row>
    <row r="610" hidden="1">
      <c r="C610" s="103"/>
      <c r="D610" s="103"/>
      <c r="F610" s="34"/>
      <c r="G610" s="103"/>
      <c r="H610" s="103"/>
      <c r="I610" s="103"/>
    </row>
    <row r="611" hidden="1">
      <c r="C611" s="103"/>
      <c r="D611" s="103"/>
      <c r="F611" s="34"/>
      <c r="G611" s="103"/>
      <c r="H611" s="103"/>
      <c r="I611" s="103"/>
    </row>
    <row r="612" hidden="1">
      <c r="C612" s="103"/>
      <c r="D612" s="103"/>
      <c r="F612" s="34"/>
      <c r="G612" s="103"/>
      <c r="H612" s="103"/>
      <c r="I612" s="103"/>
    </row>
    <row r="613" hidden="1">
      <c r="C613" s="103"/>
      <c r="D613" s="103"/>
      <c r="F613" s="34"/>
      <c r="G613" s="103"/>
      <c r="H613" s="103"/>
      <c r="I613" s="103"/>
    </row>
    <row r="614" hidden="1">
      <c r="C614" s="103"/>
      <c r="D614" s="103"/>
      <c r="F614" s="34"/>
      <c r="G614" s="103"/>
      <c r="H614" s="103"/>
      <c r="I614" s="103"/>
    </row>
    <row r="615" hidden="1">
      <c r="C615" s="103"/>
      <c r="D615" s="103"/>
      <c r="F615" s="34"/>
      <c r="G615" s="103"/>
      <c r="H615" s="103"/>
      <c r="I615" s="103"/>
    </row>
    <row r="616" hidden="1">
      <c r="C616" s="103"/>
      <c r="D616" s="103"/>
      <c r="F616" s="34"/>
      <c r="G616" s="103"/>
      <c r="H616" s="103"/>
      <c r="I616" s="103"/>
    </row>
    <row r="617" hidden="1">
      <c r="C617" s="103"/>
      <c r="D617" s="103"/>
      <c r="F617" s="34"/>
      <c r="G617" s="103"/>
      <c r="H617" s="103"/>
      <c r="I617" s="103"/>
    </row>
    <row r="618" hidden="1">
      <c r="C618" s="103"/>
      <c r="D618" s="103"/>
      <c r="F618" s="34"/>
      <c r="G618" s="103"/>
      <c r="H618" s="103"/>
      <c r="I618" s="103"/>
    </row>
    <row r="619" hidden="1">
      <c r="C619" s="103"/>
      <c r="D619" s="103"/>
      <c r="F619" s="34"/>
      <c r="G619" s="103"/>
      <c r="H619" s="103"/>
      <c r="I619" s="103"/>
    </row>
    <row r="620" hidden="1">
      <c r="C620" s="103"/>
      <c r="D620" s="103"/>
      <c r="F620" s="34"/>
      <c r="G620" s="103"/>
      <c r="H620" s="103"/>
      <c r="I620" s="103"/>
    </row>
    <row r="621" hidden="1">
      <c r="C621" s="103"/>
      <c r="D621" s="103"/>
      <c r="F621" s="34"/>
      <c r="G621" s="103"/>
      <c r="H621" s="103"/>
      <c r="I621" s="103"/>
    </row>
    <row r="622" hidden="1">
      <c r="C622" s="103"/>
      <c r="D622" s="103"/>
      <c r="F622" s="34"/>
      <c r="G622" s="103"/>
      <c r="H622" s="103"/>
      <c r="I622" s="103"/>
    </row>
    <row r="623" hidden="1">
      <c r="C623" s="103"/>
      <c r="D623" s="103"/>
      <c r="F623" s="34"/>
      <c r="G623" s="103"/>
      <c r="H623" s="103"/>
      <c r="I623" s="103"/>
    </row>
    <row r="624" hidden="1">
      <c r="C624" s="103"/>
      <c r="D624" s="103"/>
      <c r="F624" s="34"/>
      <c r="G624" s="103"/>
      <c r="H624" s="103"/>
      <c r="I624" s="103"/>
    </row>
    <row r="625" hidden="1">
      <c r="C625" s="103"/>
      <c r="D625" s="103"/>
      <c r="F625" s="34"/>
      <c r="G625" s="103"/>
      <c r="H625" s="103"/>
      <c r="I625" s="103"/>
    </row>
    <row r="626" hidden="1">
      <c r="C626" s="103"/>
      <c r="D626" s="103"/>
      <c r="F626" s="34"/>
      <c r="G626" s="103"/>
      <c r="H626" s="103"/>
      <c r="I626" s="103"/>
    </row>
    <row r="627" hidden="1">
      <c r="C627" s="103"/>
      <c r="D627" s="103"/>
      <c r="F627" s="34"/>
      <c r="G627" s="103"/>
      <c r="H627" s="103"/>
      <c r="I627" s="103"/>
    </row>
    <row r="628" hidden="1">
      <c r="C628" s="103"/>
      <c r="D628" s="103"/>
      <c r="F628" s="34"/>
      <c r="G628" s="103"/>
      <c r="H628" s="103"/>
      <c r="I628" s="103"/>
    </row>
    <row r="629" hidden="1">
      <c r="C629" s="103"/>
      <c r="D629" s="103"/>
      <c r="F629" s="34"/>
      <c r="G629" s="103"/>
      <c r="H629" s="103"/>
      <c r="I629" s="103"/>
    </row>
    <row r="630" hidden="1">
      <c r="C630" s="103"/>
      <c r="D630" s="103"/>
      <c r="F630" s="34"/>
      <c r="G630" s="103"/>
      <c r="H630" s="103"/>
      <c r="I630" s="103"/>
    </row>
    <row r="631" hidden="1">
      <c r="C631" s="103"/>
      <c r="D631" s="103"/>
      <c r="F631" s="34"/>
      <c r="G631" s="103"/>
      <c r="H631" s="103"/>
      <c r="I631" s="103"/>
    </row>
    <row r="632" hidden="1">
      <c r="C632" s="103"/>
      <c r="D632" s="103"/>
      <c r="F632" s="34"/>
      <c r="G632" s="103"/>
      <c r="H632" s="103"/>
      <c r="I632" s="103"/>
    </row>
    <row r="633" hidden="1">
      <c r="C633" s="103"/>
      <c r="D633" s="103"/>
      <c r="F633" s="34"/>
      <c r="G633" s="103"/>
      <c r="H633" s="103"/>
      <c r="I633" s="103"/>
    </row>
    <row r="634" hidden="1">
      <c r="C634" s="103"/>
      <c r="D634" s="103"/>
      <c r="F634" s="34"/>
      <c r="G634" s="103"/>
      <c r="H634" s="103"/>
      <c r="I634" s="103"/>
    </row>
    <row r="635" hidden="1">
      <c r="C635" s="103"/>
      <c r="D635" s="103"/>
      <c r="F635" s="34"/>
      <c r="G635" s="103"/>
      <c r="H635" s="103"/>
      <c r="I635" s="103"/>
    </row>
    <row r="636" hidden="1">
      <c r="C636" s="103"/>
      <c r="D636" s="103"/>
      <c r="F636" s="34"/>
      <c r="G636" s="103"/>
      <c r="H636" s="103"/>
      <c r="I636" s="103"/>
    </row>
    <row r="637" hidden="1">
      <c r="C637" s="103"/>
      <c r="D637" s="103"/>
      <c r="F637" s="34"/>
      <c r="G637" s="103"/>
      <c r="H637" s="103"/>
      <c r="I637" s="103"/>
    </row>
    <row r="638" hidden="1">
      <c r="C638" s="103"/>
      <c r="D638" s="103"/>
      <c r="F638" s="34"/>
      <c r="G638" s="103"/>
      <c r="H638" s="103"/>
      <c r="I638" s="103"/>
    </row>
    <row r="639" hidden="1">
      <c r="C639" s="103"/>
      <c r="D639" s="103"/>
      <c r="F639" s="34"/>
      <c r="G639" s="103"/>
      <c r="H639" s="103"/>
      <c r="I639" s="103"/>
    </row>
    <row r="640" hidden="1">
      <c r="C640" s="103"/>
      <c r="D640" s="103"/>
      <c r="F640" s="34"/>
      <c r="G640" s="103"/>
      <c r="H640" s="103"/>
      <c r="I640" s="103"/>
    </row>
    <row r="641" hidden="1">
      <c r="C641" s="103"/>
      <c r="D641" s="103"/>
      <c r="F641" s="34"/>
      <c r="G641" s="103"/>
      <c r="H641" s="103"/>
      <c r="I641" s="103"/>
    </row>
    <row r="642" hidden="1">
      <c r="C642" s="103"/>
      <c r="D642" s="103"/>
      <c r="F642" s="34"/>
      <c r="G642" s="103"/>
      <c r="H642" s="103"/>
      <c r="I642" s="103"/>
    </row>
    <row r="643" hidden="1">
      <c r="C643" s="103"/>
      <c r="D643" s="103"/>
      <c r="F643" s="34"/>
      <c r="G643" s="103"/>
      <c r="H643" s="103"/>
      <c r="I643" s="103"/>
    </row>
    <row r="644" hidden="1">
      <c r="C644" s="103"/>
      <c r="D644" s="103"/>
      <c r="F644" s="34"/>
      <c r="G644" s="103"/>
      <c r="H644" s="103"/>
      <c r="I644" s="103"/>
    </row>
    <row r="645" hidden="1">
      <c r="C645" s="103"/>
      <c r="D645" s="103"/>
      <c r="F645" s="34"/>
      <c r="G645" s="103"/>
      <c r="H645" s="103"/>
      <c r="I645" s="103"/>
    </row>
    <row r="646" hidden="1">
      <c r="C646" s="103"/>
      <c r="D646" s="103"/>
      <c r="F646" s="34"/>
      <c r="G646" s="103"/>
      <c r="H646" s="103"/>
      <c r="I646" s="103"/>
    </row>
    <row r="647" hidden="1">
      <c r="C647" s="103"/>
      <c r="D647" s="103"/>
      <c r="F647" s="34"/>
      <c r="G647" s="103"/>
      <c r="H647" s="103"/>
      <c r="I647" s="103"/>
    </row>
    <row r="648" hidden="1">
      <c r="C648" s="103"/>
      <c r="D648" s="103"/>
      <c r="F648" s="34"/>
      <c r="G648" s="103"/>
      <c r="H648" s="103"/>
      <c r="I648" s="103"/>
    </row>
    <row r="649" hidden="1">
      <c r="C649" s="103"/>
      <c r="D649" s="103"/>
      <c r="F649" s="34"/>
      <c r="G649" s="103"/>
      <c r="H649" s="103"/>
      <c r="I649" s="103"/>
    </row>
    <row r="650" hidden="1">
      <c r="C650" s="103"/>
      <c r="D650" s="103"/>
      <c r="F650" s="34"/>
      <c r="G650" s="103"/>
      <c r="H650" s="103"/>
      <c r="I650" s="103"/>
    </row>
    <row r="651" hidden="1">
      <c r="C651" s="103"/>
      <c r="D651" s="103"/>
      <c r="F651" s="34"/>
      <c r="G651" s="103"/>
      <c r="H651" s="103"/>
      <c r="I651" s="103"/>
    </row>
    <row r="652" hidden="1">
      <c r="C652" s="103"/>
      <c r="D652" s="103"/>
      <c r="F652" s="34"/>
      <c r="G652" s="103"/>
      <c r="H652" s="103"/>
      <c r="I652" s="103"/>
    </row>
    <row r="653" hidden="1">
      <c r="C653" s="103"/>
      <c r="D653" s="103"/>
      <c r="F653" s="34"/>
      <c r="G653" s="103"/>
      <c r="H653" s="103"/>
      <c r="I653" s="103"/>
    </row>
    <row r="654" hidden="1">
      <c r="C654" s="103"/>
      <c r="D654" s="103"/>
      <c r="F654" s="34"/>
      <c r="G654" s="103"/>
      <c r="H654" s="103"/>
      <c r="I654" s="103"/>
    </row>
    <row r="655" hidden="1">
      <c r="C655" s="103"/>
      <c r="D655" s="103"/>
      <c r="F655" s="34"/>
      <c r="G655" s="103"/>
      <c r="H655" s="103"/>
      <c r="I655" s="103"/>
    </row>
    <row r="656" hidden="1">
      <c r="C656" s="103"/>
      <c r="D656" s="103"/>
      <c r="F656" s="34"/>
      <c r="G656" s="103"/>
      <c r="H656" s="103"/>
      <c r="I656" s="103"/>
    </row>
    <row r="657" hidden="1">
      <c r="C657" s="103"/>
      <c r="D657" s="103"/>
      <c r="F657" s="34"/>
      <c r="G657" s="103"/>
      <c r="H657" s="103"/>
      <c r="I657" s="103"/>
    </row>
    <row r="658" hidden="1">
      <c r="C658" s="103"/>
      <c r="D658" s="103"/>
      <c r="F658" s="34"/>
      <c r="G658" s="103"/>
      <c r="H658" s="103"/>
      <c r="I658" s="103"/>
    </row>
    <row r="659" hidden="1">
      <c r="C659" s="103"/>
      <c r="D659" s="103"/>
      <c r="F659" s="34"/>
      <c r="G659" s="103"/>
      <c r="H659" s="103"/>
      <c r="I659" s="103"/>
    </row>
    <row r="660" hidden="1">
      <c r="C660" s="103"/>
      <c r="D660" s="103"/>
      <c r="F660" s="34"/>
      <c r="G660" s="103"/>
      <c r="H660" s="103"/>
      <c r="I660" s="103"/>
    </row>
    <row r="661" hidden="1">
      <c r="C661" s="103"/>
      <c r="D661" s="103"/>
      <c r="F661" s="34"/>
      <c r="G661" s="103"/>
      <c r="H661" s="103"/>
      <c r="I661" s="103"/>
    </row>
    <row r="662" hidden="1">
      <c r="C662" s="103"/>
      <c r="D662" s="103"/>
      <c r="F662" s="34"/>
      <c r="G662" s="103"/>
      <c r="H662" s="103"/>
      <c r="I662" s="103"/>
    </row>
    <row r="663" hidden="1">
      <c r="C663" s="103"/>
      <c r="D663" s="103"/>
      <c r="F663" s="34"/>
      <c r="G663" s="103"/>
      <c r="H663" s="103"/>
      <c r="I663" s="103"/>
    </row>
    <row r="664" hidden="1">
      <c r="C664" s="103"/>
      <c r="D664" s="103"/>
      <c r="F664" s="34"/>
      <c r="G664" s="103"/>
      <c r="H664" s="103"/>
      <c r="I664" s="103"/>
    </row>
    <row r="665" hidden="1">
      <c r="C665" s="103"/>
      <c r="D665" s="103"/>
      <c r="F665" s="34"/>
      <c r="G665" s="103"/>
      <c r="H665" s="103"/>
      <c r="I665" s="103"/>
    </row>
    <row r="666" hidden="1">
      <c r="C666" s="103"/>
      <c r="D666" s="103"/>
      <c r="F666" s="34"/>
      <c r="G666" s="103"/>
      <c r="H666" s="103"/>
      <c r="I666" s="103"/>
    </row>
    <row r="667" hidden="1">
      <c r="C667" s="103"/>
      <c r="D667" s="103"/>
      <c r="F667" s="34"/>
      <c r="G667" s="103"/>
      <c r="H667" s="103"/>
      <c r="I667" s="103"/>
    </row>
    <row r="668" hidden="1">
      <c r="C668" s="103"/>
      <c r="D668" s="103"/>
      <c r="F668" s="34"/>
      <c r="G668" s="103"/>
      <c r="H668" s="103"/>
      <c r="I668" s="103"/>
    </row>
    <row r="669" hidden="1">
      <c r="C669" s="103"/>
      <c r="D669" s="103"/>
      <c r="F669" s="34"/>
      <c r="G669" s="103"/>
      <c r="H669" s="103"/>
      <c r="I669" s="103"/>
    </row>
    <row r="670" hidden="1">
      <c r="C670" s="103"/>
      <c r="D670" s="103"/>
      <c r="F670" s="34"/>
      <c r="G670" s="103"/>
      <c r="H670" s="103"/>
      <c r="I670" s="103"/>
    </row>
    <row r="671" hidden="1">
      <c r="C671" s="103"/>
      <c r="D671" s="103"/>
      <c r="F671" s="34"/>
      <c r="G671" s="103"/>
      <c r="H671" s="103"/>
      <c r="I671" s="103"/>
    </row>
    <row r="672" hidden="1">
      <c r="C672" s="103"/>
      <c r="D672" s="103"/>
      <c r="F672" s="34"/>
      <c r="G672" s="103"/>
      <c r="H672" s="103"/>
      <c r="I672" s="103"/>
    </row>
    <row r="673" hidden="1">
      <c r="C673" s="103"/>
      <c r="D673" s="103"/>
      <c r="F673" s="34"/>
      <c r="G673" s="103"/>
      <c r="H673" s="103"/>
      <c r="I673" s="103"/>
    </row>
    <row r="674" hidden="1">
      <c r="C674" s="103"/>
      <c r="D674" s="103"/>
      <c r="F674" s="34"/>
      <c r="G674" s="103"/>
      <c r="H674" s="103"/>
      <c r="I674" s="103"/>
    </row>
    <row r="675" hidden="1">
      <c r="C675" s="103"/>
      <c r="D675" s="103"/>
      <c r="F675" s="34"/>
      <c r="G675" s="103"/>
      <c r="H675" s="103"/>
      <c r="I675" s="103"/>
    </row>
    <row r="676" hidden="1">
      <c r="C676" s="103"/>
      <c r="D676" s="103"/>
      <c r="F676" s="34"/>
      <c r="G676" s="103"/>
      <c r="H676" s="103"/>
      <c r="I676" s="103"/>
    </row>
    <row r="677" hidden="1">
      <c r="C677" s="103"/>
      <c r="D677" s="103"/>
      <c r="F677" s="34"/>
      <c r="G677" s="103"/>
      <c r="H677" s="103"/>
      <c r="I677" s="103"/>
    </row>
    <row r="678" hidden="1">
      <c r="C678" s="103"/>
      <c r="D678" s="103"/>
      <c r="F678" s="34"/>
      <c r="G678" s="103"/>
      <c r="H678" s="103"/>
      <c r="I678" s="103"/>
    </row>
    <row r="679" hidden="1">
      <c r="C679" s="103"/>
      <c r="D679" s="103"/>
      <c r="F679" s="34"/>
      <c r="G679" s="103"/>
      <c r="H679" s="103"/>
      <c r="I679" s="103"/>
    </row>
    <row r="680" hidden="1">
      <c r="C680" s="103"/>
      <c r="D680" s="103"/>
      <c r="F680" s="34"/>
      <c r="G680" s="103"/>
      <c r="H680" s="103"/>
      <c r="I680" s="103"/>
    </row>
    <row r="681" hidden="1">
      <c r="C681" s="103"/>
      <c r="D681" s="103"/>
      <c r="F681" s="34"/>
      <c r="G681" s="103"/>
      <c r="H681" s="103"/>
      <c r="I681" s="103"/>
    </row>
    <row r="682" hidden="1">
      <c r="C682" s="103"/>
      <c r="D682" s="103"/>
      <c r="F682" s="34"/>
      <c r="G682" s="103"/>
      <c r="H682" s="103"/>
      <c r="I682" s="103"/>
    </row>
    <row r="683" hidden="1">
      <c r="C683" s="103"/>
      <c r="D683" s="103"/>
      <c r="F683" s="34"/>
      <c r="G683" s="103"/>
      <c r="H683" s="103"/>
      <c r="I683" s="103"/>
    </row>
    <row r="684" hidden="1">
      <c r="C684" s="103"/>
      <c r="D684" s="103"/>
      <c r="F684" s="34"/>
      <c r="G684" s="103"/>
      <c r="H684" s="103"/>
      <c r="I684" s="103"/>
    </row>
    <row r="685" hidden="1">
      <c r="C685" s="103"/>
      <c r="D685" s="103"/>
      <c r="F685" s="34"/>
      <c r="G685" s="103"/>
      <c r="H685" s="103"/>
      <c r="I685" s="103"/>
    </row>
    <row r="686" hidden="1">
      <c r="C686" s="103"/>
      <c r="D686" s="103"/>
      <c r="F686" s="34"/>
      <c r="G686" s="103"/>
      <c r="H686" s="103"/>
      <c r="I686" s="103"/>
    </row>
    <row r="687" hidden="1">
      <c r="C687" s="103"/>
      <c r="D687" s="103"/>
      <c r="F687" s="34"/>
      <c r="G687" s="103"/>
      <c r="H687" s="103"/>
      <c r="I687" s="103"/>
    </row>
    <row r="688" hidden="1">
      <c r="C688" s="103"/>
      <c r="D688" s="103"/>
      <c r="F688" s="34"/>
      <c r="G688" s="103"/>
      <c r="H688" s="103"/>
      <c r="I688" s="103"/>
    </row>
    <row r="689" hidden="1">
      <c r="C689" s="103"/>
      <c r="D689" s="103"/>
      <c r="F689" s="34"/>
      <c r="G689" s="103"/>
      <c r="H689" s="103"/>
      <c r="I689" s="103"/>
    </row>
    <row r="690" hidden="1">
      <c r="C690" s="103"/>
      <c r="D690" s="103"/>
      <c r="F690" s="34"/>
      <c r="G690" s="103"/>
      <c r="H690" s="103"/>
      <c r="I690" s="103"/>
    </row>
    <row r="691" hidden="1">
      <c r="C691" s="103"/>
      <c r="D691" s="103"/>
      <c r="F691" s="34"/>
      <c r="G691" s="103"/>
      <c r="H691" s="103"/>
      <c r="I691" s="103"/>
    </row>
    <row r="692" hidden="1">
      <c r="C692" s="103"/>
      <c r="D692" s="103"/>
      <c r="F692" s="34"/>
      <c r="G692" s="103"/>
      <c r="H692" s="103"/>
      <c r="I692" s="103"/>
    </row>
    <row r="693" hidden="1">
      <c r="C693" s="103"/>
      <c r="D693" s="103"/>
      <c r="F693" s="34"/>
      <c r="G693" s="103"/>
      <c r="H693" s="103"/>
      <c r="I693" s="103"/>
    </row>
    <row r="694" hidden="1">
      <c r="C694" s="103"/>
      <c r="D694" s="103"/>
      <c r="F694" s="34"/>
      <c r="G694" s="103"/>
      <c r="H694" s="103"/>
      <c r="I694" s="103"/>
    </row>
    <row r="695" hidden="1">
      <c r="C695" s="103"/>
      <c r="D695" s="103"/>
      <c r="F695" s="34"/>
      <c r="G695" s="103"/>
      <c r="H695" s="103"/>
      <c r="I695" s="103"/>
    </row>
    <row r="696" hidden="1">
      <c r="C696" s="103"/>
      <c r="D696" s="103"/>
      <c r="F696" s="34"/>
      <c r="G696" s="103"/>
      <c r="H696" s="103"/>
      <c r="I696" s="103"/>
    </row>
    <row r="697" hidden="1">
      <c r="C697" s="103"/>
      <c r="D697" s="103"/>
      <c r="F697" s="34"/>
      <c r="G697" s="103"/>
      <c r="H697" s="103"/>
      <c r="I697" s="103"/>
    </row>
    <row r="698" hidden="1">
      <c r="C698" s="103"/>
      <c r="D698" s="103"/>
      <c r="F698" s="34"/>
      <c r="G698" s="103"/>
      <c r="H698" s="103"/>
      <c r="I698" s="103"/>
    </row>
    <row r="699" hidden="1">
      <c r="C699" s="103"/>
      <c r="D699" s="103"/>
      <c r="F699" s="34"/>
      <c r="G699" s="103"/>
      <c r="H699" s="103"/>
      <c r="I699" s="103"/>
    </row>
    <row r="700" hidden="1">
      <c r="C700" s="103"/>
      <c r="D700" s="103"/>
      <c r="F700" s="34"/>
      <c r="G700" s="103"/>
      <c r="H700" s="103"/>
      <c r="I700" s="103"/>
    </row>
    <row r="701" hidden="1">
      <c r="C701" s="103"/>
      <c r="D701" s="103"/>
      <c r="F701" s="34"/>
      <c r="G701" s="103"/>
      <c r="H701" s="103"/>
      <c r="I701" s="103"/>
    </row>
    <row r="702" hidden="1">
      <c r="C702" s="103"/>
      <c r="D702" s="103"/>
      <c r="F702" s="34"/>
      <c r="G702" s="103"/>
      <c r="H702" s="103"/>
      <c r="I702" s="103"/>
    </row>
    <row r="703" hidden="1">
      <c r="C703" s="103"/>
      <c r="D703" s="103"/>
      <c r="F703" s="34"/>
      <c r="G703" s="103"/>
      <c r="H703" s="103"/>
      <c r="I703" s="103"/>
    </row>
    <row r="704" hidden="1">
      <c r="C704" s="103"/>
      <c r="D704" s="103"/>
      <c r="F704" s="34"/>
      <c r="G704" s="103"/>
      <c r="H704" s="103"/>
      <c r="I704" s="103"/>
    </row>
    <row r="705" hidden="1">
      <c r="C705" s="103"/>
      <c r="D705" s="103"/>
      <c r="F705" s="34"/>
      <c r="G705" s="103"/>
      <c r="H705" s="103"/>
      <c r="I705" s="103"/>
    </row>
    <row r="706" hidden="1">
      <c r="C706" s="103"/>
      <c r="D706" s="103"/>
      <c r="F706" s="34"/>
      <c r="G706" s="103"/>
      <c r="H706" s="103"/>
      <c r="I706" s="103"/>
    </row>
    <row r="707" hidden="1">
      <c r="C707" s="103"/>
      <c r="D707" s="103"/>
      <c r="F707" s="34"/>
      <c r="G707" s="103"/>
      <c r="H707" s="103"/>
      <c r="I707" s="103"/>
    </row>
    <row r="708" hidden="1">
      <c r="C708" s="103"/>
      <c r="D708" s="103"/>
      <c r="F708" s="34"/>
      <c r="G708" s="103"/>
      <c r="H708" s="103"/>
      <c r="I708" s="103"/>
    </row>
    <row r="709" hidden="1">
      <c r="C709" s="103"/>
      <c r="D709" s="103"/>
      <c r="F709" s="34"/>
      <c r="G709" s="103"/>
      <c r="H709" s="103"/>
      <c r="I709" s="103"/>
    </row>
    <row r="710" hidden="1">
      <c r="C710" s="103"/>
      <c r="D710" s="103"/>
      <c r="F710" s="34"/>
      <c r="G710" s="103"/>
      <c r="H710" s="103"/>
      <c r="I710" s="103"/>
    </row>
    <row r="711" hidden="1">
      <c r="C711" s="103"/>
      <c r="D711" s="103"/>
      <c r="F711" s="34"/>
      <c r="G711" s="103"/>
      <c r="H711" s="103"/>
      <c r="I711" s="103"/>
    </row>
    <row r="712" hidden="1">
      <c r="C712" s="103"/>
      <c r="D712" s="103"/>
      <c r="F712" s="34"/>
      <c r="G712" s="103"/>
      <c r="H712" s="103"/>
      <c r="I712" s="103"/>
    </row>
    <row r="713" hidden="1">
      <c r="C713" s="103"/>
      <c r="D713" s="103"/>
      <c r="F713" s="34"/>
      <c r="G713" s="103"/>
      <c r="H713" s="103"/>
      <c r="I713" s="103"/>
    </row>
    <row r="714" hidden="1">
      <c r="C714" s="103"/>
      <c r="D714" s="103"/>
      <c r="F714" s="34"/>
      <c r="G714" s="103"/>
      <c r="H714" s="103"/>
      <c r="I714" s="103"/>
    </row>
    <row r="715" hidden="1">
      <c r="C715" s="103"/>
      <c r="D715" s="103"/>
      <c r="F715" s="34"/>
      <c r="G715" s="103"/>
      <c r="H715" s="103"/>
      <c r="I715" s="103"/>
    </row>
    <row r="716" hidden="1">
      <c r="C716" s="103"/>
      <c r="D716" s="103"/>
      <c r="F716" s="34"/>
      <c r="G716" s="103"/>
      <c r="H716" s="103"/>
      <c r="I716" s="103"/>
    </row>
    <row r="717" hidden="1">
      <c r="C717" s="103"/>
      <c r="D717" s="103"/>
      <c r="F717" s="34"/>
      <c r="G717" s="103"/>
      <c r="H717" s="103"/>
      <c r="I717" s="103"/>
    </row>
    <row r="718" hidden="1">
      <c r="C718" s="103"/>
      <c r="D718" s="103"/>
      <c r="F718" s="34"/>
      <c r="G718" s="103"/>
      <c r="H718" s="103"/>
      <c r="I718" s="103"/>
    </row>
    <row r="719" hidden="1">
      <c r="C719" s="103"/>
      <c r="D719" s="103"/>
      <c r="F719" s="34"/>
      <c r="G719" s="103"/>
      <c r="H719" s="103"/>
      <c r="I719" s="103"/>
    </row>
    <row r="720" hidden="1">
      <c r="C720" s="103"/>
      <c r="D720" s="103"/>
      <c r="F720" s="34"/>
      <c r="G720" s="103"/>
      <c r="H720" s="103"/>
      <c r="I720" s="103"/>
    </row>
    <row r="721" hidden="1">
      <c r="C721" s="103"/>
      <c r="D721" s="103"/>
      <c r="F721" s="34"/>
      <c r="G721" s="103"/>
      <c r="H721" s="103"/>
      <c r="I721" s="103"/>
    </row>
    <row r="722" hidden="1">
      <c r="C722" s="103"/>
      <c r="D722" s="103"/>
      <c r="F722" s="34"/>
      <c r="G722" s="103"/>
      <c r="H722" s="103"/>
      <c r="I722" s="103"/>
    </row>
    <row r="723" hidden="1">
      <c r="C723" s="103"/>
      <c r="D723" s="103"/>
      <c r="F723" s="34"/>
      <c r="G723" s="103"/>
      <c r="H723" s="103"/>
      <c r="I723" s="103"/>
    </row>
    <row r="724" hidden="1">
      <c r="C724" s="103"/>
      <c r="D724" s="103"/>
      <c r="F724" s="34"/>
      <c r="G724" s="103"/>
      <c r="H724" s="103"/>
      <c r="I724" s="103"/>
    </row>
    <row r="725" hidden="1">
      <c r="C725" s="103"/>
      <c r="D725" s="103"/>
      <c r="F725" s="34"/>
      <c r="G725" s="103"/>
      <c r="H725" s="103"/>
      <c r="I725" s="103"/>
    </row>
    <row r="726" hidden="1">
      <c r="C726" s="103"/>
      <c r="D726" s="103"/>
      <c r="F726" s="34"/>
      <c r="G726" s="103"/>
      <c r="H726" s="103"/>
      <c r="I726" s="103"/>
    </row>
    <row r="727" hidden="1">
      <c r="C727" s="103"/>
      <c r="D727" s="103"/>
      <c r="F727" s="34"/>
      <c r="G727" s="103"/>
      <c r="H727" s="103"/>
      <c r="I727" s="103"/>
    </row>
    <row r="728" hidden="1">
      <c r="C728" s="103"/>
      <c r="D728" s="103"/>
      <c r="F728" s="34"/>
      <c r="G728" s="103"/>
      <c r="H728" s="103"/>
      <c r="I728" s="103"/>
    </row>
    <row r="729" hidden="1">
      <c r="C729" s="103"/>
      <c r="D729" s="103"/>
      <c r="F729" s="34"/>
      <c r="G729" s="103"/>
      <c r="H729" s="103"/>
      <c r="I729" s="103"/>
    </row>
    <row r="730" hidden="1">
      <c r="C730" s="103"/>
      <c r="D730" s="103"/>
      <c r="F730" s="34"/>
      <c r="G730" s="103"/>
      <c r="H730" s="103"/>
      <c r="I730" s="103"/>
    </row>
    <row r="731" hidden="1">
      <c r="C731" s="103"/>
      <c r="D731" s="103"/>
      <c r="F731" s="34"/>
      <c r="G731" s="103"/>
      <c r="H731" s="103"/>
      <c r="I731" s="103"/>
    </row>
    <row r="732" hidden="1">
      <c r="C732" s="103"/>
      <c r="D732" s="103"/>
      <c r="F732" s="34"/>
      <c r="G732" s="103"/>
      <c r="H732" s="103"/>
      <c r="I732" s="103"/>
    </row>
    <row r="733" hidden="1">
      <c r="C733" s="103"/>
      <c r="D733" s="103"/>
      <c r="F733" s="34"/>
      <c r="G733" s="103"/>
      <c r="H733" s="103"/>
      <c r="I733" s="103"/>
    </row>
    <row r="734" hidden="1">
      <c r="C734" s="103"/>
      <c r="D734" s="103"/>
      <c r="F734" s="34"/>
      <c r="G734" s="103"/>
      <c r="H734" s="103"/>
      <c r="I734" s="103"/>
    </row>
    <row r="735" hidden="1">
      <c r="C735" s="103"/>
      <c r="D735" s="103"/>
      <c r="F735" s="34"/>
      <c r="G735" s="103"/>
      <c r="H735" s="103"/>
      <c r="I735" s="103"/>
    </row>
    <row r="736" hidden="1">
      <c r="C736" s="103"/>
      <c r="D736" s="103"/>
      <c r="F736" s="34"/>
      <c r="G736" s="103"/>
      <c r="H736" s="103"/>
      <c r="I736" s="103"/>
    </row>
    <row r="737" hidden="1">
      <c r="C737" s="103"/>
      <c r="D737" s="103"/>
      <c r="F737" s="34"/>
      <c r="G737" s="103"/>
      <c r="H737" s="103"/>
      <c r="I737" s="103"/>
    </row>
    <row r="738" hidden="1">
      <c r="C738" s="103"/>
      <c r="D738" s="103"/>
      <c r="F738" s="34"/>
      <c r="G738" s="103"/>
      <c r="H738" s="103"/>
      <c r="I738" s="103"/>
    </row>
    <row r="739" hidden="1">
      <c r="C739" s="103"/>
      <c r="D739" s="103"/>
      <c r="F739" s="34"/>
      <c r="G739" s="103"/>
      <c r="H739" s="103"/>
      <c r="I739" s="103"/>
    </row>
    <row r="740" hidden="1">
      <c r="C740" s="103"/>
      <c r="D740" s="103"/>
      <c r="F740" s="34"/>
      <c r="G740" s="103"/>
      <c r="H740" s="103"/>
      <c r="I740" s="103"/>
    </row>
    <row r="741" hidden="1">
      <c r="C741" s="103"/>
      <c r="D741" s="103"/>
      <c r="F741" s="34"/>
      <c r="G741" s="103"/>
      <c r="H741" s="103"/>
      <c r="I741" s="103"/>
    </row>
    <row r="742" hidden="1">
      <c r="C742" s="103"/>
      <c r="D742" s="103"/>
      <c r="F742" s="34"/>
      <c r="G742" s="103"/>
      <c r="H742" s="103"/>
      <c r="I742" s="103"/>
    </row>
    <row r="743" hidden="1">
      <c r="C743" s="103"/>
      <c r="D743" s="103"/>
      <c r="F743" s="34"/>
      <c r="G743" s="103"/>
      <c r="H743" s="103"/>
      <c r="I743" s="103"/>
    </row>
    <row r="744" hidden="1">
      <c r="C744" s="103"/>
      <c r="D744" s="103"/>
      <c r="F744" s="34"/>
      <c r="G744" s="103"/>
      <c r="H744" s="103"/>
      <c r="I744" s="103"/>
    </row>
    <row r="745" hidden="1">
      <c r="C745" s="103"/>
      <c r="D745" s="103"/>
      <c r="F745" s="34"/>
      <c r="G745" s="103"/>
      <c r="H745" s="103"/>
      <c r="I745" s="103"/>
    </row>
    <row r="746" hidden="1">
      <c r="C746" s="103"/>
      <c r="D746" s="103"/>
      <c r="F746" s="34"/>
      <c r="G746" s="103"/>
      <c r="H746" s="103"/>
      <c r="I746" s="103"/>
    </row>
    <row r="747" hidden="1">
      <c r="C747" s="103"/>
      <c r="D747" s="103"/>
      <c r="F747" s="34"/>
      <c r="G747" s="103"/>
      <c r="H747" s="103"/>
      <c r="I747" s="103"/>
    </row>
    <row r="748" hidden="1">
      <c r="C748" s="103"/>
      <c r="D748" s="103"/>
      <c r="F748" s="34"/>
      <c r="G748" s="103"/>
      <c r="H748" s="103"/>
      <c r="I748" s="103"/>
    </row>
    <row r="749" hidden="1">
      <c r="C749" s="103"/>
      <c r="D749" s="103"/>
      <c r="F749" s="34"/>
      <c r="G749" s="103"/>
      <c r="H749" s="103"/>
      <c r="I749" s="103"/>
    </row>
    <row r="750" hidden="1">
      <c r="C750" s="103"/>
      <c r="D750" s="103"/>
      <c r="F750" s="34"/>
      <c r="G750" s="103"/>
      <c r="H750" s="103"/>
      <c r="I750" s="103"/>
    </row>
    <row r="751" hidden="1">
      <c r="C751" s="103"/>
      <c r="D751" s="103"/>
      <c r="F751" s="34"/>
      <c r="G751" s="103"/>
      <c r="H751" s="103"/>
      <c r="I751" s="103"/>
    </row>
    <row r="752" hidden="1">
      <c r="C752" s="103"/>
      <c r="D752" s="103"/>
      <c r="F752" s="34"/>
      <c r="G752" s="103"/>
      <c r="H752" s="103"/>
      <c r="I752" s="103"/>
    </row>
    <row r="753" hidden="1">
      <c r="C753" s="103"/>
      <c r="D753" s="103"/>
      <c r="F753" s="34"/>
      <c r="G753" s="103"/>
      <c r="H753" s="103"/>
      <c r="I753" s="103"/>
    </row>
    <row r="754" hidden="1">
      <c r="C754" s="103"/>
      <c r="D754" s="103"/>
      <c r="F754" s="34"/>
      <c r="G754" s="103"/>
      <c r="H754" s="103"/>
      <c r="I754" s="103"/>
    </row>
    <row r="755" hidden="1">
      <c r="C755" s="103"/>
      <c r="D755" s="103"/>
      <c r="F755" s="34"/>
      <c r="G755" s="103"/>
      <c r="H755" s="103"/>
      <c r="I755" s="103"/>
    </row>
    <row r="756" hidden="1">
      <c r="C756" s="103"/>
      <c r="D756" s="103"/>
      <c r="F756" s="34"/>
      <c r="G756" s="103"/>
      <c r="H756" s="103"/>
      <c r="I756" s="103"/>
    </row>
    <row r="757" hidden="1">
      <c r="C757" s="103"/>
      <c r="D757" s="103"/>
      <c r="F757" s="34"/>
      <c r="G757" s="103"/>
      <c r="H757" s="103"/>
      <c r="I757" s="103"/>
    </row>
    <row r="758" hidden="1">
      <c r="C758" s="103"/>
      <c r="D758" s="103"/>
      <c r="F758" s="34"/>
      <c r="G758" s="103"/>
      <c r="H758" s="103"/>
      <c r="I758" s="103"/>
    </row>
    <row r="759" hidden="1">
      <c r="C759" s="103"/>
      <c r="D759" s="103"/>
      <c r="F759" s="34"/>
      <c r="G759" s="103"/>
      <c r="H759" s="103"/>
      <c r="I759" s="103"/>
    </row>
    <row r="760" hidden="1">
      <c r="C760" s="103"/>
      <c r="D760" s="103"/>
      <c r="F760" s="34"/>
      <c r="G760" s="103"/>
      <c r="H760" s="103"/>
      <c r="I760" s="103"/>
    </row>
    <row r="761" hidden="1">
      <c r="C761" s="103"/>
      <c r="D761" s="103"/>
      <c r="F761" s="34"/>
      <c r="G761" s="103"/>
      <c r="H761" s="103"/>
      <c r="I761" s="103"/>
    </row>
    <row r="762" hidden="1">
      <c r="C762" s="103"/>
      <c r="D762" s="103"/>
      <c r="F762" s="34"/>
      <c r="G762" s="103"/>
      <c r="H762" s="103"/>
      <c r="I762" s="103"/>
    </row>
    <row r="763" hidden="1">
      <c r="C763" s="103"/>
      <c r="D763" s="103"/>
      <c r="F763" s="34"/>
      <c r="G763" s="103"/>
      <c r="H763" s="103"/>
      <c r="I763" s="103"/>
    </row>
    <row r="764" hidden="1">
      <c r="C764" s="103"/>
      <c r="D764" s="103"/>
      <c r="F764" s="34"/>
      <c r="G764" s="103"/>
      <c r="H764" s="103"/>
      <c r="I764" s="103"/>
    </row>
    <row r="765" hidden="1">
      <c r="C765" s="103"/>
      <c r="D765" s="103"/>
      <c r="F765" s="34"/>
      <c r="G765" s="103"/>
      <c r="H765" s="103"/>
      <c r="I765" s="103"/>
    </row>
    <row r="766" hidden="1">
      <c r="C766" s="103"/>
      <c r="D766" s="103"/>
      <c r="F766" s="34"/>
      <c r="G766" s="103"/>
      <c r="H766" s="103"/>
      <c r="I766" s="103"/>
    </row>
    <row r="767" hidden="1">
      <c r="C767" s="103"/>
      <c r="D767" s="103"/>
      <c r="F767" s="34"/>
      <c r="G767" s="103"/>
      <c r="H767" s="103"/>
      <c r="I767" s="103"/>
    </row>
    <row r="768" hidden="1">
      <c r="C768" s="103"/>
      <c r="D768" s="103"/>
      <c r="F768" s="34"/>
      <c r="G768" s="103"/>
      <c r="H768" s="103"/>
      <c r="I768" s="103"/>
    </row>
    <row r="769" hidden="1">
      <c r="C769" s="103"/>
      <c r="D769" s="103"/>
      <c r="F769" s="34"/>
      <c r="G769" s="103"/>
      <c r="H769" s="103"/>
      <c r="I769" s="103"/>
    </row>
    <row r="770" hidden="1">
      <c r="C770" s="103"/>
      <c r="D770" s="103"/>
      <c r="F770" s="34"/>
      <c r="G770" s="103"/>
      <c r="H770" s="103"/>
      <c r="I770" s="103"/>
    </row>
    <row r="771" hidden="1">
      <c r="C771" s="103"/>
      <c r="D771" s="103"/>
      <c r="F771" s="34"/>
      <c r="G771" s="103"/>
      <c r="H771" s="103"/>
      <c r="I771" s="103"/>
    </row>
    <row r="772" hidden="1">
      <c r="C772" s="103"/>
      <c r="D772" s="103"/>
      <c r="F772" s="34"/>
      <c r="G772" s="103"/>
      <c r="H772" s="103"/>
      <c r="I772" s="103"/>
    </row>
    <row r="773" hidden="1">
      <c r="C773" s="103"/>
      <c r="D773" s="103"/>
      <c r="F773" s="34"/>
      <c r="G773" s="103"/>
      <c r="H773" s="103"/>
      <c r="I773" s="103"/>
    </row>
    <row r="774" hidden="1">
      <c r="C774" s="103"/>
      <c r="D774" s="103"/>
      <c r="F774" s="34"/>
      <c r="G774" s="103"/>
      <c r="H774" s="103"/>
      <c r="I774" s="103"/>
    </row>
    <row r="775" hidden="1">
      <c r="C775" s="103"/>
      <c r="D775" s="103"/>
      <c r="F775" s="34"/>
      <c r="G775" s="103"/>
      <c r="H775" s="103"/>
      <c r="I775" s="103"/>
    </row>
    <row r="776" hidden="1">
      <c r="C776" s="103"/>
      <c r="D776" s="103"/>
      <c r="F776" s="34"/>
      <c r="G776" s="103"/>
      <c r="H776" s="103"/>
      <c r="I776" s="103"/>
    </row>
    <row r="777" hidden="1">
      <c r="C777" s="103"/>
      <c r="D777" s="103"/>
      <c r="F777" s="34"/>
      <c r="G777" s="103"/>
      <c r="H777" s="103"/>
      <c r="I777" s="103"/>
    </row>
    <row r="778" hidden="1">
      <c r="C778" s="103"/>
      <c r="D778" s="103"/>
      <c r="F778" s="34"/>
      <c r="G778" s="103"/>
      <c r="H778" s="103"/>
      <c r="I778" s="103"/>
    </row>
    <row r="779" hidden="1">
      <c r="C779" s="103"/>
      <c r="D779" s="103"/>
      <c r="F779" s="34"/>
      <c r="G779" s="103"/>
      <c r="H779" s="103"/>
      <c r="I779" s="103"/>
    </row>
    <row r="780" hidden="1">
      <c r="C780" s="103"/>
      <c r="D780" s="103"/>
      <c r="F780" s="34"/>
      <c r="G780" s="103"/>
      <c r="H780" s="103"/>
      <c r="I780" s="103"/>
    </row>
    <row r="781" hidden="1">
      <c r="C781" s="103"/>
      <c r="D781" s="103"/>
      <c r="F781" s="34"/>
      <c r="G781" s="103"/>
      <c r="H781" s="103"/>
      <c r="I781" s="103"/>
    </row>
    <row r="782" hidden="1">
      <c r="C782" s="103"/>
      <c r="D782" s="103"/>
      <c r="F782" s="34"/>
      <c r="G782" s="103"/>
      <c r="H782" s="103"/>
      <c r="I782" s="103"/>
    </row>
    <row r="783" hidden="1">
      <c r="C783" s="103"/>
      <c r="D783" s="103"/>
      <c r="F783" s="34"/>
      <c r="G783" s="103"/>
      <c r="H783" s="103"/>
      <c r="I783" s="103"/>
    </row>
    <row r="784" hidden="1">
      <c r="C784" s="103"/>
      <c r="D784" s="103"/>
      <c r="F784" s="34"/>
      <c r="G784" s="103"/>
      <c r="H784" s="103"/>
      <c r="I784" s="103"/>
    </row>
    <row r="785" hidden="1">
      <c r="C785" s="103"/>
      <c r="D785" s="103"/>
      <c r="F785" s="34"/>
      <c r="G785" s="103"/>
      <c r="H785" s="103"/>
      <c r="I785" s="103"/>
    </row>
    <row r="786" hidden="1">
      <c r="C786" s="103"/>
      <c r="D786" s="103"/>
      <c r="F786" s="34"/>
      <c r="G786" s="103"/>
      <c r="H786" s="103"/>
      <c r="I786" s="103"/>
    </row>
    <row r="787" hidden="1">
      <c r="C787" s="103"/>
      <c r="D787" s="103"/>
      <c r="F787" s="34"/>
      <c r="G787" s="103"/>
      <c r="H787" s="103"/>
      <c r="I787" s="103"/>
    </row>
    <row r="788" hidden="1">
      <c r="C788" s="103"/>
      <c r="D788" s="103"/>
      <c r="F788" s="34"/>
      <c r="G788" s="103"/>
      <c r="H788" s="103"/>
      <c r="I788" s="103"/>
    </row>
    <row r="789" hidden="1">
      <c r="C789" s="103"/>
      <c r="D789" s="103"/>
      <c r="F789" s="34"/>
      <c r="G789" s="103"/>
      <c r="H789" s="103"/>
      <c r="I789" s="103"/>
    </row>
    <row r="790" hidden="1">
      <c r="C790" s="103"/>
      <c r="D790" s="103"/>
      <c r="F790" s="34"/>
      <c r="G790" s="103"/>
      <c r="H790" s="103"/>
      <c r="I790" s="103"/>
    </row>
    <row r="791" hidden="1">
      <c r="C791" s="103"/>
      <c r="D791" s="103"/>
      <c r="F791" s="34"/>
      <c r="G791" s="103"/>
      <c r="H791" s="103"/>
      <c r="I791" s="103"/>
    </row>
    <row r="792" hidden="1">
      <c r="C792" s="103"/>
      <c r="D792" s="103"/>
      <c r="F792" s="34"/>
      <c r="G792" s="103"/>
      <c r="H792" s="103"/>
      <c r="I792" s="103"/>
    </row>
    <row r="793" hidden="1">
      <c r="C793" s="103"/>
      <c r="D793" s="103"/>
      <c r="F793" s="34"/>
      <c r="G793" s="103"/>
      <c r="H793" s="103"/>
      <c r="I793" s="103"/>
    </row>
    <row r="794" hidden="1">
      <c r="C794" s="103"/>
      <c r="D794" s="103"/>
      <c r="F794" s="34"/>
      <c r="G794" s="103"/>
      <c r="H794" s="103"/>
      <c r="I794" s="103"/>
    </row>
    <row r="795" hidden="1">
      <c r="C795" s="103"/>
      <c r="D795" s="103"/>
      <c r="F795" s="34"/>
      <c r="G795" s="103"/>
      <c r="H795" s="103"/>
      <c r="I795" s="103"/>
    </row>
    <row r="796" hidden="1">
      <c r="C796" s="103"/>
      <c r="D796" s="103"/>
      <c r="F796" s="34"/>
      <c r="G796" s="103"/>
      <c r="H796" s="103"/>
      <c r="I796" s="103"/>
    </row>
    <row r="797" hidden="1">
      <c r="C797" s="103"/>
      <c r="D797" s="103"/>
      <c r="F797" s="34"/>
      <c r="G797" s="103"/>
      <c r="H797" s="103"/>
      <c r="I797" s="103"/>
    </row>
    <row r="798" hidden="1">
      <c r="C798" s="103"/>
      <c r="D798" s="103"/>
      <c r="F798" s="34"/>
      <c r="G798" s="103"/>
      <c r="H798" s="103"/>
      <c r="I798" s="103"/>
    </row>
    <row r="799" hidden="1">
      <c r="C799" s="103"/>
      <c r="D799" s="103"/>
      <c r="F799" s="34"/>
      <c r="G799" s="103"/>
      <c r="H799" s="103"/>
      <c r="I799" s="103"/>
    </row>
    <row r="800" hidden="1">
      <c r="C800" s="103"/>
      <c r="D800" s="103"/>
      <c r="F800" s="34"/>
      <c r="G800" s="103"/>
      <c r="H800" s="103"/>
      <c r="I800" s="103"/>
    </row>
    <row r="801" hidden="1">
      <c r="C801" s="103"/>
      <c r="D801" s="103"/>
      <c r="F801" s="34"/>
      <c r="G801" s="103"/>
      <c r="H801" s="103"/>
      <c r="I801" s="103"/>
    </row>
    <row r="802" hidden="1">
      <c r="C802" s="103"/>
      <c r="D802" s="103"/>
      <c r="F802" s="34"/>
      <c r="G802" s="103"/>
      <c r="H802" s="103"/>
      <c r="I802" s="103"/>
    </row>
    <row r="803" hidden="1">
      <c r="C803" s="103"/>
      <c r="D803" s="103"/>
      <c r="F803" s="34"/>
      <c r="G803" s="103"/>
      <c r="H803" s="103"/>
      <c r="I803" s="103"/>
    </row>
    <row r="804" hidden="1">
      <c r="C804" s="103"/>
      <c r="D804" s="103"/>
      <c r="F804" s="34"/>
      <c r="G804" s="103"/>
      <c r="H804" s="103"/>
      <c r="I804" s="103"/>
    </row>
    <row r="805" hidden="1">
      <c r="C805" s="103"/>
      <c r="D805" s="103"/>
      <c r="F805" s="34"/>
      <c r="G805" s="103"/>
      <c r="H805" s="103"/>
      <c r="I805" s="103"/>
    </row>
    <row r="806" hidden="1">
      <c r="C806" s="103"/>
      <c r="D806" s="103"/>
      <c r="F806" s="34"/>
      <c r="G806" s="103"/>
      <c r="H806" s="103"/>
      <c r="I806" s="103"/>
    </row>
    <row r="807" hidden="1">
      <c r="C807" s="103"/>
      <c r="D807" s="103"/>
      <c r="F807" s="34"/>
      <c r="G807" s="103"/>
      <c r="H807" s="103"/>
      <c r="I807" s="103"/>
    </row>
    <row r="808" hidden="1">
      <c r="C808" s="103"/>
      <c r="D808" s="103"/>
      <c r="F808" s="34"/>
      <c r="G808" s="103"/>
      <c r="H808" s="103"/>
      <c r="I808" s="103"/>
    </row>
    <row r="809" hidden="1">
      <c r="C809" s="103"/>
      <c r="D809" s="103"/>
      <c r="F809" s="34"/>
      <c r="G809" s="103"/>
      <c r="H809" s="103"/>
      <c r="I809" s="103"/>
    </row>
    <row r="810" hidden="1">
      <c r="C810" s="103"/>
      <c r="D810" s="103"/>
      <c r="F810" s="34"/>
      <c r="G810" s="103"/>
      <c r="H810" s="103"/>
      <c r="I810" s="103"/>
    </row>
    <row r="811" hidden="1">
      <c r="C811" s="103"/>
      <c r="D811" s="103"/>
      <c r="F811" s="34"/>
      <c r="G811" s="103"/>
      <c r="H811" s="103"/>
      <c r="I811" s="103"/>
    </row>
    <row r="812" hidden="1">
      <c r="C812" s="103"/>
      <c r="D812" s="103"/>
      <c r="F812" s="34"/>
      <c r="G812" s="103"/>
      <c r="H812" s="103"/>
      <c r="I812" s="103"/>
    </row>
    <row r="813" hidden="1">
      <c r="C813" s="103"/>
      <c r="D813" s="103"/>
      <c r="F813" s="34"/>
      <c r="G813" s="103"/>
      <c r="H813" s="103"/>
      <c r="I813" s="103"/>
    </row>
    <row r="814" hidden="1">
      <c r="C814" s="103"/>
      <c r="D814" s="103"/>
      <c r="F814" s="34"/>
      <c r="G814" s="103"/>
      <c r="H814" s="103"/>
      <c r="I814" s="103"/>
    </row>
    <row r="815" hidden="1">
      <c r="C815" s="103"/>
      <c r="D815" s="103"/>
      <c r="F815" s="34"/>
      <c r="G815" s="103"/>
      <c r="H815" s="103"/>
      <c r="I815" s="103"/>
    </row>
    <row r="816" hidden="1">
      <c r="C816" s="103"/>
      <c r="D816" s="103"/>
      <c r="F816" s="34"/>
      <c r="G816" s="103"/>
      <c r="H816" s="103"/>
      <c r="I816" s="103"/>
    </row>
    <row r="817" hidden="1">
      <c r="C817" s="103"/>
      <c r="D817" s="103"/>
      <c r="F817" s="34"/>
      <c r="G817" s="103"/>
      <c r="H817" s="103"/>
      <c r="I817" s="103"/>
    </row>
    <row r="818" hidden="1">
      <c r="C818" s="103"/>
      <c r="D818" s="103"/>
      <c r="F818" s="34"/>
      <c r="G818" s="103"/>
      <c r="H818" s="103"/>
      <c r="I818" s="103"/>
    </row>
    <row r="819" hidden="1">
      <c r="C819" s="103"/>
      <c r="D819" s="103"/>
      <c r="F819" s="34"/>
      <c r="G819" s="103"/>
      <c r="H819" s="103"/>
      <c r="I819" s="103"/>
    </row>
    <row r="820" hidden="1">
      <c r="C820" s="103"/>
      <c r="D820" s="103"/>
      <c r="F820" s="34"/>
      <c r="G820" s="103"/>
      <c r="H820" s="103"/>
      <c r="I820" s="103"/>
    </row>
    <row r="821" hidden="1">
      <c r="C821" s="103"/>
      <c r="D821" s="103"/>
      <c r="F821" s="34"/>
      <c r="G821" s="103"/>
      <c r="H821" s="103"/>
      <c r="I821" s="103"/>
    </row>
    <row r="822" hidden="1">
      <c r="C822" s="103"/>
      <c r="D822" s="103"/>
      <c r="F822" s="34"/>
      <c r="G822" s="103"/>
      <c r="H822" s="103"/>
      <c r="I822" s="103"/>
    </row>
    <row r="823" hidden="1">
      <c r="C823" s="103"/>
      <c r="D823" s="103"/>
      <c r="F823" s="34"/>
      <c r="G823" s="103"/>
      <c r="H823" s="103"/>
      <c r="I823" s="103"/>
    </row>
    <row r="824" hidden="1">
      <c r="C824" s="103"/>
      <c r="D824" s="103"/>
      <c r="F824" s="34"/>
      <c r="G824" s="103"/>
      <c r="H824" s="103"/>
      <c r="I824" s="103"/>
    </row>
    <row r="825" hidden="1">
      <c r="C825" s="103"/>
      <c r="D825" s="103"/>
      <c r="F825" s="34"/>
      <c r="G825" s="103"/>
      <c r="H825" s="103"/>
      <c r="I825" s="103"/>
    </row>
    <row r="826" hidden="1">
      <c r="C826" s="103"/>
      <c r="D826" s="103"/>
      <c r="F826" s="34"/>
      <c r="G826" s="103"/>
      <c r="H826" s="103"/>
      <c r="I826" s="103"/>
    </row>
    <row r="827" hidden="1">
      <c r="C827" s="103"/>
      <c r="D827" s="103"/>
      <c r="F827" s="34"/>
      <c r="G827" s="103"/>
      <c r="H827" s="103"/>
      <c r="I827" s="103"/>
    </row>
    <row r="828" hidden="1">
      <c r="C828" s="103"/>
      <c r="D828" s="103"/>
      <c r="F828" s="34"/>
      <c r="G828" s="103"/>
      <c r="H828" s="103"/>
      <c r="I828" s="103"/>
    </row>
    <row r="829" hidden="1">
      <c r="C829" s="103"/>
      <c r="D829" s="103"/>
      <c r="F829" s="34"/>
      <c r="G829" s="103"/>
      <c r="H829" s="103"/>
      <c r="I829" s="103"/>
    </row>
    <row r="830" hidden="1">
      <c r="C830" s="103"/>
      <c r="D830" s="103"/>
      <c r="F830" s="34"/>
      <c r="G830" s="103"/>
      <c r="H830" s="103"/>
      <c r="I830" s="103"/>
    </row>
    <row r="831" hidden="1">
      <c r="C831" s="103"/>
      <c r="D831" s="103"/>
      <c r="F831" s="34"/>
      <c r="G831" s="103"/>
      <c r="H831" s="103"/>
      <c r="I831" s="103"/>
    </row>
    <row r="832" hidden="1">
      <c r="C832" s="103"/>
      <c r="D832" s="103"/>
      <c r="F832" s="34"/>
      <c r="G832" s="103"/>
      <c r="H832" s="103"/>
      <c r="I832" s="103"/>
    </row>
    <row r="833" hidden="1">
      <c r="C833" s="103"/>
      <c r="D833" s="103"/>
      <c r="F833" s="34"/>
      <c r="G833" s="103"/>
      <c r="H833" s="103"/>
      <c r="I833" s="103"/>
    </row>
    <row r="834" hidden="1">
      <c r="C834" s="103"/>
      <c r="D834" s="103"/>
      <c r="F834" s="34"/>
      <c r="G834" s="103"/>
      <c r="H834" s="103"/>
      <c r="I834" s="103"/>
    </row>
    <row r="835" hidden="1">
      <c r="C835" s="103"/>
      <c r="D835" s="103"/>
      <c r="F835" s="34"/>
      <c r="G835" s="103"/>
      <c r="H835" s="103"/>
      <c r="I835" s="103"/>
    </row>
    <row r="836" hidden="1">
      <c r="C836" s="103"/>
      <c r="D836" s="103"/>
      <c r="F836" s="34"/>
      <c r="G836" s="103"/>
      <c r="H836" s="103"/>
      <c r="I836" s="103"/>
    </row>
    <row r="837" hidden="1">
      <c r="C837" s="103"/>
      <c r="D837" s="103"/>
      <c r="F837" s="34"/>
      <c r="G837" s="103"/>
      <c r="H837" s="103"/>
      <c r="I837" s="103"/>
    </row>
    <row r="838" hidden="1">
      <c r="C838" s="103"/>
      <c r="D838" s="103"/>
      <c r="F838" s="34"/>
      <c r="G838" s="103"/>
      <c r="H838" s="103"/>
      <c r="I838" s="103"/>
    </row>
    <row r="839" hidden="1">
      <c r="C839" s="103"/>
      <c r="D839" s="103"/>
      <c r="F839" s="34"/>
      <c r="G839" s="103"/>
      <c r="H839" s="103"/>
      <c r="I839" s="103"/>
    </row>
    <row r="840" hidden="1">
      <c r="C840" s="103"/>
      <c r="D840" s="103"/>
      <c r="F840" s="34"/>
      <c r="G840" s="103"/>
      <c r="H840" s="103"/>
      <c r="I840" s="103"/>
    </row>
    <row r="841" hidden="1">
      <c r="C841" s="103"/>
      <c r="D841" s="103"/>
      <c r="F841" s="34"/>
      <c r="G841" s="103"/>
      <c r="H841" s="103"/>
      <c r="I841" s="103"/>
    </row>
    <row r="842" hidden="1">
      <c r="C842" s="103"/>
      <c r="D842" s="103"/>
      <c r="F842" s="34"/>
      <c r="G842" s="103"/>
      <c r="H842" s="103"/>
      <c r="I842" s="103"/>
    </row>
    <row r="843" hidden="1">
      <c r="C843" s="103"/>
      <c r="D843" s="103"/>
      <c r="F843" s="34"/>
      <c r="G843" s="103"/>
      <c r="H843" s="103"/>
      <c r="I843" s="103"/>
    </row>
    <row r="844" hidden="1">
      <c r="C844" s="103"/>
      <c r="D844" s="103"/>
      <c r="F844" s="34"/>
      <c r="G844" s="103"/>
      <c r="H844" s="103"/>
      <c r="I844" s="103"/>
    </row>
    <row r="845" hidden="1">
      <c r="C845" s="103"/>
      <c r="D845" s="103"/>
      <c r="F845" s="34"/>
      <c r="G845" s="103"/>
      <c r="H845" s="103"/>
      <c r="I845" s="103"/>
    </row>
    <row r="846" hidden="1">
      <c r="C846" s="103"/>
      <c r="D846" s="103"/>
      <c r="F846" s="34"/>
      <c r="G846" s="103"/>
      <c r="H846" s="103"/>
      <c r="I846" s="103"/>
    </row>
    <row r="847" hidden="1">
      <c r="C847" s="103"/>
      <c r="D847" s="103"/>
      <c r="F847" s="34"/>
      <c r="G847" s="103"/>
      <c r="H847" s="103"/>
      <c r="I847" s="103"/>
    </row>
    <row r="848" hidden="1">
      <c r="C848" s="103"/>
      <c r="D848" s="103"/>
      <c r="F848" s="34"/>
      <c r="G848" s="103"/>
      <c r="H848" s="103"/>
      <c r="I848" s="103"/>
    </row>
    <row r="849" hidden="1">
      <c r="C849" s="103"/>
      <c r="D849" s="103"/>
      <c r="F849" s="34"/>
      <c r="G849" s="103"/>
      <c r="H849" s="103"/>
      <c r="I849" s="103"/>
    </row>
    <row r="850" hidden="1">
      <c r="C850" s="103"/>
      <c r="D850" s="103"/>
      <c r="F850" s="34"/>
      <c r="G850" s="103"/>
      <c r="H850" s="103"/>
      <c r="I850" s="103"/>
    </row>
    <row r="851" hidden="1">
      <c r="C851" s="103"/>
      <c r="D851" s="103"/>
      <c r="F851" s="34"/>
      <c r="G851" s="103"/>
      <c r="H851" s="103"/>
      <c r="I851" s="103"/>
    </row>
    <row r="852" hidden="1">
      <c r="C852" s="103"/>
      <c r="D852" s="103"/>
      <c r="F852" s="34"/>
      <c r="G852" s="103"/>
      <c r="H852" s="103"/>
      <c r="I852" s="103"/>
    </row>
    <row r="853" hidden="1">
      <c r="C853" s="103"/>
      <c r="D853" s="103"/>
      <c r="F853" s="34"/>
      <c r="G853" s="103"/>
      <c r="H853" s="103"/>
      <c r="I853" s="103"/>
    </row>
    <row r="854" hidden="1">
      <c r="C854" s="103"/>
      <c r="D854" s="103"/>
      <c r="F854" s="34"/>
      <c r="G854" s="103"/>
      <c r="H854" s="103"/>
      <c r="I854" s="103"/>
    </row>
    <row r="855" hidden="1">
      <c r="C855" s="103"/>
      <c r="D855" s="103"/>
      <c r="F855" s="34"/>
      <c r="G855" s="103"/>
      <c r="H855" s="103"/>
      <c r="I855" s="103"/>
    </row>
    <row r="856" hidden="1">
      <c r="C856" s="103"/>
      <c r="D856" s="103"/>
      <c r="F856" s="34"/>
      <c r="G856" s="103"/>
      <c r="H856" s="103"/>
      <c r="I856" s="103"/>
    </row>
    <row r="857" hidden="1">
      <c r="C857" s="103"/>
      <c r="D857" s="103"/>
      <c r="F857" s="34"/>
      <c r="G857" s="103"/>
      <c r="H857" s="103"/>
      <c r="I857" s="103"/>
    </row>
    <row r="858" hidden="1">
      <c r="C858" s="103"/>
      <c r="D858" s="103"/>
      <c r="F858" s="34"/>
      <c r="G858" s="103"/>
      <c r="H858" s="103"/>
      <c r="I858" s="103"/>
    </row>
    <row r="859" hidden="1">
      <c r="C859" s="103"/>
      <c r="D859" s="103"/>
      <c r="F859" s="34"/>
      <c r="G859" s="103"/>
      <c r="H859" s="103"/>
      <c r="I859" s="103"/>
    </row>
    <row r="860" hidden="1">
      <c r="C860" s="103"/>
      <c r="D860" s="103"/>
      <c r="F860" s="34"/>
      <c r="G860" s="103"/>
      <c r="H860" s="103"/>
      <c r="I860" s="103"/>
    </row>
    <row r="861" hidden="1">
      <c r="C861" s="103"/>
      <c r="D861" s="103"/>
      <c r="F861" s="34"/>
      <c r="G861" s="103"/>
      <c r="H861" s="103"/>
      <c r="I861" s="103"/>
    </row>
    <row r="862" hidden="1">
      <c r="C862" s="103"/>
      <c r="D862" s="103"/>
      <c r="F862" s="34"/>
      <c r="G862" s="103"/>
      <c r="H862" s="103"/>
      <c r="I862" s="103"/>
    </row>
    <row r="863" hidden="1">
      <c r="C863" s="103"/>
      <c r="D863" s="103"/>
      <c r="F863" s="34"/>
      <c r="G863" s="103"/>
      <c r="H863" s="103"/>
      <c r="I863" s="103"/>
    </row>
    <row r="864" hidden="1">
      <c r="C864" s="103"/>
      <c r="D864" s="103"/>
      <c r="F864" s="34"/>
      <c r="G864" s="103"/>
      <c r="H864" s="103"/>
      <c r="I864" s="103"/>
    </row>
    <row r="865" hidden="1">
      <c r="C865" s="103"/>
      <c r="D865" s="103"/>
      <c r="F865" s="34"/>
      <c r="G865" s="103"/>
      <c r="H865" s="103"/>
      <c r="I865" s="103"/>
    </row>
    <row r="866" hidden="1">
      <c r="C866" s="103"/>
      <c r="D866" s="103"/>
      <c r="F866" s="34"/>
      <c r="G866" s="103"/>
      <c r="H866" s="103"/>
      <c r="I866" s="103"/>
    </row>
    <row r="867" hidden="1">
      <c r="C867" s="103"/>
      <c r="D867" s="103"/>
      <c r="F867" s="34"/>
      <c r="G867" s="103"/>
      <c r="H867" s="103"/>
      <c r="I867" s="103"/>
    </row>
    <row r="868" hidden="1">
      <c r="C868" s="103"/>
      <c r="D868" s="103"/>
      <c r="F868" s="34"/>
      <c r="G868" s="103"/>
      <c r="H868" s="103"/>
      <c r="I868" s="103"/>
    </row>
    <row r="869" hidden="1">
      <c r="C869" s="103"/>
      <c r="D869" s="103"/>
      <c r="F869" s="34"/>
      <c r="G869" s="103"/>
      <c r="H869" s="103"/>
      <c r="I869" s="103"/>
    </row>
    <row r="870" hidden="1">
      <c r="C870" s="103"/>
      <c r="D870" s="103"/>
      <c r="F870" s="34"/>
      <c r="G870" s="103"/>
      <c r="H870" s="103"/>
      <c r="I870" s="103"/>
    </row>
    <row r="871" hidden="1">
      <c r="C871" s="103"/>
      <c r="D871" s="103"/>
      <c r="F871" s="34"/>
      <c r="G871" s="103"/>
      <c r="H871" s="103"/>
      <c r="I871" s="103"/>
    </row>
    <row r="872" hidden="1">
      <c r="C872" s="103"/>
      <c r="D872" s="103"/>
      <c r="F872" s="34"/>
      <c r="G872" s="103"/>
      <c r="H872" s="103"/>
      <c r="I872" s="103"/>
    </row>
    <row r="873" hidden="1">
      <c r="C873" s="103"/>
      <c r="D873" s="103"/>
      <c r="F873" s="34"/>
      <c r="G873" s="103"/>
      <c r="H873" s="103"/>
      <c r="I873" s="103"/>
    </row>
    <row r="874" hidden="1">
      <c r="C874" s="103"/>
      <c r="D874" s="103"/>
      <c r="F874" s="34"/>
      <c r="G874" s="103"/>
      <c r="H874" s="103"/>
      <c r="I874" s="103"/>
    </row>
    <row r="875" hidden="1">
      <c r="C875" s="103"/>
      <c r="D875" s="103"/>
      <c r="F875" s="34"/>
      <c r="G875" s="103"/>
      <c r="H875" s="103"/>
      <c r="I875" s="103"/>
    </row>
    <row r="876" hidden="1">
      <c r="C876" s="103"/>
      <c r="D876" s="103"/>
      <c r="F876" s="34"/>
      <c r="G876" s="103"/>
      <c r="H876" s="103"/>
      <c r="I876" s="103"/>
    </row>
    <row r="877" hidden="1">
      <c r="C877" s="103"/>
      <c r="D877" s="103"/>
      <c r="F877" s="34"/>
      <c r="G877" s="103"/>
      <c r="H877" s="103"/>
      <c r="I877" s="103"/>
    </row>
    <row r="878" hidden="1">
      <c r="C878" s="103"/>
      <c r="D878" s="103"/>
      <c r="F878" s="34"/>
      <c r="G878" s="103"/>
      <c r="H878" s="103"/>
      <c r="I878" s="103"/>
    </row>
    <row r="879" hidden="1">
      <c r="C879" s="103"/>
      <c r="D879" s="103"/>
      <c r="F879" s="34"/>
      <c r="G879" s="103"/>
      <c r="H879" s="103"/>
      <c r="I879" s="103"/>
    </row>
    <row r="880" hidden="1">
      <c r="C880" s="103"/>
      <c r="D880" s="103"/>
      <c r="F880" s="34"/>
      <c r="G880" s="103"/>
      <c r="H880" s="103"/>
      <c r="I880" s="103"/>
    </row>
    <row r="881" hidden="1">
      <c r="C881" s="103"/>
      <c r="D881" s="103"/>
      <c r="F881" s="34"/>
      <c r="G881" s="103"/>
      <c r="H881" s="103"/>
      <c r="I881" s="103"/>
    </row>
    <row r="882" hidden="1">
      <c r="C882" s="103"/>
      <c r="D882" s="103"/>
      <c r="F882" s="34"/>
      <c r="G882" s="103"/>
      <c r="H882" s="103"/>
      <c r="I882" s="103"/>
    </row>
    <row r="883" hidden="1">
      <c r="C883" s="103"/>
      <c r="D883" s="103"/>
      <c r="F883" s="34"/>
      <c r="G883" s="103"/>
      <c r="H883" s="103"/>
      <c r="I883" s="103"/>
    </row>
    <row r="884" hidden="1">
      <c r="C884" s="103"/>
      <c r="D884" s="103"/>
      <c r="F884" s="34"/>
      <c r="G884" s="103"/>
      <c r="H884" s="103"/>
      <c r="I884" s="103"/>
    </row>
    <row r="885" hidden="1">
      <c r="C885" s="103"/>
      <c r="D885" s="103"/>
      <c r="F885" s="34"/>
      <c r="G885" s="103"/>
      <c r="H885" s="103"/>
      <c r="I885" s="103"/>
    </row>
    <row r="886" hidden="1">
      <c r="C886" s="103"/>
      <c r="D886" s="103"/>
      <c r="F886" s="34"/>
      <c r="G886" s="103"/>
      <c r="H886" s="103"/>
      <c r="I886" s="103"/>
    </row>
    <row r="887" hidden="1">
      <c r="C887" s="103"/>
      <c r="D887" s="103"/>
      <c r="F887" s="34"/>
      <c r="G887" s="103"/>
      <c r="H887" s="103"/>
      <c r="I887" s="103"/>
    </row>
    <row r="888" hidden="1">
      <c r="C888" s="103"/>
      <c r="D888" s="103"/>
      <c r="F888" s="34"/>
      <c r="G888" s="103"/>
      <c r="H888" s="103"/>
      <c r="I888" s="103"/>
    </row>
    <row r="889" hidden="1">
      <c r="C889" s="103"/>
      <c r="D889" s="103"/>
      <c r="F889" s="34"/>
      <c r="G889" s="103"/>
      <c r="H889" s="103"/>
      <c r="I889" s="103"/>
    </row>
    <row r="890" hidden="1">
      <c r="C890" s="103"/>
      <c r="D890" s="103"/>
      <c r="F890" s="34"/>
      <c r="G890" s="103"/>
      <c r="H890" s="103"/>
      <c r="I890" s="103"/>
    </row>
    <row r="891" hidden="1">
      <c r="C891" s="103"/>
      <c r="D891" s="103"/>
      <c r="F891" s="34"/>
      <c r="G891" s="103"/>
      <c r="H891" s="103"/>
      <c r="I891" s="103"/>
    </row>
    <row r="892" hidden="1">
      <c r="C892" s="103"/>
      <c r="D892" s="103"/>
      <c r="F892" s="34"/>
      <c r="G892" s="103"/>
      <c r="H892" s="103"/>
      <c r="I892" s="103"/>
    </row>
    <row r="893" hidden="1">
      <c r="C893" s="103"/>
      <c r="D893" s="103"/>
      <c r="F893" s="34"/>
      <c r="G893" s="103"/>
      <c r="H893" s="103"/>
      <c r="I893" s="103"/>
    </row>
    <row r="894" hidden="1">
      <c r="C894" s="103"/>
      <c r="D894" s="103"/>
      <c r="F894" s="34"/>
      <c r="G894" s="103"/>
      <c r="H894" s="103"/>
      <c r="I894" s="103"/>
    </row>
    <row r="895" hidden="1">
      <c r="C895" s="103"/>
      <c r="D895" s="103"/>
      <c r="F895" s="34"/>
      <c r="G895" s="103"/>
      <c r="H895" s="103"/>
      <c r="I895" s="103"/>
    </row>
    <row r="896" hidden="1">
      <c r="C896" s="103"/>
      <c r="D896" s="103"/>
      <c r="F896" s="34"/>
      <c r="G896" s="103"/>
      <c r="H896" s="103"/>
      <c r="I896" s="103"/>
    </row>
    <row r="897" hidden="1">
      <c r="C897" s="103"/>
      <c r="D897" s="103"/>
      <c r="F897" s="34"/>
      <c r="G897" s="103"/>
      <c r="H897" s="103"/>
      <c r="I897" s="103"/>
    </row>
    <row r="898" hidden="1">
      <c r="C898" s="103"/>
      <c r="D898" s="103"/>
      <c r="F898" s="34"/>
      <c r="G898" s="103"/>
      <c r="H898" s="103"/>
      <c r="I898" s="103"/>
    </row>
    <row r="899" hidden="1">
      <c r="C899" s="103"/>
      <c r="D899" s="103"/>
      <c r="F899" s="34"/>
      <c r="G899" s="103"/>
      <c r="H899" s="103"/>
      <c r="I899" s="103"/>
    </row>
    <row r="900" hidden="1">
      <c r="C900" s="103"/>
      <c r="D900" s="103"/>
      <c r="F900" s="34"/>
      <c r="G900" s="103"/>
      <c r="H900" s="103"/>
      <c r="I900" s="103"/>
    </row>
    <row r="901" hidden="1">
      <c r="C901" s="103"/>
      <c r="D901" s="103"/>
      <c r="F901" s="34"/>
      <c r="G901" s="103"/>
      <c r="H901" s="103"/>
      <c r="I901" s="103"/>
    </row>
    <row r="902" hidden="1">
      <c r="C902" s="103"/>
      <c r="D902" s="103"/>
      <c r="F902" s="34"/>
      <c r="G902" s="103"/>
      <c r="H902" s="103"/>
      <c r="I902" s="103"/>
    </row>
    <row r="903" hidden="1">
      <c r="C903" s="103"/>
      <c r="D903" s="103"/>
      <c r="F903" s="34"/>
      <c r="G903" s="103"/>
      <c r="H903" s="103"/>
      <c r="I903" s="103"/>
    </row>
    <row r="904" hidden="1">
      <c r="C904" s="103"/>
      <c r="D904" s="103"/>
      <c r="F904" s="34"/>
      <c r="G904" s="103"/>
      <c r="H904" s="103"/>
      <c r="I904" s="103"/>
    </row>
    <row r="905" hidden="1">
      <c r="C905" s="103"/>
      <c r="D905" s="103"/>
      <c r="F905" s="34"/>
      <c r="G905" s="103"/>
      <c r="H905" s="103"/>
      <c r="I905" s="103"/>
    </row>
    <row r="906" hidden="1">
      <c r="C906" s="103"/>
      <c r="D906" s="103"/>
      <c r="F906" s="34"/>
      <c r="G906" s="103"/>
      <c r="H906" s="103"/>
      <c r="I906" s="103"/>
    </row>
    <row r="907" hidden="1">
      <c r="C907" s="103"/>
      <c r="D907" s="103"/>
      <c r="F907" s="34"/>
      <c r="G907" s="103"/>
      <c r="H907" s="103"/>
      <c r="I907" s="103"/>
    </row>
    <row r="908" hidden="1">
      <c r="C908" s="103"/>
      <c r="D908" s="103"/>
      <c r="F908" s="34"/>
      <c r="G908" s="103"/>
      <c r="H908" s="103"/>
      <c r="I908" s="103"/>
    </row>
    <row r="909" hidden="1">
      <c r="C909" s="103"/>
      <c r="D909" s="103"/>
      <c r="F909" s="34"/>
      <c r="G909" s="103"/>
      <c r="H909" s="103"/>
      <c r="I909" s="103"/>
    </row>
    <row r="910" hidden="1">
      <c r="C910" s="103"/>
      <c r="D910" s="103"/>
      <c r="F910" s="34"/>
      <c r="G910" s="103"/>
      <c r="H910" s="103"/>
      <c r="I910" s="103"/>
    </row>
    <row r="911" hidden="1">
      <c r="C911" s="103"/>
      <c r="D911" s="103"/>
      <c r="F911" s="34"/>
      <c r="G911" s="103"/>
      <c r="H911" s="103"/>
      <c r="I911" s="103"/>
    </row>
    <row r="912" hidden="1">
      <c r="C912" s="103"/>
      <c r="D912" s="103"/>
      <c r="F912" s="34"/>
      <c r="G912" s="103"/>
      <c r="H912" s="103"/>
      <c r="I912" s="103"/>
    </row>
    <row r="913" hidden="1">
      <c r="C913" s="103"/>
      <c r="D913" s="103"/>
      <c r="F913" s="34"/>
      <c r="G913" s="103"/>
      <c r="H913" s="103"/>
      <c r="I913" s="103"/>
    </row>
    <row r="914" hidden="1">
      <c r="C914" s="103"/>
      <c r="D914" s="103"/>
      <c r="F914" s="34"/>
      <c r="G914" s="103"/>
      <c r="H914" s="103"/>
      <c r="I914" s="103"/>
    </row>
    <row r="915" hidden="1">
      <c r="C915" s="103"/>
      <c r="D915" s="103"/>
      <c r="F915" s="34"/>
      <c r="G915" s="103"/>
      <c r="H915" s="103"/>
      <c r="I915" s="103"/>
    </row>
    <row r="916" hidden="1">
      <c r="C916" s="103"/>
      <c r="D916" s="103"/>
      <c r="F916" s="34"/>
      <c r="G916" s="103"/>
      <c r="H916" s="103"/>
      <c r="I916" s="103"/>
    </row>
    <row r="917" hidden="1">
      <c r="C917" s="103"/>
      <c r="D917" s="103"/>
      <c r="F917" s="34"/>
      <c r="G917" s="103"/>
      <c r="H917" s="103"/>
      <c r="I917" s="103"/>
    </row>
    <row r="918" hidden="1">
      <c r="C918" s="103"/>
      <c r="D918" s="103"/>
      <c r="F918" s="34"/>
      <c r="G918" s="103"/>
      <c r="H918" s="103"/>
      <c r="I918" s="103"/>
    </row>
    <row r="919" hidden="1">
      <c r="C919" s="103"/>
      <c r="D919" s="103"/>
      <c r="F919" s="34"/>
      <c r="G919" s="103"/>
      <c r="H919" s="103"/>
      <c r="I919" s="103"/>
    </row>
    <row r="920" hidden="1">
      <c r="C920" s="103"/>
      <c r="D920" s="103"/>
      <c r="F920" s="34"/>
      <c r="G920" s="103"/>
      <c r="H920" s="103"/>
      <c r="I920" s="103"/>
    </row>
    <row r="921" hidden="1">
      <c r="C921" s="103"/>
      <c r="D921" s="103"/>
      <c r="F921" s="34"/>
      <c r="G921" s="103"/>
      <c r="H921" s="103"/>
      <c r="I921" s="103"/>
    </row>
    <row r="922" hidden="1">
      <c r="C922" s="103"/>
      <c r="D922" s="103"/>
      <c r="F922" s="34"/>
      <c r="G922" s="103"/>
      <c r="H922" s="103"/>
      <c r="I922" s="103"/>
    </row>
    <row r="923" hidden="1">
      <c r="C923" s="103"/>
      <c r="D923" s="103"/>
      <c r="F923" s="34"/>
      <c r="G923" s="103"/>
      <c r="H923" s="103"/>
      <c r="I923" s="103"/>
    </row>
    <row r="924" hidden="1">
      <c r="C924" s="103"/>
      <c r="D924" s="103"/>
      <c r="F924" s="34"/>
      <c r="G924" s="103"/>
      <c r="H924" s="103"/>
      <c r="I924" s="103"/>
    </row>
    <row r="925" hidden="1">
      <c r="C925" s="103"/>
      <c r="D925" s="103"/>
      <c r="F925" s="34"/>
      <c r="G925" s="103"/>
      <c r="H925" s="103"/>
      <c r="I925" s="103"/>
    </row>
    <row r="926" hidden="1">
      <c r="C926" s="103"/>
      <c r="D926" s="103"/>
      <c r="F926" s="34"/>
      <c r="G926" s="103"/>
      <c r="H926" s="103"/>
      <c r="I926" s="103"/>
    </row>
    <row r="927" hidden="1">
      <c r="C927" s="103"/>
      <c r="D927" s="103"/>
      <c r="F927" s="34"/>
      <c r="G927" s="103"/>
      <c r="H927" s="103"/>
      <c r="I927" s="103"/>
    </row>
    <row r="928" hidden="1">
      <c r="C928" s="103"/>
      <c r="D928" s="103"/>
      <c r="F928" s="34"/>
      <c r="G928" s="103"/>
      <c r="H928" s="103"/>
      <c r="I928" s="103"/>
    </row>
    <row r="929" hidden="1">
      <c r="C929" s="103"/>
      <c r="D929" s="103"/>
      <c r="F929" s="34"/>
      <c r="G929" s="103"/>
      <c r="H929" s="103"/>
      <c r="I929" s="103"/>
    </row>
    <row r="930" hidden="1">
      <c r="C930" s="103"/>
      <c r="D930" s="103"/>
      <c r="F930" s="34"/>
      <c r="G930" s="103"/>
      <c r="H930" s="103"/>
      <c r="I930" s="103"/>
    </row>
    <row r="931" hidden="1">
      <c r="C931" s="103"/>
      <c r="D931" s="103"/>
      <c r="F931" s="34"/>
      <c r="G931" s="103"/>
      <c r="H931" s="103"/>
      <c r="I931" s="103"/>
    </row>
    <row r="932" hidden="1">
      <c r="C932" s="103"/>
      <c r="D932" s="103"/>
      <c r="F932" s="34"/>
      <c r="G932" s="103"/>
      <c r="H932" s="103"/>
      <c r="I932" s="103"/>
    </row>
    <row r="933" hidden="1">
      <c r="C933" s="103"/>
      <c r="D933" s="103"/>
      <c r="F933" s="34"/>
      <c r="G933" s="103"/>
      <c r="H933" s="103"/>
      <c r="I933" s="103"/>
    </row>
    <row r="934" hidden="1">
      <c r="C934" s="103"/>
      <c r="D934" s="103"/>
      <c r="F934" s="34"/>
      <c r="G934" s="103"/>
      <c r="H934" s="103"/>
      <c r="I934" s="103"/>
    </row>
    <row r="935" hidden="1">
      <c r="C935" s="103"/>
      <c r="D935" s="103"/>
      <c r="F935" s="34"/>
      <c r="G935" s="103"/>
      <c r="H935" s="103"/>
      <c r="I935" s="103"/>
    </row>
    <row r="936" hidden="1">
      <c r="C936" s="103"/>
      <c r="D936" s="103"/>
      <c r="F936" s="34"/>
      <c r="G936" s="103"/>
      <c r="H936" s="103"/>
      <c r="I936" s="103"/>
    </row>
    <row r="937" hidden="1">
      <c r="C937" s="103"/>
      <c r="D937" s="103"/>
      <c r="F937" s="34"/>
      <c r="G937" s="103"/>
      <c r="H937" s="103"/>
      <c r="I937" s="103"/>
    </row>
    <row r="938" hidden="1">
      <c r="C938" s="103"/>
      <c r="D938" s="103"/>
      <c r="F938" s="34"/>
      <c r="G938" s="103"/>
      <c r="H938" s="103"/>
      <c r="I938" s="103"/>
    </row>
    <row r="939" hidden="1">
      <c r="C939" s="103"/>
      <c r="D939" s="103"/>
      <c r="F939" s="34"/>
      <c r="G939" s="103"/>
      <c r="H939" s="103"/>
      <c r="I939" s="103"/>
    </row>
    <row r="940" hidden="1">
      <c r="C940" s="103"/>
      <c r="D940" s="103"/>
      <c r="F940" s="34"/>
      <c r="G940" s="103"/>
      <c r="H940" s="103"/>
      <c r="I940" s="103"/>
    </row>
    <row r="941" hidden="1">
      <c r="C941" s="103"/>
      <c r="D941" s="103"/>
      <c r="F941" s="34"/>
      <c r="G941" s="103"/>
      <c r="H941" s="103"/>
      <c r="I941" s="103"/>
    </row>
    <row r="942" hidden="1">
      <c r="C942" s="103"/>
      <c r="D942" s="103"/>
      <c r="F942" s="34"/>
      <c r="G942" s="103"/>
      <c r="H942" s="103"/>
      <c r="I942" s="103"/>
    </row>
    <row r="943" hidden="1">
      <c r="C943" s="103"/>
      <c r="D943" s="103"/>
      <c r="F943" s="34"/>
      <c r="G943" s="103"/>
      <c r="H943" s="103"/>
      <c r="I943" s="103"/>
    </row>
    <row r="944" hidden="1">
      <c r="C944" s="103"/>
      <c r="D944" s="103"/>
      <c r="F944" s="34"/>
      <c r="G944" s="103"/>
      <c r="H944" s="103"/>
      <c r="I944" s="103"/>
    </row>
    <row r="945" hidden="1">
      <c r="C945" s="103"/>
      <c r="D945" s="103"/>
      <c r="F945" s="34"/>
      <c r="G945" s="103"/>
      <c r="H945" s="103"/>
      <c r="I945" s="103"/>
    </row>
    <row r="946" hidden="1">
      <c r="C946" s="103"/>
      <c r="D946" s="103"/>
      <c r="F946" s="34"/>
      <c r="G946" s="103"/>
      <c r="H946" s="103"/>
      <c r="I946" s="103"/>
    </row>
    <row r="947" hidden="1">
      <c r="C947" s="103"/>
      <c r="D947" s="103"/>
      <c r="F947" s="34"/>
      <c r="G947" s="103"/>
      <c r="H947" s="103"/>
      <c r="I947" s="103"/>
    </row>
    <row r="948" hidden="1">
      <c r="C948" s="103"/>
      <c r="D948" s="103"/>
      <c r="F948" s="34"/>
      <c r="G948" s="103"/>
      <c r="H948" s="103"/>
      <c r="I948" s="103"/>
    </row>
    <row r="949" hidden="1">
      <c r="C949" s="103"/>
      <c r="D949" s="103"/>
      <c r="F949" s="34"/>
      <c r="G949" s="103"/>
      <c r="H949" s="103"/>
      <c r="I949" s="103"/>
    </row>
    <row r="950" hidden="1">
      <c r="C950" s="103"/>
      <c r="D950" s="103"/>
      <c r="F950" s="34"/>
      <c r="G950" s="103"/>
      <c r="H950" s="103"/>
      <c r="I950" s="103"/>
    </row>
    <row r="951" hidden="1">
      <c r="C951" s="103"/>
      <c r="D951" s="103"/>
      <c r="F951" s="34"/>
      <c r="G951" s="103"/>
      <c r="H951" s="103"/>
      <c r="I951" s="103"/>
    </row>
    <row r="952" hidden="1">
      <c r="C952" s="103"/>
      <c r="D952" s="103"/>
      <c r="F952" s="34"/>
      <c r="G952" s="103"/>
      <c r="H952" s="103"/>
      <c r="I952" s="103"/>
    </row>
    <row r="953" hidden="1">
      <c r="C953" s="103"/>
      <c r="D953" s="103"/>
      <c r="F953" s="34"/>
      <c r="G953" s="103"/>
      <c r="H953" s="103"/>
      <c r="I953" s="103"/>
    </row>
    <row r="954" hidden="1">
      <c r="C954" s="103"/>
      <c r="D954" s="103"/>
      <c r="F954" s="34"/>
      <c r="G954" s="103"/>
      <c r="H954" s="103"/>
      <c r="I954" s="103"/>
    </row>
    <row r="955" hidden="1">
      <c r="C955" s="103"/>
      <c r="D955" s="103"/>
      <c r="F955" s="34"/>
      <c r="G955" s="103"/>
      <c r="H955" s="103"/>
      <c r="I955" s="103"/>
    </row>
    <row r="956" hidden="1">
      <c r="C956" s="103"/>
      <c r="D956" s="103"/>
      <c r="F956" s="34"/>
      <c r="G956" s="103"/>
      <c r="H956" s="103"/>
      <c r="I956" s="103"/>
    </row>
    <row r="957" hidden="1">
      <c r="C957" s="103"/>
      <c r="D957" s="103"/>
      <c r="F957" s="34"/>
      <c r="G957" s="103"/>
      <c r="H957" s="103"/>
      <c r="I957" s="103"/>
    </row>
    <row r="958" hidden="1">
      <c r="C958" s="103"/>
      <c r="D958" s="103"/>
      <c r="F958" s="34"/>
      <c r="G958" s="103"/>
      <c r="H958" s="103"/>
      <c r="I958" s="103"/>
    </row>
    <row r="959" hidden="1">
      <c r="C959" s="103"/>
      <c r="D959" s="103"/>
      <c r="F959" s="34"/>
      <c r="G959" s="103"/>
      <c r="H959" s="103"/>
      <c r="I959" s="103"/>
    </row>
    <row r="960" hidden="1">
      <c r="C960" s="103"/>
      <c r="D960" s="103"/>
      <c r="F960" s="34"/>
      <c r="G960" s="103"/>
      <c r="H960" s="103"/>
      <c r="I960" s="103"/>
    </row>
    <row r="961" hidden="1">
      <c r="C961" s="103"/>
      <c r="D961" s="103"/>
      <c r="F961" s="34"/>
      <c r="G961" s="103"/>
      <c r="H961" s="103"/>
      <c r="I961" s="103"/>
    </row>
    <row r="962" hidden="1">
      <c r="C962" s="103"/>
      <c r="D962" s="103"/>
      <c r="F962" s="34"/>
      <c r="G962" s="103"/>
      <c r="H962" s="103"/>
      <c r="I962" s="103"/>
    </row>
    <row r="963" hidden="1">
      <c r="C963" s="103"/>
      <c r="D963" s="103"/>
      <c r="F963" s="34"/>
      <c r="G963" s="103"/>
      <c r="H963" s="103"/>
      <c r="I963" s="103"/>
    </row>
    <row r="964" hidden="1">
      <c r="C964" s="103"/>
      <c r="D964" s="103"/>
      <c r="F964" s="34"/>
      <c r="G964" s="103"/>
      <c r="H964" s="103"/>
      <c r="I964" s="103"/>
    </row>
    <row r="965" hidden="1">
      <c r="C965" s="103"/>
      <c r="D965" s="103"/>
      <c r="F965" s="34"/>
      <c r="G965" s="103"/>
      <c r="H965" s="103"/>
      <c r="I965" s="103"/>
    </row>
    <row r="966" hidden="1">
      <c r="C966" s="103"/>
      <c r="D966" s="103"/>
      <c r="F966" s="34"/>
      <c r="G966" s="103"/>
      <c r="H966" s="103"/>
      <c r="I966" s="103"/>
    </row>
    <row r="967" hidden="1">
      <c r="C967" s="103"/>
      <c r="D967" s="103"/>
      <c r="F967" s="34"/>
      <c r="G967" s="103"/>
      <c r="H967" s="103"/>
      <c r="I967" s="103"/>
    </row>
    <row r="968" hidden="1">
      <c r="C968" s="103"/>
      <c r="D968" s="103"/>
      <c r="F968" s="34"/>
      <c r="G968" s="103"/>
      <c r="H968" s="103"/>
      <c r="I968" s="103"/>
    </row>
    <row r="969" hidden="1">
      <c r="C969" s="103"/>
      <c r="D969" s="103"/>
      <c r="F969" s="34"/>
      <c r="G969" s="103"/>
      <c r="H969" s="103"/>
      <c r="I969" s="103"/>
    </row>
    <row r="970" hidden="1">
      <c r="C970" s="103"/>
      <c r="D970" s="103"/>
      <c r="F970" s="34"/>
      <c r="G970" s="103"/>
      <c r="H970" s="103"/>
      <c r="I970" s="103"/>
    </row>
    <row r="971" hidden="1">
      <c r="C971" s="103"/>
      <c r="D971" s="103"/>
      <c r="F971" s="34"/>
      <c r="G971" s="103"/>
      <c r="H971" s="103"/>
      <c r="I971" s="103"/>
    </row>
    <row r="972" hidden="1">
      <c r="C972" s="103"/>
      <c r="D972" s="103"/>
      <c r="F972" s="34"/>
      <c r="G972" s="103"/>
      <c r="H972" s="103"/>
      <c r="I972" s="103"/>
    </row>
    <row r="973" hidden="1">
      <c r="C973" s="103"/>
      <c r="D973" s="103"/>
      <c r="F973" s="34"/>
      <c r="G973" s="103"/>
      <c r="H973" s="103"/>
      <c r="I973" s="103"/>
    </row>
    <row r="974" hidden="1">
      <c r="C974" s="103"/>
      <c r="D974" s="103"/>
      <c r="F974" s="34"/>
      <c r="G974" s="103"/>
      <c r="H974" s="103"/>
      <c r="I974" s="103"/>
    </row>
    <row r="975" hidden="1">
      <c r="C975" s="103"/>
      <c r="D975" s="103"/>
      <c r="F975" s="34"/>
      <c r="G975" s="103"/>
      <c r="H975" s="103"/>
      <c r="I975" s="103"/>
    </row>
    <row r="976" hidden="1">
      <c r="C976" s="103"/>
      <c r="D976" s="103"/>
      <c r="F976" s="34"/>
      <c r="G976" s="103"/>
      <c r="H976" s="103"/>
      <c r="I976" s="103"/>
    </row>
    <row r="977" hidden="1">
      <c r="C977" s="103"/>
      <c r="D977" s="103"/>
      <c r="F977" s="34"/>
      <c r="G977" s="103"/>
      <c r="H977" s="103"/>
      <c r="I977" s="103"/>
    </row>
    <row r="978" hidden="1">
      <c r="C978" s="103"/>
      <c r="D978" s="103"/>
      <c r="F978" s="34"/>
      <c r="G978" s="103"/>
      <c r="H978" s="103"/>
      <c r="I978" s="103"/>
    </row>
    <row r="979" hidden="1">
      <c r="C979" s="103"/>
      <c r="D979" s="103"/>
      <c r="F979" s="34"/>
      <c r="G979" s="103"/>
      <c r="H979" s="103"/>
      <c r="I979" s="103"/>
    </row>
    <row r="980" hidden="1">
      <c r="C980" s="103"/>
      <c r="D980" s="103"/>
      <c r="F980" s="34"/>
      <c r="G980" s="103"/>
      <c r="H980" s="103"/>
      <c r="I980" s="103"/>
    </row>
    <row r="981" hidden="1">
      <c r="C981" s="103"/>
      <c r="D981" s="103"/>
      <c r="F981" s="34"/>
      <c r="G981" s="103"/>
      <c r="H981" s="103"/>
      <c r="I981" s="103"/>
    </row>
    <row r="982" hidden="1">
      <c r="C982" s="103"/>
      <c r="D982" s="103"/>
      <c r="F982" s="34"/>
      <c r="G982" s="103"/>
      <c r="H982" s="103"/>
      <c r="I982" s="103"/>
    </row>
    <row r="983" hidden="1">
      <c r="C983" s="103"/>
      <c r="D983" s="103"/>
      <c r="F983" s="34"/>
      <c r="G983" s="103"/>
      <c r="H983" s="103"/>
      <c r="I983" s="103"/>
    </row>
    <row r="984" hidden="1">
      <c r="C984" s="103"/>
      <c r="D984" s="103"/>
      <c r="F984" s="34"/>
      <c r="G984" s="103"/>
      <c r="H984" s="103"/>
      <c r="I984" s="103"/>
    </row>
    <row r="985" hidden="1">
      <c r="C985" s="103"/>
      <c r="D985" s="103"/>
      <c r="F985" s="34"/>
      <c r="G985" s="103"/>
      <c r="H985" s="103"/>
      <c r="I985" s="103"/>
    </row>
    <row r="986" hidden="1">
      <c r="C986" s="103"/>
      <c r="D986" s="103"/>
      <c r="F986" s="34"/>
      <c r="G986" s="103"/>
      <c r="H986" s="103"/>
      <c r="I986" s="103"/>
    </row>
    <row r="987" hidden="1">
      <c r="C987" s="103"/>
      <c r="D987" s="103"/>
      <c r="F987" s="34"/>
      <c r="G987" s="103"/>
      <c r="H987" s="103"/>
      <c r="I987" s="103"/>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243"/>
    <hyperlink r:id="rId670" ref="L243"/>
    <hyperlink r:id="rId671" ref="K245"/>
    <hyperlink r:id="rId672" ref="L245"/>
    <hyperlink r:id="rId673" ref="M245"/>
    <hyperlink r:id="rId674" ref="N245"/>
    <hyperlink r:id="rId675" ref="O245"/>
    <hyperlink r:id="rId676" ref="P245"/>
    <hyperlink r:id="rId677" ref="K246"/>
    <hyperlink r:id="rId678" ref="L246"/>
    <hyperlink r:id="rId679" ref="M246"/>
    <hyperlink r:id="rId680" ref="K247"/>
    <hyperlink r:id="rId681" ref="L247"/>
    <hyperlink r:id="rId682" ref="M247"/>
    <hyperlink r:id="rId683" ref="N247"/>
    <hyperlink r:id="rId684" ref="K248"/>
    <hyperlink r:id="rId685" ref="L248"/>
    <hyperlink r:id="rId686" ref="M248"/>
    <hyperlink r:id="rId687" ref="N248"/>
    <hyperlink r:id="rId688" ref="O248"/>
    <hyperlink r:id="rId689" ref="K249"/>
    <hyperlink r:id="rId690" ref="L249"/>
    <hyperlink r:id="rId691" ref="M249"/>
    <hyperlink r:id="rId692" ref="N249"/>
    <hyperlink r:id="rId693" ref="O249"/>
    <hyperlink r:id="rId694" ref="K250"/>
    <hyperlink r:id="rId695" ref="L250"/>
    <hyperlink r:id="rId696" ref="M250"/>
    <hyperlink r:id="rId697" ref="N250"/>
    <hyperlink r:id="rId698" ref="O250"/>
    <hyperlink r:id="rId699" ref="K254"/>
    <hyperlink r:id="rId700" ref="L254"/>
    <hyperlink r:id="rId701" ref="M254"/>
    <hyperlink r:id="rId702" ref="N254"/>
    <hyperlink r:id="rId703" ref="O254"/>
    <hyperlink r:id="rId704" ref="K259"/>
    <hyperlink r:id="rId705" ref="L259"/>
    <hyperlink r:id="rId706" ref="M259"/>
    <hyperlink r:id="rId707" ref="N259"/>
    <hyperlink r:id="rId708" ref="O259"/>
    <hyperlink r:id="rId709" ref="K262"/>
    <hyperlink r:id="rId710" ref="L262"/>
    <hyperlink r:id="rId711" ref="M262"/>
    <hyperlink r:id="rId712" ref="N262"/>
    <hyperlink r:id="rId713" ref="O262"/>
    <hyperlink r:id="rId714" ref="K263"/>
    <hyperlink r:id="rId715" ref="L263"/>
    <hyperlink r:id="rId716" ref="M263"/>
    <hyperlink r:id="rId717" ref="N263"/>
    <hyperlink r:id="rId718" ref="O263"/>
    <hyperlink r:id="rId719" ref="K264"/>
    <hyperlink r:id="rId720" ref="L264"/>
    <hyperlink r:id="rId721" ref="M264"/>
    <hyperlink r:id="rId722" ref="N264"/>
    <hyperlink r:id="rId723" ref="O264"/>
    <hyperlink r:id="rId724" ref="P264"/>
    <hyperlink r:id="rId725" ref="Q264"/>
    <hyperlink r:id="rId726" ref="K266"/>
    <hyperlink r:id="rId727" ref="L266"/>
    <hyperlink r:id="rId728" ref="M266"/>
    <hyperlink r:id="rId729" ref="N266"/>
    <hyperlink r:id="rId730" ref="O266"/>
    <hyperlink r:id="rId731" ref="P266"/>
    <hyperlink r:id="rId732" ref="Q266"/>
    <hyperlink r:id="rId733" ref="K270"/>
    <hyperlink r:id="rId734" ref="L270"/>
    <hyperlink r:id="rId735" ref="M270"/>
    <hyperlink r:id="rId736" ref="N270"/>
    <hyperlink r:id="rId737" ref="O270"/>
    <hyperlink r:id="rId738" ref="P270"/>
    <hyperlink r:id="rId739" ref="Q270"/>
    <hyperlink r:id="rId740" ref="R270"/>
    <hyperlink r:id="rId741" ref="S270"/>
    <hyperlink r:id="rId742" ref="K273"/>
    <hyperlink r:id="rId743" ref="L273"/>
    <hyperlink r:id="rId744" ref="M273"/>
    <hyperlink r:id="rId745" ref="N273"/>
    <hyperlink r:id="rId746" ref="O273"/>
    <hyperlink r:id="rId747" ref="P273"/>
    <hyperlink r:id="rId748" ref="K277"/>
    <hyperlink r:id="rId749" ref="L277"/>
    <hyperlink r:id="rId750" ref="M277"/>
    <hyperlink r:id="rId751" ref="N277"/>
    <hyperlink r:id="rId752" ref="K278"/>
    <hyperlink r:id="rId753" ref="L278"/>
    <hyperlink r:id="rId754" ref="M278"/>
    <hyperlink r:id="rId755" ref="K279"/>
    <hyperlink r:id="rId756" ref="L279"/>
    <hyperlink r:id="rId757" ref="K281"/>
    <hyperlink r:id="rId758" ref="L281"/>
    <hyperlink r:id="rId759" ref="M281"/>
    <hyperlink r:id="rId760" ref="K282"/>
    <hyperlink r:id="rId761" ref="L282"/>
    <hyperlink r:id="rId762" ref="M282"/>
    <hyperlink r:id="rId763" ref="N282"/>
    <hyperlink r:id="rId764" ref="O282"/>
    <hyperlink r:id="rId765" ref="P282"/>
    <hyperlink r:id="rId766" ref="K284"/>
    <hyperlink r:id="rId767" ref="L284"/>
    <hyperlink r:id="rId768" ref="M284"/>
    <hyperlink r:id="rId769" ref="N284"/>
    <hyperlink r:id="rId770" ref="O284"/>
    <hyperlink r:id="rId771" ref="K294"/>
    <hyperlink r:id="rId772" ref="L294"/>
    <hyperlink r:id="rId773" ref="M294"/>
    <hyperlink r:id="rId774" ref="N294"/>
    <hyperlink r:id="rId775" ref="K296"/>
    <hyperlink r:id="rId776" ref="L296"/>
    <hyperlink r:id="rId777" ref="M296"/>
    <hyperlink r:id="rId778" ref="N296"/>
    <hyperlink r:id="rId779" ref="K298"/>
    <hyperlink r:id="rId780" ref="L298"/>
    <hyperlink r:id="rId781" ref="M298"/>
    <hyperlink r:id="rId782" ref="N298"/>
    <hyperlink r:id="rId783" ref="O298"/>
    <hyperlink r:id="rId784" ref="K299"/>
    <hyperlink r:id="rId785" ref="L299"/>
    <hyperlink r:id="rId786" ref="M299"/>
    <hyperlink r:id="rId787" ref="K323"/>
    <hyperlink r:id="rId788" ref="L323"/>
    <hyperlink r:id="rId789" ref="K350"/>
    <hyperlink r:id="rId790" ref="K411"/>
    <hyperlink r:id="rId791" ref="K423"/>
    <hyperlink r:id="rId792" ref="L423"/>
    <hyperlink r:id="rId793" ref="M423"/>
    <hyperlink r:id="rId794" ref="K424"/>
    <hyperlink r:id="rId795" ref="L424"/>
    <hyperlink r:id="rId796" ref="M424"/>
    <hyperlink r:id="rId797" ref="N424"/>
    <hyperlink r:id="rId798" ref="K425"/>
    <hyperlink r:id="rId799" ref="L425"/>
    <hyperlink r:id="rId800" ref="M425"/>
    <hyperlink r:id="rId801" ref="K426"/>
    <hyperlink r:id="rId802" ref="L426"/>
    <hyperlink r:id="rId803" ref="M426"/>
    <hyperlink r:id="rId804" ref="K427"/>
    <hyperlink r:id="rId805" ref="L427"/>
    <hyperlink r:id="rId806" ref="M427"/>
    <hyperlink r:id="rId807" ref="N427"/>
    <hyperlink r:id="rId808" ref="K428"/>
    <hyperlink r:id="rId809" ref="L428"/>
    <hyperlink r:id="rId810" ref="M428"/>
    <hyperlink r:id="rId811" ref="K429"/>
    <hyperlink r:id="rId812" ref="L429"/>
    <hyperlink r:id="rId813" ref="M429"/>
    <hyperlink r:id="rId814" ref="N429"/>
    <hyperlink r:id="rId815" ref="K430"/>
    <hyperlink r:id="rId816" ref="L430"/>
    <hyperlink r:id="rId817" ref="M430"/>
    <hyperlink r:id="rId818" ref="N430"/>
    <hyperlink r:id="rId819" ref="O430"/>
    <hyperlink r:id="rId820" ref="P430"/>
    <hyperlink r:id="rId821" ref="Q430"/>
    <hyperlink r:id="rId822" ref="R430"/>
    <hyperlink r:id="rId823" ref="K431"/>
    <hyperlink r:id="rId824" ref="L431"/>
    <hyperlink r:id="rId825" ref="M431"/>
    <hyperlink r:id="rId826" ref="K432"/>
    <hyperlink r:id="rId827" ref="L432"/>
    <hyperlink r:id="rId828" ref="K433"/>
    <hyperlink r:id="rId829" ref="L433"/>
    <hyperlink r:id="rId830" ref="M433"/>
    <hyperlink r:id="rId831" ref="N433"/>
    <hyperlink r:id="rId832" ref="O433"/>
    <hyperlink r:id="rId833" ref="P433"/>
    <hyperlink r:id="rId834" ref="Q433"/>
    <hyperlink r:id="rId835" ref="R433"/>
    <hyperlink r:id="rId836" ref="K434"/>
    <hyperlink r:id="rId837" ref="L434"/>
    <hyperlink r:id="rId838" ref="K435"/>
    <hyperlink r:id="rId839" ref="L435"/>
    <hyperlink r:id="rId840" ref="K436"/>
    <hyperlink r:id="rId841" ref="L436"/>
    <hyperlink r:id="rId842" ref="M436"/>
    <hyperlink r:id="rId843" ref="N436"/>
  </hyperlinks>
  <drawing r:id="rId8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2418</v>
      </c>
    </row>
    <row r="2">
      <c r="A2" s="16" t="s">
        <v>2419</v>
      </c>
      <c r="B2" s="16" t="s">
        <v>2420</v>
      </c>
    </row>
    <row r="3">
      <c r="A3" s="16" t="s">
        <v>2421</v>
      </c>
      <c r="B3" s="16" t="s">
        <v>2422</v>
      </c>
    </row>
    <row r="4">
      <c r="A4" s="16" t="s">
        <v>2423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2424</v>
      </c>
      <c r="B1" s="111"/>
      <c r="C1" s="112" t="s">
        <v>2425</v>
      </c>
      <c r="D1" s="113" t="s">
        <v>2426</v>
      </c>
      <c r="E1" s="113" t="s">
        <v>26</v>
      </c>
      <c r="F1" s="113" t="s">
        <v>70</v>
      </c>
      <c r="G1" s="114" t="s">
        <v>32</v>
      </c>
      <c r="H1" s="28"/>
      <c r="I1" s="115" t="s">
        <v>2427</v>
      </c>
      <c r="J1" s="115" t="s">
        <v>2428</v>
      </c>
      <c r="K1" s="115" t="s">
        <v>2429</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3"/>
    </row>
    <row r="3">
      <c r="A3" s="121" t="s">
        <v>2430</v>
      </c>
      <c r="C3" s="117" t="s">
        <v>418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3">
        <v>1.0</v>
      </c>
      <c r="C4" s="117" t="s">
        <v>1039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4" t="s">
        <v>2431</v>
      </c>
      <c r="C5" s="125" t="s">
        <v>1501</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6"/>
      <c r="C6" s="117" t="s">
        <v>1887</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7"/>
      <c r="C7" s="117" t="s">
        <v>2432</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7"/>
      <c r="C8" s="128" t="s">
        <v>2433</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1" t="s">
        <v>2434</v>
      </c>
      <c r="C9" s="132" t="s">
        <v>391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2435</v>
      </c>
      <c r="C10" s="137" t="s">
        <v>1836</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2436</v>
      </c>
      <c r="C11" s="140" t="s">
        <v>895</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2437</v>
      </c>
      <c r="C12" s="137" t="s">
        <v>355</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2438</v>
      </c>
      <c r="C13" s="137" t="s">
        <v>964</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2439</v>
      </c>
      <c r="J13" s="142">
        <f>ROUND(AVERAGE('Extended Card Stats'!G:G),2)</f>
        <v>3.24</v>
      </c>
      <c r="K13" s="142">
        <f>ROUND(AVERAGE('Extended Card Stats'!J:J),2)</f>
        <v>2.84</v>
      </c>
    </row>
    <row r="14">
      <c r="B14" s="136" t="s">
        <v>2440</v>
      </c>
      <c r="C14" s="137" t="s">
        <v>317</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2441</v>
      </c>
      <c r="C15" s="137" t="s">
        <v>289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2442</v>
      </c>
      <c r="C16" s="137" t="s">
        <v>1369</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2443</v>
      </c>
      <c r="C17" s="137" t="s">
        <v>918</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2444</v>
      </c>
      <c r="C18" s="144" t="s">
        <v>1429</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2445</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2446</v>
      </c>
      <c r="K20" s="154" t="s">
        <v>2447</v>
      </c>
      <c r="L20" s="155" t="s">
        <v>2448</v>
      </c>
      <c r="M20" s="156" t="s">
        <v>2449</v>
      </c>
      <c r="N20" s="157" t="s">
        <v>2450</v>
      </c>
      <c r="O20" s="158" t="s">
        <v>2451</v>
      </c>
      <c r="Q20" s="148" t="s">
        <v>2452</v>
      </c>
      <c r="R20" s="159" t="s">
        <v>26</v>
      </c>
      <c r="S20" s="159" t="s">
        <v>70</v>
      </c>
      <c r="T20" s="159" t="s">
        <v>32</v>
      </c>
      <c r="U20" s="160" t="s">
        <v>2453</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2454</v>
      </c>
      <c r="C24" s="159" t="s">
        <v>26</v>
      </c>
      <c r="D24" s="159" t="s">
        <v>70</v>
      </c>
      <c r="E24" s="159" t="s">
        <v>32</v>
      </c>
      <c r="F24" s="160" t="s">
        <v>2453</v>
      </c>
      <c r="G24" s="175" t="s">
        <v>2455</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''""),0)"),9.0)</f>
        <v>9</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''""),0)"),28.0)</f>
        <v>28</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''""),0)"),16.0)</f>
        <v>16</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''""),0))"),14.0)</f>
        <v>14</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28</v>
      </c>
      <c r="V30" s="173">
        <f t="shared" si="3"/>
        <v>0.1302325581</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''""),0)"),9.0)</f>
        <v>9</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17</v>
      </c>
      <c r="G36" s="173">
        <f t="shared" si="5"/>
        <v>0.07906976744</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2456</v>
      </c>
      <c r="B1" s="194" t="s">
        <v>2457</v>
      </c>
      <c r="C1" s="194" t="s">
        <v>2458</v>
      </c>
      <c r="D1" s="195" t="s">
        <v>2459</v>
      </c>
      <c r="E1" s="195" t="s">
        <v>2458</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2460</v>
      </c>
      <c r="E3" s="20">
        <v>29.0</v>
      </c>
    </row>
    <row r="4">
      <c r="A4" s="196"/>
      <c r="B4" s="197" t="str">
        <f>IFERROR(__xludf.DUMMYFUNCTION("""COMPUTED_VALUE"""),"Alabaster")</f>
        <v>Alabaster</v>
      </c>
      <c r="C4" s="197">
        <f t="shared" si="1"/>
        <v>1</v>
      </c>
      <c r="D4" s="20" t="s">
        <v>2461</v>
      </c>
      <c r="E4" s="20">
        <v>29.0</v>
      </c>
    </row>
    <row r="5">
      <c r="A5" s="196"/>
      <c r="B5" s="197" t="str">
        <f>IFERROR(__xludf.DUMMYFUNCTION("""COMPUTED_VALUE"""),"Exarch")</f>
        <v>Exarch</v>
      </c>
      <c r="C5" s="197">
        <f t="shared" si="1"/>
        <v>1</v>
      </c>
      <c r="D5" s="20" t="s">
        <v>697</v>
      </c>
      <c r="E5" s="20">
        <v>7.0</v>
      </c>
    </row>
    <row r="6">
      <c r="A6" s="196"/>
      <c r="B6" s="197" t="str">
        <f>IFERROR(__xludf.DUMMYFUNCTION("""COMPUTED_VALUE"""),"Ascendant")</f>
        <v>Ascendant</v>
      </c>
      <c r="C6" s="197">
        <f t="shared" si="1"/>
        <v>1</v>
      </c>
      <c r="D6" s="20" t="s">
        <v>433</v>
      </c>
      <c r="E6" s="20">
        <v>6.0</v>
      </c>
    </row>
    <row r="7">
      <c r="A7" s="196" t="str">
        <f>IFERROR(__xludf.DUMMYFUNCTION("""COMPUTED_VALUE"""),"Alabaster")</f>
        <v>Alabaster</v>
      </c>
      <c r="B7" s="197" t="str">
        <f>IFERROR(__xludf.DUMMYFUNCTION("""COMPUTED_VALUE"""),"Faithweaver")</f>
        <v>Faithweaver</v>
      </c>
      <c r="C7" s="197">
        <f t="shared" si="1"/>
        <v>1</v>
      </c>
      <c r="D7" s="20" t="s">
        <v>2436</v>
      </c>
      <c r="E7" s="20">
        <v>5.0</v>
      </c>
    </row>
    <row r="8">
      <c r="A8" s="196" t="str">
        <f>IFERROR(__xludf.DUMMYFUNCTION("""COMPUTED_VALUE"""),"Exarch")</f>
        <v>Exarch</v>
      </c>
      <c r="B8" s="197" t="str">
        <f>IFERROR(__xludf.DUMMYFUNCTION("""COMPUTED_VALUE"""),"Avenging")</f>
        <v>Avenging</v>
      </c>
      <c r="C8" s="197">
        <f t="shared" si="1"/>
        <v>1</v>
      </c>
      <c r="D8" s="20" t="s">
        <v>2444</v>
      </c>
      <c r="E8" s="20">
        <v>5.0</v>
      </c>
    </row>
    <row r="9">
      <c r="A9" s="196"/>
      <c r="B9" s="197" t="str">
        <f>IFERROR(__xludf.DUMMYFUNCTION("""COMPUTED_VALUE"""),"Force")</f>
        <v>Force</v>
      </c>
      <c r="C9" s="197">
        <f t="shared" si="1"/>
        <v>1</v>
      </c>
      <c r="D9" s="20" t="s">
        <v>2462</v>
      </c>
      <c r="E9" s="20">
        <v>5.0</v>
      </c>
    </row>
    <row r="10">
      <c r="A10" s="196"/>
      <c r="B10" s="197" t="str">
        <f>IFERROR(__xludf.DUMMYFUNCTION("""COMPUTED_VALUE"""),"Baby")</f>
        <v>Baby</v>
      </c>
      <c r="C10" s="197">
        <f t="shared" si="1"/>
        <v>1</v>
      </c>
      <c r="D10" s="20" t="s">
        <v>2463</v>
      </c>
      <c r="E10" s="20">
        <v>4.0</v>
      </c>
    </row>
    <row r="11">
      <c r="A11" s="196"/>
      <c r="B11" s="197" t="str">
        <f>IFERROR(__xludf.DUMMYFUNCTION("""COMPUTED_VALUE"""),"Lamassu")</f>
        <v>Lamassu</v>
      </c>
      <c r="C11" s="197">
        <f t="shared" si="1"/>
        <v>1</v>
      </c>
      <c r="D11" s="20" t="s">
        <v>2464</v>
      </c>
      <c r="E11" s="20">
        <v>4.0</v>
      </c>
    </row>
    <row r="12">
      <c r="A12" s="196" t="str">
        <f>IFERROR(__xludf.DUMMYFUNCTION("""COMPUTED_VALUE"""),"Ascendant")</f>
        <v>Ascendant</v>
      </c>
      <c r="B12" s="197" t="str">
        <f>IFERROR(__xludf.DUMMYFUNCTION("""COMPUTED_VALUE"""),"Blackmarble")</f>
        <v>Blackmarble</v>
      </c>
      <c r="C12" s="197">
        <f t="shared" si="1"/>
        <v>1</v>
      </c>
      <c r="D12" s="20" t="s">
        <v>2434</v>
      </c>
      <c r="E12" s="20">
        <v>4.0</v>
      </c>
    </row>
    <row r="13">
      <c r="A13" s="196" t="str">
        <f>IFERROR(__xludf.DUMMYFUNCTION("""COMPUTED_VALUE"""),"Faithweaver")</f>
        <v>Faithweaver</v>
      </c>
      <c r="B13" s="197" t="str">
        <f>IFERROR(__xludf.DUMMYFUNCTION("""COMPUTED_VALUE"""),"Gargoyle")</f>
        <v>Gargoyle</v>
      </c>
      <c r="C13" s="197">
        <f t="shared" si="1"/>
        <v>1</v>
      </c>
      <c r="D13" s="20" t="s">
        <v>2465</v>
      </c>
      <c r="E13" s="20">
        <v>4.0</v>
      </c>
    </row>
    <row r="14">
      <c r="A14" s="196"/>
      <c r="B14" s="197" t="str">
        <f>IFERROR(__xludf.DUMMYFUNCTION("""COMPUTED_VALUE"""),"Chronosand")</f>
        <v>Chronosand</v>
      </c>
      <c r="C14" s="197">
        <f t="shared" si="1"/>
        <v>1</v>
      </c>
      <c r="D14" s="20" t="s">
        <v>2441</v>
      </c>
      <c r="E14" s="20">
        <v>4.0</v>
      </c>
    </row>
    <row r="15">
      <c r="A15" s="196"/>
      <c r="B15" s="197" t="str">
        <f>IFERROR(__xludf.DUMMYFUNCTION("""COMPUTED_VALUE"""),"Sphinx")</f>
        <v>Sphinx</v>
      </c>
      <c r="C15" s="197">
        <f t="shared" si="1"/>
        <v>2</v>
      </c>
      <c r="D15" s="20" t="s">
        <v>2440</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2466</v>
      </c>
      <c r="E17" s="20">
        <v>3.0</v>
      </c>
    </row>
    <row r="18">
      <c r="A18" s="196" t="str">
        <f>IFERROR(__xludf.DUMMYFUNCTION("""COMPUTED_VALUE"""),"Force")</f>
        <v>Force</v>
      </c>
      <c r="B18" s="197" t="str">
        <f>IFERROR(__xludf.DUMMYFUNCTION("""COMPUTED_VALUE"""),"the")</f>
        <v>the</v>
      </c>
      <c r="C18" s="197">
        <f t="shared" si="1"/>
        <v>29</v>
      </c>
      <c r="D18" s="20" t="s">
        <v>2467</v>
      </c>
      <c r="E18" s="20">
        <v>3.0</v>
      </c>
    </row>
    <row r="19">
      <c r="A19" s="196"/>
      <c r="B19" s="197" t="str">
        <f>IFERROR(__xludf.DUMMYFUNCTION("""COMPUTED_VALUE"""),"Desert")</f>
        <v>Desert</v>
      </c>
      <c r="C19" s="197">
        <f t="shared" si="1"/>
        <v>2</v>
      </c>
      <c r="D19" s="20" t="s">
        <v>2468</v>
      </c>
      <c r="E19" s="20">
        <v>3.0</v>
      </c>
    </row>
    <row r="20">
      <c r="A20" s="196"/>
      <c r="B20" s="197" t="str">
        <f>IFERROR(__xludf.DUMMYFUNCTION("""COMPUTED_VALUE"""),"Winds")</f>
        <v>Winds</v>
      </c>
      <c r="C20" s="197">
        <f t="shared" si="1"/>
        <v>1</v>
      </c>
      <c r="D20" s="20" t="s">
        <v>2469</v>
      </c>
      <c r="E20" s="20">
        <v>3.0</v>
      </c>
    </row>
    <row r="21">
      <c r="A21" s="196"/>
      <c r="B21" s="197" t="str">
        <f>IFERROR(__xludf.DUMMYFUNCTION("""COMPUTED_VALUE"""),"Cryptosphinx")</f>
        <v>Cryptosphinx</v>
      </c>
      <c r="C21" s="197">
        <f t="shared" si="1"/>
        <v>1</v>
      </c>
      <c r="D21" s="20" t="s">
        <v>2470</v>
      </c>
      <c r="E21" s="20">
        <v>3.0</v>
      </c>
    </row>
    <row r="22">
      <c r="A22" s="196" t="str">
        <f>IFERROR(__xludf.DUMMYFUNCTION("""COMPUTED_VALUE"""),"Baby")</f>
        <v>Baby</v>
      </c>
      <c r="B22" s="197" t="str">
        <f>IFERROR(__xludf.DUMMYFUNCTION("""COMPUTED_VALUE"""),"Damaged")</f>
        <v>Damaged</v>
      </c>
      <c r="C22" s="197">
        <f t="shared" si="1"/>
        <v>1</v>
      </c>
      <c r="D22" s="20" t="s">
        <v>2471</v>
      </c>
      <c r="E22" s="20">
        <v>3.0</v>
      </c>
    </row>
    <row r="23">
      <c r="A23" s="196" t="str">
        <f>IFERROR(__xludf.DUMMYFUNCTION("""COMPUTED_VALUE"""),"Lamassu")</f>
        <v>Lamassu</v>
      </c>
      <c r="B23" s="197" t="str">
        <f>IFERROR(__xludf.DUMMYFUNCTION("""COMPUTED_VALUE"""),"Automaton")</f>
        <v>Automaton</v>
      </c>
      <c r="C23" s="197">
        <f t="shared" si="1"/>
        <v>2</v>
      </c>
      <c r="D23" s="20" t="s">
        <v>2472</v>
      </c>
      <c r="E23" s="20">
        <v>3.0</v>
      </c>
    </row>
    <row r="24">
      <c r="A24" s="196"/>
      <c r="B24" s="197" t="str">
        <f>IFERROR(__xludf.DUMMYFUNCTION("""COMPUTED_VALUE"""),"Diviner")</f>
        <v>Diviner</v>
      </c>
      <c r="C24" s="197">
        <f t="shared" si="1"/>
        <v>2</v>
      </c>
      <c r="D24" s="20" t="s">
        <v>2443</v>
      </c>
      <c r="E24" s="20">
        <v>3.0</v>
      </c>
    </row>
    <row r="25">
      <c r="A25" s="196"/>
      <c r="B25" s="197" t="str">
        <f>IFERROR(__xludf.DUMMYFUNCTION("""COMPUTED_VALUE"""),"Fates")</f>
        <v>Fates</v>
      </c>
      <c r="C25" s="197">
        <f t="shared" si="1"/>
        <v>1</v>
      </c>
      <c r="D25" s="20" t="s">
        <v>2473</v>
      </c>
      <c r="E25" s="20">
        <v>3.0</v>
      </c>
    </row>
    <row r="26">
      <c r="A26" s="196"/>
      <c r="B26" s="197" t="str">
        <f>IFERROR(__xludf.DUMMYFUNCTION("""COMPUTED_VALUE"""),"Doma")</f>
        <v>Doma</v>
      </c>
      <c r="C26" s="197">
        <f t="shared" si="1"/>
        <v>1</v>
      </c>
      <c r="D26" s="20" t="s">
        <v>2474</v>
      </c>
      <c r="E26" s="20">
        <v>3.0</v>
      </c>
    </row>
    <row r="27">
      <c r="A27" s="196" t="str">
        <f>IFERROR(__xludf.DUMMYFUNCTION("""COMPUTED_VALUE"""),"Blackmarble")</f>
        <v>Blackmarble</v>
      </c>
      <c r="B27" s="197" t="str">
        <f>IFERROR(__xludf.DUMMYFUNCTION("""COMPUTED_VALUE"""),"Angel")</f>
        <v>Angel</v>
      </c>
      <c r="C27" s="197">
        <f t="shared" si="1"/>
        <v>3</v>
      </c>
      <c r="D27" s="20" t="s">
        <v>2475</v>
      </c>
      <c r="E27" s="20">
        <v>3.0</v>
      </c>
    </row>
    <row r="28">
      <c r="A28" s="196" t="str">
        <f>IFERROR(__xludf.DUMMYFUNCTION("""COMPUTED_VALUE"""),"Gargoyle")</f>
        <v>Gargoyle</v>
      </c>
      <c r="B28" s="197" t="str">
        <f>IFERROR(__xludf.DUMMYFUNCTION("""COMPUTED_VALUE"""),"Dove")</f>
        <v>Dove</v>
      </c>
      <c r="C28" s="197">
        <f t="shared" si="1"/>
        <v>1</v>
      </c>
      <c r="D28" s="20" t="s">
        <v>2476</v>
      </c>
      <c r="E28" s="20">
        <v>3.0</v>
      </c>
    </row>
    <row r="29">
      <c r="A29" s="196"/>
      <c r="B29" s="197" t="str">
        <f>IFERROR(__xludf.DUMMYFUNCTION("""COMPUTED_VALUE"""),"Serenity")</f>
        <v>Serenity</v>
      </c>
      <c r="C29" s="197">
        <f t="shared" si="1"/>
        <v>1</v>
      </c>
      <c r="D29" s="20" t="s">
        <v>2477</v>
      </c>
      <c r="E29" s="20">
        <v>3.0</v>
      </c>
    </row>
    <row r="30">
      <c r="A30" s="196"/>
      <c r="B30" s="197" t="str">
        <f>IFERROR(__xludf.DUMMYFUNCTION("""COMPUTED_VALUE"""),"Dream")</f>
        <v>Dream</v>
      </c>
      <c r="C30" s="197">
        <f t="shared" si="1"/>
        <v>1</v>
      </c>
      <c r="D30" s="20" t="s">
        <v>2478</v>
      </c>
      <c r="E30" s="20">
        <v>2.0</v>
      </c>
    </row>
    <row r="31">
      <c r="A31" s="196"/>
      <c r="B31" s="197" t="str">
        <f>IFERROR(__xludf.DUMMYFUNCTION("""COMPUTED_VALUE"""),"Traveler")</f>
        <v>Traveler</v>
      </c>
      <c r="C31" s="197">
        <f t="shared" si="1"/>
        <v>1</v>
      </c>
      <c r="D31" s="20" t="s">
        <v>2479</v>
      </c>
      <c r="E31" s="20">
        <v>2.0</v>
      </c>
    </row>
    <row r="32">
      <c r="A32" s="196" t="str">
        <f>IFERROR(__xludf.DUMMYFUNCTION("""COMPUTED_VALUE"""),"Chronosand")</f>
        <v>Chronosand</v>
      </c>
      <c r="B32" s="197" t="str">
        <f>IFERROR(__xludf.DUMMYFUNCTION("""COMPUTED_VALUE"""),"Embalmed")</f>
        <v>Embalmed</v>
      </c>
      <c r="C32" s="197">
        <f t="shared" si="1"/>
        <v>1</v>
      </c>
      <c r="D32" s="20" t="s">
        <v>2480</v>
      </c>
      <c r="E32" s="20">
        <v>2.0</v>
      </c>
    </row>
    <row r="33">
      <c r="A33" s="196" t="str">
        <f>IFERROR(__xludf.DUMMYFUNCTION("""COMPUTED_VALUE"""),"Sphinx")</f>
        <v>Sphinx</v>
      </c>
      <c r="B33" s="197" t="str">
        <f>IFERROR(__xludf.DUMMYFUNCTION("""COMPUTED_VALUE"""),"Apophis")</f>
        <v>Apophis</v>
      </c>
      <c r="C33" s="197">
        <f t="shared" si="1"/>
        <v>1</v>
      </c>
      <c r="D33" s="20" t="s">
        <v>2481</v>
      </c>
      <c r="E33" s="20">
        <v>2.0</v>
      </c>
    </row>
    <row r="34">
      <c r="A34" s="196"/>
      <c r="B34" s="197" t="str">
        <f>IFERROR(__xludf.DUMMYFUNCTION("""COMPUTED_VALUE"""),"Feline")</f>
        <v>Feline</v>
      </c>
      <c r="C34" s="197">
        <f t="shared" si="1"/>
        <v>1</v>
      </c>
      <c r="D34" s="20" t="s">
        <v>2482</v>
      </c>
      <c r="E34" s="20">
        <v>2.0</v>
      </c>
    </row>
    <row r="35">
      <c r="A35" s="196"/>
      <c r="B35" s="197" t="str">
        <f>IFERROR(__xludf.DUMMYFUNCTION("""COMPUTED_VALUE"""),"Ushabti")</f>
        <v>Ushabti</v>
      </c>
      <c r="C35" s="197">
        <f t="shared" si="1"/>
        <v>4</v>
      </c>
      <c r="D35" s="20" t="s">
        <v>2483</v>
      </c>
      <c r="E35" s="20">
        <v>2.0</v>
      </c>
    </row>
    <row r="36">
      <c r="A36" s="196"/>
      <c r="B36" s="197" t="str">
        <f>IFERROR(__xludf.DUMMYFUNCTION("""COMPUTED_VALUE"""),"Guardian")</f>
        <v>Guardian</v>
      </c>
      <c r="C36" s="197">
        <f t="shared" si="1"/>
        <v>4</v>
      </c>
      <c r="D36" s="20" t="s">
        <v>2484</v>
      </c>
      <c r="E36" s="20">
        <v>2.0</v>
      </c>
    </row>
    <row r="37">
      <c r="A37" s="196" t="str">
        <f>IFERROR(__xludf.DUMMYFUNCTION("""COMPUTED_VALUE"""),"Crusader")</f>
        <v>Crusader</v>
      </c>
      <c r="B37" s="197" t="str">
        <f>IFERROR(__xludf.DUMMYFUNCTION("""COMPUTED_VALUE"""),"Gates")</f>
        <v>Gates</v>
      </c>
      <c r="C37" s="197">
        <f t="shared" si="1"/>
        <v>1</v>
      </c>
      <c r="D37" s="20" t="s">
        <v>2485</v>
      </c>
      <c r="E37" s="20">
        <v>2.0</v>
      </c>
    </row>
    <row r="38">
      <c r="A38" s="196" t="str">
        <f>IFERROR(__xludf.DUMMYFUNCTION("""COMPUTED_VALUE"""),"of")</f>
        <v>of</v>
      </c>
      <c r="B38" s="197" t="str">
        <f>IFERROR(__xludf.DUMMYFUNCTION("""COMPUTED_VALUE"""),"Hallowed")</f>
        <v>Hallowed</v>
      </c>
      <c r="C38" s="197">
        <f t="shared" si="1"/>
        <v>1</v>
      </c>
      <c r="D38" s="20" t="s">
        <v>2486</v>
      </c>
      <c r="E38" s="20">
        <v>2.0</v>
      </c>
    </row>
    <row r="39">
      <c r="A39" s="196" t="str">
        <f>IFERROR(__xludf.DUMMYFUNCTION("""COMPUTED_VALUE"""),"the")</f>
        <v>the</v>
      </c>
      <c r="B39" s="197" t="str">
        <f>IFERROR(__xludf.DUMMYFUNCTION("""COMPUTED_VALUE"""),"Exorcist")</f>
        <v>Exorcist</v>
      </c>
      <c r="C39" s="197">
        <f t="shared" si="1"/>
        <v>1</v>
      </c>
      <c r="D39" s="20" t="s">
        <v>2193</v>
      </c>
      <c r="E39" s="20">
        <v>2.0</v>
      </c>
    </row>
    <row r="40">
      <c r="A40" s="196" t="str">
        <f>IFERROR(__xludf.DUMMYFUNCTION("""COMPUTED_VALUE"""),"Desert")</f>
        <v>Desert</v>
      </c>
      <c r="B40" s="197" t="str">
        <f>IFERROR(__xludf.DUMMYFUNCTION("""COMPUTED_VALUE"""),"Harmonic")</f>
        <v>Harmonic</v>
      </c>
      <c r="C40" s="197">
        <f t="shared" si="1"/>
        <v>1</v>
      </c>
      <c r="D40" s="20" t="s">
        <v>2487</v>
      </c>
      <c r="E40" s="20">
        <v>2.0</v>
      </c>
    </row>
    <row r="41">
      <c r="A41" s="196" t="str">
        <f>IFERROR(__xludf.DUMMYFUNCTION("""COMPUTED_VALUE"""),"Winds")</f>
        <v>Winds</v>
      </c>
      <c r="B41" s="197" t="str">
        <f>IFERROR(__xludf.DUMMYFUNCTION("""COMPUTED_VALUE"""),"Echo")</f>
        <v>Echo</v>
      </c>
      <c r="C41" s="197">
        <f t="shared" si="1"/>
        <v>2</v>
      </c>
      <c r="D41" s="20" t="s">
        <v>2488</v>
      </c>
      <c r="E41" s="20">
        <v>2.0</v>
      </c>
    </row>
    <row r="42">
      <c r="A42" s="196" t="str">
        <f>IFERROR(__xludf.DUMMYFUNCTION("""COMPUTED_VALUE"""),"Cryptosphinx")</f>
        <v>Cryptosphinx</v>
      </c>
      <c r="B42" s="197" t="str">
        <f>IFERROR(__xludf.DUMMYFUNCTION("""COMPUTED_VALUE"""),"Ibis")</f>
        <v>Ibis</v>
      </c>
      <c r="C42" s="197">
        <f t="shared" si="1"/>
        <v>1</v>
      </c>
      <c r="D42" s="20" t="s">
        <v>2489</v>
      </c>
      <c r="E42" s="20">
        <v>2.0</v>
      </c>
    </row>
    <row r="43">
      <c r="A43" s="196"/>
      <c r="B43" s="197" t="str">
        <f>IFERROR(__xludf.DUMMYFUNCTION("""COMPUTED_VALUE"""),"Herald")</f>
        <v>Herald</v>
      </c>
      <c r="C43" s="197">
        <f t="shared" si="1"/>
        <v>1</v>
      </c>
      <c r="D43" s="20" t="s">
        <v>2490</v>
      </c>
      <c r="E43" s="20">
        <v>2.0</v>
      </c>
    </row>
    <row r="44">
      <c r="A44" s="196"/>
      <c r="B44" s="197" t="str">
        <f>IFERROR(__xludf.DUMMYFUNCTION("""COMPUTED_VALUE"""),"Eternal")</f>
        <v>Eternal</v>
      </c>
      <c r="C44" s="197">
        <f t="shared" si="1"/>
        <v>1</v>
      </c>
      <c r="D44" s="20" t="s">
        <v>2491</v>
      </c>
      <c r="E44" s="20">
        <v>2.0</v>
      </c>
    </row>
    <row r="45">
      <c r="A45" s="196"/>
      <c r="B45" s="197" t="str">
        <f>IFERROR(__xludf.DUMMYFUNCTION("""COMPUTED_VALUE"""),"Grace")</f>
        <v>Grace</v>
      </c>
      <c r="C45" s="197">
        <f t="shared" si="1"/>
        <v>1</v>
      </c>
      <c r="D45" s="20" t="s">
        <v>2492</v>
      </c>
      <c r="E45" s="20">
        <v>2.0</v>
      </c>
    </row>
    <row r="46">
      <c r="A46" s="196"/>
      <c r="B46" s="197" t="str">
        <f>IFERROR(__xludf.DUMMYFUNCTION("""COMPUTED_VALUE"""),"Maze")</f>
        <v>Maze</v>
      </c>
      <c r="C46" s="197">
        <f t="shared" si="1"/>
        <v>1</v>
      </c>
      <c r="D46" s="20" t="s">
        <v>2493</v>
      </c>
      <c r="E46" s="20">
        <v>2.0</v>
      </c>
    </row>
    <row r="47">
      <c r="A47" s="196" t="str">
        <f>IFERROR(__xludf.DUMMYFUNCTION("""COMPUTED_VALUE"""),"Damaged")</f>
        <v>Damaged</v>
      </c>
      <c r="B47" s="197" t="str">
        <f>IFERROR(__xludf.DUMMYFUNCTION("""COMPUTED_VALUE"""),"Master")</f>
        <v>Master</v>
      </c>
      <c r="C47" s="197">
        <f t="shared" si="1"/>
        <v>3</v>
      </c>
      <c r="D47" s="20" t="s">
        <v>2494</v>
      </c>
      <c r="E47" s="20">
        <v>2.0</v>
      </c>
    </row>
    <row r="48">
      <c r="A48" s="196" t="str">
        <f>IFERROR(__xludf.DUMMYFUNCTION("""COMPUTED_VALUE"""),"Automaton")</f>
        <v>Automaton</v>
      </c>
      <c r="B48" s="197" t="str">
        <f>IFERROR(__xludf.DUMMYFUNCTION("""COMPUTED_VALUE"""),"Ivoryscar")</f>
        <v>Ivoryscar</v>
      </c>
      <c r="C48" s="197">
        <f t="shared" si="1"/>
        <v>4</v>
      </c>
      <c r="D48" s="20" t="s">
        <v>2495</v>
      </c>
      <c r="E48" s="20">
        <v>2.0</v>
      </c>
    </row>
    <row r="49">
      <c r="A49" s="196"/>
      <c r="B49" s="197" t="str">
        <f>IFERROR(__xludf.DUMMYFUNCTION("""COMPUTED_VALUE"""),"Cursewing")</f>
        <v>Cursewing</v>
      </c>
      <c r="C49" s="197">
        <f t="shared" si="1"/>
        <v>1</v>
      </c>
      <c r="D49" s="20" t="s">
        <v>2496</v>
      </c>
      <c r="E49" s="20">
        <v>2.0</v>
      </c>
    </row>
    <row r="50">
      <c r="A50" s="196"/>
      <c r="B50" s="197" t="str">
        <f>IFERROR(__xludf.DUMMYFUNCTION("""COMPUTED_VALUE"""),"Magistrate")</f>
        <v>Magistrate</v>
      </c>
      <c r="C50" s="197">
        <f t="shared" si="1"/>
        <v>1</v>
      </c>
      <c r="D50" s="20" t="s">
        <v>2497</v>
      </c>
      <c r="E50" s="20">
        <v>2.0</v>
      </c>
    </row>
    <row r="51">
      <c r="A51" s="196"/>
      <c r="B51" s="197" t="str">
        <f>IFERROR(__xludf.DUMMYFUNCTION("""COMPUTED_VALUE"""),"Kylix")</f>
        <v>Kylix</v>
      </c>
      <c r="C51" s="197">
        <f t="shared" si="1"/>
        <v>1</v>
      </c>
      <c r="D51" s="20" t="s">
        <v>2498</v>
      </c>
      <c r="E51" s="20">
        <v>2.0</v>
      </c>
    </row>
    <row r="52">
      <c r="A52" s="196" t="str">
        <f>IFERROR(__xludf.DUMMYFUNCTION("""COMPUTED_VALUE"""),"Diviner")</f>
        <v>Diviner</v>
      </c>
      <c r="B52" s="197" t="str">
        <f>IFERROR(__xludf.DUMMYFUNCTION("""COMPUTED_VALUE"""),"Excess")</f>
        <v>Excess</v>
      </c>
      <c r="C52" s="197">
        <f t="shared" si="1"/>
        <v>1</v>
      </c>
      <c r="D52" s="20" t="s">
        <v>2499</v>
      </c>
      <c r="E52" s="20">
        <v>2.0</v>
      </c>
    </row>
    <row r="53">
      <c r="A53" s="196" t="str">
        <f>IFERROR(__xludf.DUMMYFUNCTION("""COMPUTED_VALUE"""),"of")</f>
        <v>of</v>
      </c>
      <c r="B53" s="197" t="str">
        <f>IFERROR(__xludf.DUMMYFUNCTION("""COMPUTED_VALUE"""),"Mystic")</f>
        <v>Mystic</v>
      </c>
      <c r="C53" s="197">
        <f t="shared" si="1"/>
        <v>1</v>
      </c>
      <c r="D53" s="20" t="s">
        <v>2500</v>
      </c>
      <c r="E53" s="20">
        <v>2.0</v>
      </c>
    </row>
    <row r="54">
      <c r="A54" s="196" t="str">
        <f>IFERROR(__xludf.DUMMYFUNCTION("""COMPUTED_VALUE"""),"Fates")</f>
        <v>Fates</v>
      </c>
      <c r="B54" s="197" t="str">
        <f>IFERROR(__xludf.DUMMYFUNCTION("""COMPUTED_VALUE"""),"Puzzle")</f>
        <v>Puzzle</v>
      </c>
      <c r="C54" s="197">
        <f t="shared" si="1"/>
        <v>1</v>
      </c>
      <c r="D54" s="20" t="s">
        <v>2501</v>
      </c>
      <c r="E54" s="20">
        <v>2.0</v>
      </c>
    </row>
    <row r="55">
      <c r="A55" s="196"/>
      <c r="B55" s="197" t="str">
        <f>IFERROR(__xludf.DUMMYFUNCTION("""COMPUTED_VALUE"""),"Box")</f>
        <v>Box</v>
      </c>
      <c r="C55" s="197">
        <f t="shared" si="1"/>
        <v>1</v>
      </c>
      <c r="D55" s="20" t="s">
        <v>2502</v>
      </c>
      <c r="E55" s="20">
        <v>2.0</v>
      </c>
    </row>
    <row r="56">
      <c r="A56" s="196"/>
      <c r="B56" s="197" t="str">
        <f>IFERROR(__xludf.DUMMYFUNCTION("""COMPUTED_VALUE"""),"Monolith")</f>
        <v>Monolith</v>
      </c>
      <c r="C56" s="197">
        <f t="shared" si="1"/>
        <v>1</v>
      </c>
      <c r="D56" s="20" t="s">
        <v>2503</v>
      </c>
      <c r="E56" s="20">
        <v>2.0</v>
      </c>
    </row>
    <row r="57">
      <c r="A57" s="196" t="str">
        <f>IFERROR(__xludf.DUMMYFUNCTION("""COMPUTED_VALUE"""),"Doma")</f>
        <v>Doma</v>
      </c>
      <c r="B57" s="197" t="str">
        <f>IFERROR(__xludf.DUMMYFUNCTION("""COMPUTED_VALUE"""),"Meditation")</f>
        <v>Meditation</v>
      </c>
      <c r="C57" s="197">
        <f t="shared" si="1"/>
        <v>1</v>
      </c>
      <c r="D57" s="20" t="s">
        <v>2438</v>
      </c>
      <c r="E57" s="20">
        <v>2.0</v>
      </c>
    </row>
    <row r="58">
      <c r="A58" s="196" t="str">
        <f>IFERROR(__xludf.DUMMYFUNCTION("""COMPUTED_VALUE"""),"Angel")</f>
        <v>Angel</v>
      </c>
      <c r="B58" s="197" t="str">
        <f>IFERROR(__xludf.DUMMYFUNCTION("""COMPUTED_VALUE"""),"Oasis")</f>
        <v>Oasis</v>
      </c>
      <c r="C58" s="197">
        <f t="shared" si="1"/>
        <v>1</v>
      </c>
      <c r="D58" s="20" t="s">
        <v>2504</v>
      </c>
      <c r="E58" s="20">
        <v>2.0</v>
      </c>
    </row>
    <row r="59">
      <c r="A59" s="196"/>
      <c r="B59" s="197" t="str">
        <f>IFERROR(__xludf.DUMMYFUNCTION("""COMPUTED_VALUE"""),"Sprite")</f>
        <v>Sprite</v>
      </c>
      <c r="C59" s="197">
        <f t="shared" si="1"/>
        <v>4</v>
      </c>
      <c r="D59" s="20" t="s">
        <v>2505</v>
      </c>
      <c r="E59" s="20">
        <v>2.0</v>
      </c>
    </row>
    <row r="60">
      <c r="A60" s="196"/>
      <c r="B60" s="197" t="str">
        <f>IFERROR(__xludf.DUMMYFUNCTION("""COMPUTED_VALUE"""),"Pharaoh's")</f>
        <v>Pharaoh's</v>
      </c>
      <c r="C60" s="197">
        <f t="shared" si="1"/>
        <v>1</v>
      </c>
      <c r="D60" s="20" t="s">
        <v>2506</v>
      </c>
      <c r="E60" s="20">
        <v>2.0</v>
      </c>
    </row>
    <row r="61">
      <c r="A61" s="196"/>
      <c r="B61" s="197" t="str">
        <f>IFERROR(__xludf.DUMMYFUNCTION("""COMPUTED_VALUE"""),"Bodyguard")</f>
        <v>Bodyguard</v>
      </c>
      <c r="C61" s="197">
        <f t="shared" si="1"/>
        <v>1</v>
      </c>
      <c r="D61" s="20" t="s">
        <v>2507</v>
      </c>
      <c r="E61" s="20">
        <v>2.0</v>
      </c>
    </row>
    <row r="62">
      <c r="A62" s="196" t="str">
        <f>IFERROR(__xludf.DUMMYFUNCTION("""COMPUTED_VALUE"""),"Dove")</f>
        <v>Dove</v>
      </c>
      <c r="B62" s="197" t="str">
        <f>IFERROR(__xludf.DUMMYFUNCTION("""COMPUTED_VALUE"""),"Scripture")</f>
        <v>Scripture</v>
      </c>
      <c r="C62" s="197">
        <f t="shared" si="1"/>
        <v>1</v>
      </c>
      <c r="D62" s="20" t="s">
        <v>2508</v>
      </c>
      <c r="E62" s="20">
        <v>2.0</v>
      </c>
    </row>
    <row r="63">
      <c r="A63" s="196" t="str">
        <f>IFERROR(__xludf.DUMMYFUNCTION("""COMPUTED_VALUE"""),"of")</f>
        <v>of</v>
      </c>
      <c r="B63" s="197" t="str">
        <f>IFERROR(__xludf.DUMMYFUNCTION("""COMPUTED_VALUE"""),"Monkey")</f>
        <v>Monkey</v>
      </c>
      <c r="C63" s="197">
        <f t="shared" si="1"/>
        <v>1</v>
      </c>
      <c r="D63" s="20" t="s">
        <v>2442</v>
      </c>
      <c r="E63" s="20">
        <v>2.0</v>
      </c>
    </row>
    <row r="64">
      <c r="A64" s="196" t="str">
        <f>IFERROR(__xludf.DUMMYFUNCTION("""COMPUTED_VALUE"""),"Serenity")</f>
        <v>Serenity</v>
      </c>
      <c r="B64" s="197" t="str">
        <f>IFERROR(__xludf.DUMMYFUNCTION("""COMPUTED_VALUE"""),"Pyramidion")</f>
        <v>Pyramidion</v>
      </c>
      <c r="C64" s="197">
        <f t="shared" si="1"/>
        <v>1</v>
      </c>
      <c r="D64" s="20" t="s">
        <v>2509</v>
      </c>
      <c r="E64" s="20">
        <v>2.0</v>
      </c>
    </row>
    <row r="65">
      <c r="A65" s="196"/>
      <c r="B65" s="197" t="str">
        <f>IFERROR(__xludf.DUMMYFUNCTION("""COMPUTED_VALUE"""),"Sekhem")</f>
        <v>Sekhem</v>
      </c>
      <c r="C65" s="197">
        <f t="shared" si="1"/>
        <v>1</v>
      </c>
      <c r="D65" s="20" t="s">
        <v>2510</v>
      </c>
      <c r="E65" s="20">
        <v>2.0</v>
      </c>
    </row>
    <row r="66">
      <c r="A66" s="196"/>
      <c r="B66" s="197" t="str">
        <f>IFERROR(__xludf.DUMMYFUNCTION("""COMPUTED_VALUE"""),"Chariot")</f>
        <v>Chariot</v>
      </c>
      <c r="C66" s="197">
        <f t="shared" si="1"/>
        <v>1</v>
      </c>
      <c r="D66" s="20" t="s">
        <v>2511</v>
      </c>
      <c r="E66" s="20">
        <v>2.0</v>
      </c>
    </row>
    <row r="67">
      <c r="A67" s="196" t="str">
        <f>IFERROR(__xludf.DUMMYFUNCTION("""COMPUTED_VALUE"""),"Dream")</f>
        <v>Dream</v>
      </c>
      <c r="B67" s="197" t="str">
        <f>IFERROR(__xludf.DUMMYFUNCTION("""COMPUTED_VALUE"""),"Obsidian")</f>
        <v>Obsidian</v>
      </c>
      <c r="C67" s="197">
        <f t="shared" si="1"/>
        <v>1</v>
      </c>
      <c r="D67" s="20" t="s">
        <v>2512</v>
      </c>
      <c r="E67" s="20">
        <v>2.0</v>
      </c>
    </row>
    <row r="68">
      <c r="A68" s="196" t="str">
        <f>IFERROR(__xludf.DUMMYFUNCTION("""COMPUTED_VALUE"""),"Traveler")</f>
        <v>Traveler</v>
      </c>
      <c r="B68" s="197" t="str">
        <f>IFERROR(__xludf.DUMMYFUNCTION("""COMPUTED_VALUE"""),"Scarab")</f>
        <v>Scarab</v>
      </c>
      <c r="C68" s="197">
        <f t="shared" si="1"/>
        <v>2</v>
      </c>
      <c r="D68" s="20" t="s">
        <v>2513</v>
      </c>
      <c r="E68" s="20">
        <v>2.0</v>
      </c>
    </row>
    <row r="69">
      <c r="A69" s="196"/>
      <c r="B69" s="197" t="str">
        <f>IFERROR(__xludf.DUMMYFUNCTION("""COMPUTED_VALUE"""),"Solarsteel")</f>
        <v>Solarsteel</v>
      </c>
      <c r="C69" s="197">
        <f t="shared" si="1"/>
        <v>1</v>
      </c>
      <c r="D69" s="20" t="s">
        <v>2514</v>
      </c>
      <c r="E69" s="20">
        <v>2.0</v>
      </c>
    </row>
    <row r="70">
      <c r="A70" s="196"/>
      <c r="B70" s="197" t="str">
        <f>IFERROR(__xludf.DUMMYFUNCTION("""COMPUTED_VALUE"""),"Prodigy")</f>
        <v>Prodigy</v>
      </c>
      <c r="C70" s="197">
        <f t="shared" si="1"/>
        <v>1</v>
      </c>
      <c r="D70" s="20" t="s">
        <v>2515</v>
      </c>
      <c r="E70" s="20">
        <v>2.0</v>
      </c>
    </row>
    <row r="71">
      <c r="A71" s="196"/>
      <c r="B71" s="197" t="str">
        <f>IFERROR(__xludf.DUMMYFUNCTION("""COMPUTED_VALUE"""),"Starforger")</f>
        <v>Starforger</v>
      </c>
      <c r="C71" s="197">
        <f t="shared" si="1"/>
        <v>1</v>
      </c>
      <c r="D71" s="20" t="s">
        <v>2516</v>
      </c>
      <c r="E71" s="20">
        <v>2.0</v>
      </c>
    </row>
    <row r="72">
      <c r="A72" s="196" t="str">
        <f>IFERROR(__xludf.DUMMYFUNCTION("""COMPUTED_VALUE"""),"Embalmed")</f>
        <v>Embalmed</v>
      </c>
      <c r="B72" s="197" t="str">
        <f>IFERROR(__xludf.DUMMYFUNCTION("""COMPUTED_VALUE"""),"Swiftblade")</f>
        <v>Swiftblade</v>
      </c>
      <c r="C72" s="197">
        <f t="shared" si="1"/>
        <v>1</v>
      </c>
      <c r="D72" s="20" t="s">
        <v>2517</v>
      </c>
      <c r="E72" s="20">
        <v>2.0</v>
      </c>
    </row>
    <row r="73">
      <c r="A73" s="196" t="str">
        <f>IFERROR(__xludf.DUMMYFUNCTION("""COMPUTED_VALUE"""),"Apophis")</f>
        <v>Apophis</v>
      </c>
      <c r="B73" s="197" t="str">
        <f>IFERROR(__xludf.DUMMYFUNCTION("""COMPUTED_VALUE"""),"Revenger")</f>
        <v>Revenger</v>
      </c>
      <c r="C73" s="197">
        <f t="shared" si="1"/>
        <v>1</v>
      </c>
      <c r="D73" s="20" t="s">
        <v>2518</v>
      </c>
      <c r="E73" s="20">
        <v>2.0</v>
      </c>
    </row>
    <row r="74">
      <c r="A74" s="196"/>
      <c r="B74" s="197" t="str">
        <f>IFERROR(__xludf.DUMMYFUNCTION("""COMPUTED_VALUE"""),"The")</f>
        <v>The</v>
      </c>
      <c r="C74" s="197">
        <f t="shared" si="1"/>
        <v>29</v>
      </c>
      <c r="D74" s="20" t="s">
        <v>2519</v>
      </c>
      <c r="E74" s="20">
        <v>2.0</v>
      </c>
    </row>
    <row r="75">
      <c r="A75" s="196"/>
      <c r="B75" s="197" t="str">
        <f>IFERROR(__xludf.DUMMYFUNCTION("""COMPUTED_VALUE"""),"Kitty")</f>
        <v>Kitty</v>
      </c>
      <c r="C75" s="197">
        <f t="shared" si="1"/>
        <v>1</v>
      </c>
      <c r="D75" s="20" t="s">
        <v>2520</v>
      </c>
      <c r="E75" s="20">
        <v>2.0</v>
      </c>
    </row>
    <row r="76">
      <c r="A76" s="196"/>
      <c r="B76" s="197" t="str">
        <f>IFERROR(__xludf.DUMMYFUNCTION("""COMPUTED_VALUE"""),"Thamiel")</f>
        <v>Thamiel</v>
      </c>
      <c r="C76" s="197">
        <f t="shared" si="1"/>
        <v>1</v>
      </c>
      <c r="D76" s="20" t="s">
        <v>2521</v>
      </c>
      <c r="E76" s="20">
        <v>2.0</v>
      </c>
    </row>
    <row r="77">
      <c r="A77" s="196" t="str">
        <f>IFERROR(__xludf.DUMMYFUNCTION("""COMPUTED_VALUE"""),"Feline")</f>
        <v>Feline</v>
      </c>
      <c r="B77" s="197" t="str">
        <f>IFERROR(__xludf.DUMMYFUNCTION("""COMPUTED_VALUE"""),"Thunderswarm")</f>
        <v>Thunderswarm</v>
      </c>
      <c r="C77" s="197">
        <f t="shared" si="1"/>
        <v>4</v>
      </c>
      <c r="D77" s="20" t="s">
        <v>2522</v>
      </c>
      <c r="E77" s="20">
        <v>2.0</v>
      </c>
    </row>
    <row r="78">
      <c r="A78" s="196" t="str">
        <f>IFERROR(__xludf.DUMMYFUNCTION("""COMPUTED_VALUE"""),"Ushabti")</f>
        <v>Ushabti</v>
      </c>
      <c r="B78" s="197" t="str">
        <f>IFERROR(__xludf.DUMMYFUNCTION("""COMPUTED_VALUE"""),"Skirmisher")</f>
        <v>Skirmisher</v>
      </c>
      <c r="C78" s="197">
        <f t="shared" si="1"/>
        <v>1</v>
      </c>
      <c r="D78" s="20" t="s">
        <v>2523</v>
      </c>
      <c r="E78" s="20">
        <v>2.0</v>
      </c>
    </row>
    <row r="79">
      <c r="A79" s="196"/>
      <c r="B79" s="197" t="str">
        <f>IFERROR(__xludf.DUMMYFUNCTION("""COMPUTED_VALUE"""),"Tranquil")</f>
        <v>Tranquil</v>
      </c>
      <c r="C79" s="197">
        <f t="shared" si="1"/>
        <v>3</v>
      </c>
      <c r="D79" s="20" t="s">
        <v>2524</v>
      </c>
      <c r="E79" s="20">
        <v>2.0</v>
      </c>
    </row>
    <row r="80">
      <c r="A80" s="196"/>
      <c r="B80" s="197" t="str">
        <f>IFERROR(__xludf.DUMMYFUNCTION("""COMPUTED_VALUE"""),"Herd")</f>
        <v>Herd</v>
      </c>
      <c r="C80" s="197">
        <f t="shared" si="1"/>
        <v>3</v>
      </c>
      <c r="D80" s="20" t="s">
        <v>2525</v>
      </c>
      <c r="E80" s="20">
        <v>2.0</v>
      </c>
    </row>
    <row r="81">
      <c r="A81" s="196"/>
      <c r="B81" s="197" t="str">
        <f>IFERROR(__xludf.DUMMYFUNCTION("""COMPUTED_VALUE"""),"Gem")</f>
        <v>Gem</v>
      </c>
      <c r="C81" s="197">
        <f t="shared" si="1"/>
        <v>2</v>
      </c>
      <c r="D81" s="20" t="s">
        <v>2526</v>
      </c>
      <c r="E81" s="20">
        <v>2.0</v>
      </c>
    </row>
    <row r="82">
      <c r="A82" s="196" t="str">
        <f>IFERROR(__xludf.DUMMYFUNCTION("""COMPUTED_VALUE"""),"Guardian")</f>
        <v>Guardian</v>
      </c>
      <c r="B82" s="197" t="str">
        <f>IFERROR(__xludf.DUMMYFUNCTION("""COMPUTED_VALUE"""),"Titan")</f>
        <v>Titan</v>
      </c>
      <c r="C82" s="197">
        <f t="shared" si="1"/>
        <v>2</v>
      </c>
      <c r="D82" s="20" t="s">
        <v>2527</v>
      </c>
      <c r="E82" s="20">
        <v>2.0</v>
      </c>
    </row>
    <row r="83">
      <c r="A83" s="196" t="str">
        <f>IFERROR(__xludf.DUMMYFUNCTION("""COMPUTED_VALUE"""),"of")</f>
        <v>of</v>
      </c>
      <c r="B83" s="197" t="str">
        <f>IFERROR(__xludf.DUMMYFUNCTION("""COMPUTED_VALUE"""),"Towering")</f>
        <v>Towering</v>
      </c>
      <c r="C83" s="197">
        <f t="shared" si="1"/>
        <v>1</v>
      </c>
      <c r="D83" s="20" t="s">
        <v>2528</v>
      </c>
      <c r="E83" s="20">
        <v>2.0</v>
      </c>
    </row>
    <row r="84">
      <c r="A84" s="196" t="str">
        <f>IFERROR(__xludf.DUMMYFUNCTION("""COMPUTED_VALUE"""),"the")</f>
        <v>the</v>
      </c>
      <c r="B84" s="197" t="str">
        <f>IFERROR(__xludf.DUMMYFUNCTION("""COMPUTED_VALUE"""),"Obelisk")</f>
        <v>Obelisk</v>
      </c>
      <c r="C84" s="197">
        <f t="shared" si="1"/>
        <v>2</v>
      </c>
      <c r="D84" s="20" t="s">
        <v>2529</v>
      </c>
      <c r="E84" s="20">
        <v>2.0</v>
      </c>
    </row>
    <row r="85">
      <c r="A85" s="196" t="str">
        <f>IFERROR(__xludf.DUMMYFUNCTION("""COMPUTED_VALUE"""),"Gates")</f>
        <v>Gates</v>
      </c>
      <c r="B85" s="197" t="str">
        <f>IFERROR(__xludf.DUMMYFUNCTION("""COMPUTED_VALUE"""),"Xi")</f>
        <v>Xi</v>
      </c>
      <c r="C85" s="197">
        <f t="shared" si="1"/>
        <v>1</v>
      </c>
      <c r="D85" s="20" t="s">
        <v>2530</v>
      </c>
      <c r="E85" s="20">
        <v>2.0</v>
      </c>
    </row>
    <row r="86">
      <c r="A86" s="196"/>
      <c r="B86" s="197" t="str">
        <f>IFERROR(__xludf.DUMMYFUNCTION("""COMPUTED_VALUE"""),"Pegasus")</f>
        <v>Pegasus</v>
      </c>
      <c r="C86" s="197">
        <f t="shared" si="1"/>
        <v>2</v>
      </c>
      <c r="D86" s="20" t="s">
        <v>2531</v>
      </c>
      <c r="E86" s="20">
        <v>2.0</v>
      </c>
    </row>
    <row r="87">
      <c r="A87" s="196" t="str">
        <f>IFERROR(__xludf.DUMMYFUNCTION("""COMPUTED_VALUE"""),"Guardian")</f>
        <v>Guardian</v>
      </c>
      <c r="B87" s="197" t="str">
        <f>IFERROR(__xludf.DUMMYFUNCTION("""COMPUTED_VALUE"""),"Winged")</f>
        <v>Winged</v>
      </c>
      <c r="C87" s="197">
        <f t="shared" si="1"/>
        <v>1</v>
      </c>
      <c r="D87" s="20" t="s">
        <v>2532</v>
      </c>
      <c r="E87" s="20">
        <v>2.0</v>
      </c>
    </row>
    <row r="88">
      <c r="A88" s="196" t="str">
        <f>IFERROR(__xludf.DUMMYFUNCTION("""COMPUTED_VALUE"""),"Angel")</f>
        <v>Angel</v>
      </c>
      <c r="B88" s="197" t="str">
        <f>IFERROR(__xludf.DUMMYFUNCTION("""COMPUTED_VALUE"""),"Ghostfire")</f>
        <v>Ghostfire</v>
      </c>
      <c r="C88" s="197">
        <f t="shared" si="1"/>
        <v>1</v>
      </c>
      <c r="D88" s="20" t="s">
        <v>2533</v>
      </c>
      <c r="E88" s="20">
        <v>2.0</v>
      </c>
    </row>
    <row r="89">
      <c r="A89" s="196"/>
      <c r="B89" s="197" t="str">
        <f>IFERROR(__xludf.DUMMYFUNCTION("""COMPUTED_VALUE"""),"Basilisk")</f>
        <v>Basilisk</v>
      </c>
      <c r="C89" s="197">
        <f t="shared" si="1"/>
        <v>2</v>
      </c>
      <c r="D89" s="20" t="s">
        <v>2534</v>
      </c>
      <c r="E89" s="20">
        <v>2.0</v>
      </c>
    </row>
    <row r="90">
      <c r="A90" s="196"/>
      <c r="B90" s="197" t="str">
        <f>IFERROR(__xludf.DUMMYFUNCTION("""COMPUTED_VALUE"""),"Yellow")</f>
        <v>Yellow</v>
      </c>
      <c r="C90" s="197">
        <f t="shared" si="1"/>
        <v>2</v>
      </c>
      <c r="D90" s="20" t="s">
        <v>2535</v>
      </c>
      <c r="E90" s="20">
        <v>2.0</v>
      </c>
    </row>
    <row r="91">
      <c r="A91" s="196"/>
      <c r="B91" s="197" t="str">
        <f>IFERROR(__xludf.DUMMYFUNCTION("""COMPUTED_VALUE"""),"Young")</f>
        <v>Young</v>
      </c>
      <c r="C91" s="197">
        <f t="shared" si="1"/>
        <v>2</v>
      </c>
      <c r="D91" s="20" t="s">
        <v>2536</v>
      </c>
      <c r="E91" s="20">
        <v>2.0</v>
      </c>
    </row>
    <row r="92">
      <c r="A92" s="196" t="str">
        <f>IFERROR(__xludf.DUMMYFUNCTION("""COMPUTED_VALUE"""),"Hallowed")</f>
        <v>Hallowed</v>
      </c>
      <c r="B92" s="197" t="str">
        <f>IFERROR(__xludf.DUMMYFUNCTION("""COMPUTED_VALUE"""),"Monk")</f>
        <v>Monk</v>
      </c>
      <c r="C92" s="197">
        <f t="shared" si="1"/>
        <v>1</v>
      </c>
      <c r="D92" s="20" t="s">
        <v>2537</v>
      </c>
      <c r="E92" s="20">
        <v>2.0</v>
      </c>
    </row>
    <row r="93">
      <c r="A93" s="196" t="str">
        <f>IFERROR(__xludf.DUMMYFUNCTION("""COMPUTED_VALUE"""),"Exorcist")</f>
        <v>Exorcist</v>
      </c>
      <c r="B93" s="197" t="str">
        <f>IFERROR(__xludf.DUMMYFUNCTION("""COMPUTED_VALUE"""),"Cartouche")</f>
        <v>Cartouche</v>
      </c>
      <c r="C93" s="197">
        <f t="shared" si="1"/>
        <v>1</v>
      </c>
      <c r="D93" s="20" t="s">
        <v>20</v>
      </c>
      <c r="E93" s="20">
        <v>1.0</v>
      </c>
    </row>
    <row r="94">
      <c r="A94" s="196"/>
      <c r="B94" s="197" t="str">
        <f>IFERROR(__xludf.DUMMYFUNCTION("""COMPUTED_VALUE"""),"Luster")</f>
        <v>Luster</v>
      </c>
      <c r="C94" s="197">
        <f t="shared" si="1"/>
        <v>1</v>
      </c>
      <c r="D94" s="20" t="s">
        <v>2538</v>
      </c>
      <c r="E94" s="20">
        <v>1.0</v>
      </c>
    </row>
    <row r="95">
      <c r="A95" s="196"/>
      <c r="B95" s="197" t="str">
        <f>IFERROR(__xludf.DUMMYFUNCTION("""COMPUTED_VALUE"""),"Golden")</f>
        <v>Golden</v>
      </c>
      <c r="C95" s="197">
        <f t="shared" si="1"/>
        <v>1</v>
      </c>
      <c r="D95" s="20" t="s">
        <v>2539</v>
      </c>
      <c r="E95" s="20">
        <v>1.0</v>
      </c>
    </row>
    <row r="96">
      <c r="A96" s="196"/>
      <c r="B96" s="197" t="str">
        <f>IFERROR(__xludf.DUMMYFUNCTION("""COMPUTED_VALUE"""),"Phoenix")</f>
        <v>Phoenix</v>
      </c>
      <c r="C96" s="197">
        <f t="shared" si="1"/>
        <v>1</v>
      </c>
      <c r="D96" s="20" t="s">
        <v>2540</v>
      </c>
      <c r="E96" s="20">
        <v>1.0</v>
      </c>
    </row>
    <row r="97">
      <c r="A97" s="196" t="str">
        <f>IFERROR(__xludf.DUMMYFUNCTION("""COMPUTED_VALUE"""),"Harmonic")</f>
        <v>Harmonic</v>
      </c>
      <c r="B97" s="197" t="str">
        <f>IFERROR(__xludf.DUMMYFUNCTION("""COMPUTED_VALUE"""),"Hailstorm")</f>
        <v>Hailstorm</v>
      </c>
      <c r="C97" s="197">
        <f t="shared" si="1"/>
        <v>1</v>
      </c>
      <c r="D97" s="20" t="s">
        <v>2541</v>
      </c>
      <c r="E97" s="20">
        <v>1.0</v>
      </c>
    </row>
    <row r="98">
      <c r="A98" s="196" t="str">
        <f>IFERROR(__xludf.DUMMYFUNCTION("""COMPUTED_VALUE"""),"Echo")</f>
        <v>Echo</v>
      </c>
      <c r="B98" s="197" t="str">
        <f>IFERROR(__xludf.DUMMYFUNCTION("""COMPUTED_VALUE"""),"Seraph")</f>
        <v>Seraph</v>
      </c>
      <c r="C98" s="197">
        <f t="shared" si="1"/>
        <v>1</v>
      </c>
      <c r="D98" s="20" t="s">
        <v>2542</v>
      </c>
      <c r="E98" s="20">
        <v>1.0</v>
      </c>
    </row>
    <row r="99">
      <c r="A99" s="196"/>
      <c r="B99" s="197" t="str">
        <f>IFERROR(__xludf.DUMMYFUNCTION("""COMPUTED_VALUE"""),"Scittering")</f>
        <v>Scittering</v>
      </c>
      <c r="C99" s="197">
        <f t="shared" si="1"/>
        <v>1</v>
      </c>
      <c r="D99" s="20" t="s">
        <v>2543</v>
      </c>
      <c r="E99" s="20">
        <v>1.0</v>
      </c>
    </row>
    <row r="100">
      <c r="A100" s="196"/>
      <c r="B100" s="197" t="str">
        <f>IFERROR(__xludf.DUMMYFUNCTION("""COMPUTED_VALUE"""),"Scorpion")</f>
        <v>Scorpion</v>
      </c>
      <c r="C100" s="197">
        <f t="shared" si="1"/>
        <v>2</v>
      </c>
      <c r="D100" s="20" t="s">
        <v>2544</v>
      </c>
      <c r="E100" s="20">
        <v>1.0</v>
      </c>
    </row>
    <row r="101">
      <c r="A101" s="196"/>
      <c r="B101" s="197" t="str">
        <f>IFERROR(__xludf.DUMMYFUNCTION("""COMPUTED_VALUE"""),"Wrath")</f>
        <v>Wrath</v>
      </c>
      <c r="C101" s="197">
        <f t="shared" si="1"/>
        <v>1</v>
      </c>
      <c r="D101" s="20" t="s">
        <v>2545</v>
      </c>
      <c r="E101" s="20">
        <v>1.0</v>
      </c>
    </row>
    <row r="102">
      <c r="A102" s="196" t="str">
        <f>IFERROR(__xludf.DUMMYFUNCTION("""COMPUTED_VALUE"""),"Ibis")</f>
        <v>Ibis</v>
      </c>
      <c r="B102" s="197" t="str">
        <f>IFERROR(__xludf.DUMMYFUNCTION("""COMPUTED_VALUE"""),"Pharaoh")</f>
        <v>Pharaoh</v>
      </c>
      <c r="C102" s="197">
        <f t="shared" si="1"/>
        <v>1</v>
      </c>
      <c r="D102" s="20" t="s">
        <v>2546</v>
      </c>
      <c r="E102" s="20">
        <v>1.0</v>
      </c>
    </row>
    <row r="103">
      <c r="A103" s="196" t="str">
        <f>IFERROR(__xludf.DUMMYFUNCTION("""COMPUTED_VALUE"""),"Ushabti")</f>
        <v>Ushabti</v>
      </c>
      <c r="B103" s="197" t="str">
        <f>IFERROR(__xludf.DUMMYFUNCTION("""COMPUTED_VALUE"""),"Bringer")</f>
        <v>Bringer</v>
      </c>
      <c r="C103" s="197">
        <f t="shared" si="1"/>
        <v>3</v>
      </c>
      <c r="D103" s="20" t="s">
        <v>2547</v>
      </c>
      <c r="E103" s="20">
        <v>1.0</v>
      </c>
    </row>
    <row r="104">
      <c r="A104" s="196"/>
      <c r="B104" s="197" t="str">
        <f>IFERROR(__xludf.DUMMYFUNCTION("""COMPUTED_VALUE"""),"Good")</f>
        <v>Good</v>
      </c>
      <c r="C104" s="197">
        <f t="shared" si="1"/>
        <v>1</v>
      </c>
      <c r="D104" s="20" t="s">
        <v>2548</v>
      </c>
      <c r="E104" s="20">
        <v>1.0</v>
      </c>
    </row>
    <row r="105">
      <c r="A105" s="196"/>
      <c r="B105" s="197" t="str">
        <f>IFERROR(__xludf.DUMMYFUNCTION("""COMPUTED_VALUE"""),"News")</f>
        <v>News</v>
      </c>
      <c r="C105" s="197">
        <f t="shared" si="1"/>
        <v>1</v>
      </c>
      <c r="D105" s="20" t="s">
        <v>2549</v>
      </c>
      <c r="E105" s="20">
        <v>1.0</v>
      </c>
    </row>
    <row r="106">
      <c r="A106" s="196"/>
      <c r="B106" s="197" t="str">
        <f>IFERROR(__xludf.DUMMYFUNCTION("""COMPUTED_VALUE"""),"Lightning")</f>
        <v>Lightning</v>
      </c>
      <c r="C106" s="197">
        <f t="shared" si="1"/>
        <v>2</v>
      </c>
      <c r="D106" s="20" t="s">
        <v>79</v>
      </c>
      <c r="E106" s="20">
        <v>1.0</v>
      </c>
    </row>
    <row r="107">
      <c r="A107" s="196" t="str">
        <f>IFERROR(__xludf.DUMMYFUNCTION("""COMPUTED_VALUE"""),"Herald")</f>
        <v>Herald</v>
      </c>
      <c r="B107" s="197" t="str">
        <f>IFERROR(__xludf.DUMMYFUNCTION("""COMPUTED_VALUE"""),"Rider")</f>
        <v>Rider</v>
      </c>
      <c r="C107" s="197">
        <f t="shared" si="1"/>
        <v>2</v>
      </c>
      <c r="D107" s="20" t="s">
        <v>2550</v>
      </c>
      <c r="E107" s="20">
        <v>1.0</v>
      </c>
    </row>
    <row r="108">
      <c r="A108" s="196" t="str">
        <f>IFERROR(__xludf.DUMMYFUNCTION("""COMPUTED_VALUE"""),"of")</f>
        <v>of</v>
      </c>
      <c r="B108" s="197" t="str">
        <f>IFERROR(__xludf.DUMMYFUNCTION("""COMPUTED_VALUE"""),"Desertwind")</f>
        <v>Desertwind</v>
      </c>
      <c r="C108" s="197">
        <f t="shared" si="1"/>
        <v>1</v>
      </c>
      <c r="D108" s="20" t="s">
        <v>2551</v>
      </c>
      <c r="E108" s="20">
        <v>1.0</v>
      </c>
    </row>
    <row r="109">
      <c r="A109" s="196" t="str">
        <f>IFERROR(__xludf.DUMMYFUNCTION("""COMPUTED_VALUE"""),"Eternal")</f>
        <v>Eternal</v>
      </c>
      <c r="B109" s="197" t="str">
        <f>IFERROR(__xludf.DUMMYFUNCTION("""COMPUTED_VALUE"""),"Relic")</f>
        <v>Relic</v>
      </c>
      <c r="C109" s="197">
        <f t="shared" si="1"/>
        <v>1</v>
      </c>
      <c r="D109" s="20" t="s">
        <v>2552</v>
      </c>
      <c r="E109" s="20">
        <v>1.0</v>
      </c>
    </row>
    <row r="110">
      <c r="A110" s="196" t="str">
        <f>IFERROR(__xludf.DUMMYFUNCTION("""COMPUTED_VALUE"""),"Grace")</f>
        <v>Grace</v>
      </c>
      <c r="B110" s="197" t="str">
        <f>IFERROR(__xludf.DUMMYFUNCTION("""COMPUTED_VALUE"""),"Hunter")</f>
        <v>Hunter</v>
      </c>
      <c r="C110" s="197">
        <f t="shared" si="1"/>
        <v>1</v>
      </c>
      <c r="D110" s="20" t="s">
        <v>2553</v>
      </c>
      <c r="E110" s="20">
        <v>1.0</v>
      </c>
    </row>
    <row r="111">
      <c r="A111" s="196"/>
      <c r="B111" s="197" t="str">
        <f>IFERROR(__xludf.DUMMYFUNCTION("""COMPUTED_VALUE"""),"Exemplar")</f>
        <v>Exemplar</v>
      </c>
      <c r="C111" s="197">
        <f t="shared" si="1"/>
        <v>1</v>
      </c>
      <c r="D111" s="20" t="s">
        <v>2554</v>
      </c>
      <c r="E111" s="20">
        <v>1.0</v>
      </c>
    </row>
    <row r="112">
      <c r="A112" s="196" t="str">
        <f>IFERROR(__xludf.DUMMYFUNCTION("""COMPUTED_VALUE"""),"Maze")</f>
        <v>Maze</v>
      </c>
      <c r="B112" s="197" t="str">
        <f>IFERROR(__xludf.DUMMYFUNCTION("""COMPUTED_VALUE"""),"Lunar")</f>
        <v>Lunar</v>
      </c>
      <c r="C112" s="197">
        <f t="shared" si="1"/>
        <v>1</v>
      </c>
      <c r="D112" s="20" t="s">
        <v>2555</v>
      </c>
      <c r="E112" s="20">
        <v>1.0</v>
      </c>
    </row>
    <row r="113">
      <c r="A113" s="196" t="str">
        <f>IFERROR(__xludf.DUMMYFUNCTION("""COMPUTED_VALUE"""),"Master")</f>
        <v>Master</v>
      </c>
      <c r="B113" s="197" t="str">
        <f>IFERROR(__xludf.DUMMYFUNCTION("""COMPUTED_VALUE"""),"Gleam")</f>
        <v>Gleam</v>
      </c>
      <c r="C113" s="197">
        <f t="shared" si="1"/>
        <v>1</v>
      </c>
      <c r="D113" s="20" t="s">
        <v>2556</v>
      </c>
      <c r="E113" s="20">
        <v>1.0</v>
      </c>
    </row>
    <row r="114">
      <c r="A114" s="196" t="str">
        <f>IFERROR(__xludf.DUMMYFUNCTION("""COMPUTED_VALUE"""),"Sphinx")</f>
        <v>Sphinx</v>
      </c>
      <c r="B114" s="197" t="str">
        <f>IFERROR(__xludf.DUMMYFUNCTION("""COMPUTED_VALUE"""),"Pomegrake")</f>
        <v>Pomegrake</v>
      </c>
      <c r="C114" s="197">
        <f t="shared" si="1"/>
        <v>1</v>
      </c>
      <c r="D114" s="20" t="s">
        <v>2557</v>
      </c>
      <c r="E114" s="20">
        <v>1.0</v>
      </c>
    </row>
    <row r="115">
      <c r="A115" s="196"/>
      <c r="B115" s="197" t="str">
        <f>IFERROR(__xludf.DUMMYFUNCTION("""COMPUTED_VALUE"""),"Embalmer")</f>
        <v>Embalmer</v>
      </c>
      <c r="C115" s="197">
        <f t="shared" si="1"/>
        <v>1</v>
      </c>
      <c r="D115" s="20" t="s">
        <v>2558</v>
      </c>
      <c r="E115" s="20">
        <v>1.0</v>
      </c>
    </row>
    <row r="116">
      <c r="A116" s="196"/>
      <c r="B116" s="197" t="str">
        <f>IFERROR(__xludf.DUMMYFUNCTION("""COMPUTED_VALUE"""),"Carver")</f>
        <v>Carver</v>
      </c>
      <c r="C116" s="197">
        <f t="shared" si="1"/>
        <v>2</v>
      </c>
      <c r="D116" s="20" t="s">
        <v>2559</v>
      </c>
      <c r="E116" s="20">
        <v>1.0</v>
      </c>
    </row>
    <row r="117">
      <c r="A117" s="196" t="str">
        <f>IFERROR(__xludf.DUMMYFUNCTION("""COMPUTED_VALUE"""),"Ivoryscar")</f>
        <v>Ivoryscar</v>
      </c>
      <c r="B117" s="197" t="str">
        <f>IFERROR(__xludf.DUMMYFUNCTION("""COMPUTED_VALUE"""),"Shattercrown")</f>
        <v>Shattercrown</v>
      </c>
      <c r="C117" s="197">
        <f t="shared" si="1"/>
        <v>1</v>
      </c>
      <c r="D117" s="20" t="s">
        <v>2560</v>
      </c>
      <c r="E117" s="20">
        <v>1.0</v>
      </c>
    </row>
    <row r="118">
      <c r="A118" s="196" t="str">
        <f>IFERROR(__xludf.DUMMYFUNCTION("""COMPUTED_VALUE"""),"Cursewing")</f>
        <v>Cursewing</v>
      </c>
      <c r="B118" s="197" t="str">
        <f>IFERROR(__xludf.DUMMYFUNCTION("""COMPUTED_VALUE"""),"Luminary")</f>
        <v>Luminary</v>
      </c>
      <c r="C118" s="197">
        <f t="shared" si="1"/>
        <v>1</v>
      </c>
      <c r="D118" s="20" t="s">
        <v>2561</v>
      </c>
      <c r="E118" s="20">
        <v>1.0</v>
      </c>
    </row>
    <row r="119">
      <c r="A119" s="196"/>
      <c r="B119" s="197" t="str">
        <f>IFERROR(__xludf.DUMMYFUNCTION("""COMPUTED_VALUE"""),"Shepard")</f>
        <v>Shepard</v>
      </c>
      <c r="C119" s="197">
        <f t="shared" si="1"/>
        <v>1</v>
      </c>
      <c r="D119" s="20" t="s">
        <v>2562</v>
      </c>
      <c r="E119" s="20">
        <v>1.0</v>
      </c>
    </row>
    <row r="120">
      <c r="A120" s="196"/>
      <c r="B120" s="197" t="str">
        <f>IFERROR(__xludf.DUMMYFUNCTION("""COMPUTED_VALUE"""),"Morning")</f>
        <v>Morning</v>
      </c>
      <c r="C120" s="197">
        <f t="shared" si="1"/>
        <v>1</v>
      </c>
      <c r="D120" s="20" t="s">
        <v>2563</v>
      </c>
      <c r="E120" s="20">
        <v>1.0</v>
      </c>
    </row>
    <row r="121">
      <c r="A121" s="196"/>
      <c r="B121" s="197" t="str">
        <f>IFERROR(__xludf.DUMMYFUNCTION("""COMPUTED_VALUE"""),"Dew")</f>
        <v>Dew</v>
      </c>
      <c r="C121" s="197">
        <f t="shared" si="1"/>
        <v>1</v>
      </c>
      <c r="D121" s="20" t="s">
        <v>2564</v>
      </c>
      <c r="E121" s="20">
        <v>1.0</v>
      </c>
    </row>
    <row r="122">
      <c r="A122" s="196" t="str">
        <f>IFERROR(__xludf.DUMMYFUNCTION("""COMPUTED_VALUE"""),"Ivoryscar")</f>
        <v>Ivoryscar</v>
      </c>
      <c r="B122" s="197" t="str">
        <f>IFERROR(__xludf.DUMMYFUNCTION("""COMPUTED_VALUE"""),"Arboreal")</f>
        <v>Arboreal</v>
      </c>
      <c r="C122" s="197">
        <f t="shared" si="1"/>
        <v>1</v>
      </c>
      <c r="D122" s="20" t="s">
        <v>2565</v>
      </c>
      <c r="E122" s="20">
        <v>1.0</v>
      </c>
    </row>
    <row r="123">
      <c r="A123" s="196" t="str">
        <f>IFERROR(__xludf.DUMMYFUNCTION("""COMPUTED_VALUE"""),"Magistrate")</f>
        <v>Magistrate</v>
      </c>
      <c r="B123" s="197" t="str">
        <f>IFERROR(__xludf.DUMMYFUNCTION("""COMPUTED_VALUE"""),"Messenger")</f>
        <v>Messenger</v>
      </c>
      <c r="C123" s="197">
        <f t="shared" si="1"/>
        <v>1</v>
      </c>
      <c r="D123" s="20" t="s">
        <v>2566</v>
      </c>
      <c r="E123" s="20">
        <v>1.0</v>
      </c>
    </row>
    <row r="124">
      <c r="A124" s="196"/>
      <c r="B124" s="197" t="str">
        <f>IFERROR(__xludf.DUMMYFUNCTION("""COMPUTED_VALUE"""),"Auric")</f>
        <v>Auric</v>
      </c>
      <c r="C124" s="197">
        <f t="shared" si="1"/>
        <v>1</v>
      </c>
      <c r="D124" s="20" t="s">
        <v>2567</v>
      </c>
      <c r="E124" s="20">
        <v>1.0</v>
      </c>
    </row>
    <row r="125">
      <c r="A125" s="196"/>
      <c r="B125" s="197" t="str">
        <f>IFERROR(__xludf.DUMMYFUNCTION("""COMPUTED_VALUE"""),"Ant")</f>
        <v>Ant</v>
      </c>
      <c r="C125" s="197">
        <f t="shared" si="1"/>
        <v>2</v>
      </c>
      <c r="D125" s="20" t="s">
        <v>2568</v>
      </c>
      <c r="E125" s="20">
        <v>1.0</v>
      </c>
    </row>
    <row r="126">
      <c r="A126" s="196"/>
      <c r="B126" s="197" t="str">
        <f>IFERROR(__xludf.DUMMYFUNCTION("""COMPUTED_VALUE"""),"Regent")</f>
        <v>Regent</v>
      </c>
      <c r="C126" s="197">
        <f t="shared" si="1"/>
        <v>1</v>
      </c>
      <c r="D126" s="20" t="s">
        <v>2569</v>
      </c>
      <c r="E126" s="20">
        <v>1.0</v>
      </c>
    </row>
    <row r="127">
      <c r="A127" s="196" t="str">
        <f>IFERROR(__xludf.DUMMYFUNCTION("""COMPUTED_VALUE"""),"Kylix")</f>
        <v>Kylix</v>
      </c>
      <c r="B127" s="197" t="str">
        <f>IFERROR(__xludf.DUMMYFUNCTION("""COMPUTED_VALUE"""),"Blessing")</f>
        <v>Blessing</v>
      </c>
      <c r="C127" s="197">
        <f t="shared" si="1"/>
        <v>1</v>
      </c>
      <c r="D127" s="20" t="s">
        <v>2570</v>
      </c>
      <c r="E127" s="20">
        <v>1.0</v>
      </c>
    </row>
    <row r="128">
      <c r="A128" s="196" t="str">
        <f>IFERROR(__xludf.DUMMYFUNCTION("""COMPUTED_VALUE"""),"of")</f>
        <v>of</v>
      </c>
      <c r="B128" s="197" t="str">
        <f>IFERROR(__xludf.DUMMYFUNCTION("""COMPUTED_VALUE"""),"Bestower")</f>
        <v>Bestower</v>
      </c>
      <c r="C128" s="197">
        <f t="shared" si="1"/>
        <v>1</v>
      </c>
      <c r="D128" s="20" t="s">
        <v>2571</v>
      </c>
      <c r="E128" s="20">
        <v>1.0</v>
      </c>
    </row>
    <row r="129">
      <c r="A129" s="196" t="str">
        <f>IFERROR(__xludf.DUMMYFUNCTION("""COMPUTED_VALUE"""),"Excess")</f>
        <v>Excess</v>
      </c>
      <c r="B129" s="197" t="str">
        <f>IFERROR(__xludf.DUMMYFUNCTION("""COMPUTED_VALUE"""),"Waypost")</f>
        <v>Waypost</v>
      </c>
      <c r="C129" s="197">
        <f t="shared" si="1"/>
        <v>1</v>
      </c>
      <c r="D129" s="20" t="s">
        <v>2572</v>
      </c>
      <c r="E129" s="20">
        <v>1.0</v>
      </c>
    </row>
    <row r="130">
      <c r="A130" s="196"/>
      <c r="B130" s="197" t="str">
        <f>IFERROR(__xludf.DUMMYFUNCTION("""COMPUTED_VALUE"""),"Crimson")</f>
        <v>Crimson</v>
      </c>
      <c r="C130" s="197">
        <f t="shared" si="1"/>
        <v>1</v>
      </c>
      <c r="D130" s="20" t="s">
        <v>2573</v>
      </c>
      <c r="E130" s="20">
        <v>1.0</v>
      </c>
    </row>
    <row r="131">
      <c r="A131" s="196"/>
      <c r="B131" s="197" t="str">
        <f>IFERROR(__xludf.DUMMYFUNCTION("""COMPUTED_VALUE"""),"Flamechick")</f>
        <v>Flamechick</v>
      </c>
      <c r="C131" s="197">
        <f t="shared" si="1"/>
        <v>1</v>
      </c>
      <c r="D131" s="20" t="s">
        <v>2574</v>
      </c>
      <c r="E131" s="20">
        <v>1.0</v>
      </c>
    </row>
    <row r="132">
      <c r="A132" s="196" t="str">
        <f>IFERROR(__xludf.DUMMYFUNCTION("""COMPUTED_VALUE"""),"Mystic")</f>
        <v>Mystic</v>
      </c>
      <c r="B132" s="197" t="str">
        <f>IFERROR(__xludf.DUMMYFUNCTION("""COMPUTED_VALUE"""),"Ascended")</f>
        <v>Ascended</v>
      </c>
      <c r="C132" s="197">
        <f t="shared" si="1"/>
        <v>1</v>
      </c>
      <c r="D132" s="20" t="s">
        <v>2575</v>
      </c>
      <c r="E132" s="20">
        <v>1.0</v>
      </c>
    </row>
    <row r="133">
      <c r="A133" s="196" t="str">
        <f>IFERROR(__xludf.DUMMYFUNCTION("""COMPUTED_VALUE"""),"Puzzle")</f>
        <v>Puzzle</v>
      </c>
      <c r="B133" s="197" t="str">
        <f>IFERROR(__xludf.DUMMYFUNCTION("""COMPUTED_VALUE"""),"One")</f>
        <v>One</v>
      </c>
      <c r="C133" s="197">
        <f t="shared" si="1"/>
        <v>2</v>
      </c>
      <c r="D133" s="20" t="s">
        <v>2576</v>
      </c>
      <c r="E133" s="20">
        <v>1.0</v>
      </c>
    </row>
    <row r="134">
      <c r="A134" s="196" t="str">
        <f>IFERROR(__xludf.DUMMYFUNCTION("""COMPUTED_VALUE"""),"Box")</f>
        <v>Box</v>
      </c>
      <c r="B134" s="197" t="str">
        <f>IFERROR(__xludf.DUMMYFUNCTION("""COMPUTED_VALUE"""),"Rubyskull")</f>
        <v>Rubyskull</v>
      </c>
      <c r="C134" s="197">
        <f t="shared" si="1"/>
        <v>1</v>
      </c>
      <c r="D134" s="20" t="s">
        <v>2577</v>
      </c>
      <c r="E134" s="20">
        <v>1.0</v>
      </c>
    </row>
    <row r="135">
      <c r="A135" s="196"/>
      <c r="B135" s="197" t="str">
        <f>IFERROR(__xludf.DUMMYFUNCTION("""COMPUTED_VALUE"""),"Blackwing")</f>
        <v>Blackwing</v>
      </c>
      <c r="C135" s="197">
        <f t="shared" si="1"/>
        <v>1</v>
      </c>
      <c r="D135" s="20" t="s">
        <v>2578</v>
      </c>
      <c r="E135" s="20">
        <v>1.0</v>
      </c>
    </row>
    <row r="136">
      <c r="A136" s="196"/>
      <c r="B136" s="197" t="str">
        <f>IFERROR(__xludf.DUMMYFUNCTION("""COMPUTED_VALUE"""),"Usurper")</f>
        <v>Usurper</v>
      </c>
      <c r="C136" s="197">
        <f t="shared" si="1"/>
        <v>1</v>
      </c>
      <c r="D136" s="20" t="s">
        <v>2579</v>
      </c>
      <c r="E136" s="20">
        <v>1.0</v>
      </c>
    </row>
    <row r="137">
      <c r="A137" s="196" t="str">
        <f>IFERROR(__xludf.DUMMYFUNCTION("""COMPUTED_VALUE"""),"Monolith")</f>
        <v>Monolith</v>
      </c>
      <c r="B137" s="197" t="str">
        <f>IFERROR(__xludf.DUMMYFUNCTION("""COMPUTED_VALUE"""),"Celestial")</f>
        <v>Celestial</v>
      </c>
      <c r="C137" s="197">
        <f t="shared" si="1"/>
        <v>1</v>
      </c>
      <c r="D137" s="20" t="s">
        <v>2580</v>
      </c>
      <c r="E137" s="20">
        <v>1.0</v>
      </c>
    </row>
    <row r="138">
      <c r="A138" s="196" t="str">
        <f>IFERROR(__xludf.DUMMYFUNCTION("""COMPUTED_VALUE"""),"of")</f>
        <v>of</v>
      </c>
      <c r="B138" s="197" t="str">
        <f>IFERROR(__xludf.DUMMYFUNCTION("""COMPUTED_VALUE"""),"Second")</f>
        <v>Second</v>
      </c>
      <c r="C138" s="197">
        <f t="shared" si="1"/>
        <v>1</v>
      </c>
      <c r="D138" s="20" t="s">
        <v>2581</v>
      </c>
      <c r="E138" s="20">
        <v>1.0</v>
      </c>
    </row>
    <row r="139">
      <c r="A139" s="196" t="str">
        <f>IFERROR(__xludf.DUMMYFUNCTION("""COMPUTED_VALUE"""),"Meditation")</f>
        <v>Meditation</v>
      </c>
      <c r="B139" s="197" t="str">
        <f>IFERROR(__xludf.DUMMYFUNCTION("""COMPUTED_VALUE"""),"Wing")</f>
        <v>Wing</v>
      </c>
      <c r="C139" s="197">
        <f t="shared" si="1"/>
        <v>1</v>
      </c>
      <c r="D139" s="20" t="s">
        <v>2582</v>
      </c>
      <c r="E139" s="20">
        <v>1.0</v>
      </c>
    </row>
    <row r="140">
      <c r="A140" s="196"/>
      <c r="B140" s="197" t="str">
        <f>IFERROR(__xludf.DUMMYFUNCTION("""COMPUTED_VALUE"""),"Fatebreaker")</f>
        <v>Fatebreaker</v>
      </c>
      <c r="C140" s="197">
        <f t="shared" si="1"/>
        <v>1</v>
      </c>
      <c r="D140" s="20" t="s">
        <v>211</v>
      </c>
      <c r="E140" s="20">
        <v>1.0</v>
      </c>
    </row>
    <row r="141">
      <c r="A141" s="196"/>
      <c r="B141" s="197" t="str">
        <f>IFERROR(__xludf.DUMMYFUNCTION("""COMPUTED_VALUE"""),"Moon")</f>
        <v>Moon</v>
      </c>
      <c r="C141" s="197">
        <f t="shared" si="1"/>
        <v>2</v>
      </c>
      <c r="D141" s="20" t="s">
        <v>2583</v>
      </c>
      <c r="E141" s="20">
        <v>1.0</v>
      </c>
    </row>
    <row r="142">
      <c r="A142" s="196" t="str">
        <f>IFERROR(__xludf.DUMMYFUNCTION("""COMPUTED_VALUE"""),"Oasis")</f>
        <v>Oasis</v>
      </c>
      <c r="B142" s="197" t="str">
        <f>IFERROR(__xludf.DUMMYFUNCTION("""COMPUTED_VALUE"""),"Priestess")</f>
        <v>Priestess</v>
      </c>
      <c r="C142" s="197">
        <f t="shared" si="1"/>
        <v>1</v>
      </c>
      <c r="D142" s="20" t="s">
        <v>2584</v>
      </c>
      <c r="E142" s="20">
        <v>1.0</v>
      </c>
    </row>
    <row r="143">
      <c r="A143" s="196" t="str">
        <f>IFERROR(__xludf.DUMMYFUNCTION("""COMPUTED_VALUE"""),"Sprite")</f>
        <v>Sprite</v>
      </c>
      <c r="B143" s="197" t="str">
        <f>IFERROR(__xludf.DUMMYFUNCTION("""COMPUTED_VALUE"""),"Airstep")</f>
        <v>Airstep</v>
      </c>
      <c r="C143" s="197">
        <f t="shared" si="1"/>
        <v>1</v>
      </c>
      <c r="D143" s="20" t="s">
        <v>2585</v>
      </c>
      <c r="E143" s="20">
        <v>1.0</v>
      </c>
    </row>
    <row r="144">
      <c r="A144" s="196"/>
      <c r="B144" s="197" t="str">
        <f>IFERROR(__xludf.DUMMYFUNCTION("""COMPUTED_VALUE"""),"Sifu")</f>
        <v>Sifu</v>
      </c>
      <c r="C144" s="197">
        <f t="shared" si="1"/>
        <v>1</v>
      </c>
      <c r="D144" s="20" t="s">
        <v>2586</v>
      </c>
      <c r="E144" s="20">
        <v>1.0</v>
      </c>
    </row>
    <row r="145">
      <c r="A145" s="196"/>
      <c r="B145" s="197" t="str">
        <f>IFERROR(__xludf.DUMMYFUNCTION("""COMPUTED_VALUE"""),"Moonspear")</f>
        <v>Moonspear</v>
      </c>
      <c r="C145" s="197">
        <f t="shared" si="1"/>
        <v>4</v>
      </c>
      <c r="D145" s="20" t="s">
        <v>2587</v>
      </c>
      <c r="E145" s="20">
        <v>1.0</v>
      </c>
    </row>
    <row r="146">
      <c r="A146" s="196"/>
      <c r="B146" s="197" t="str">
        <f>IFERROR(__xludf.DUMMYFUNCTION("""COMPUTED_VALUE"""),"Paladin")</f>
        <v>Paladin</v>
      </c>
      <c r="C146" s="197">
        <f t="shared" si="1"/>
        <v>1</v>
      </c>
      <c r="D146" s="20" t="s">
        <v>230</v>
      </c>
      <c r="E146" s="20">
        <v>1.0</v>
      </c>
    </row>
    <row r="147">
      <c r="A147" s="196" t="str">
        <f>IFERROR(__xludf.DUMMYFUNCTION("""COMPUTED_VALUE"""),"Pharaoh's")</f>
        <v>Pharaoh's</v>
      </c>
      <c r="B147" s="197" t="str">
        <f>IFERROR(__xludf.DUMMYFUNCTION("""COMPUTED_VALUE"""),"Arcanum")</f>
        <v>Arcanum</v>
      </c>
      <c r="C147" s="197">
        <f t="shared" si="1"/>
        <v>1</v>
      </c>
      <c r="D147" s="20" t="s">
        <v>2588</v>
      </c>
      <c r="E147" s="20">
        <v>1.0</v>
      </c>
    </row>
    <row r="148">
      <c r="A148" s="196" t="str">
        <f>IFERROR(__xludf.DUMMYFUNCTION("""COMPUTED_VALUE"""),"Bodyguard")</f>
        <v>Bodyguard</v>
      </c>
      <c r="B148" s="197" t="str">
        <f>IFERROR(__xludf.DUMMYFUNCTION("""COMPUTED_VALUE"""),"Grandmaster")</f>
        <v>Grandmaster</v>
      </c>
      <c r="C148" s="197">
        <f t="shared" si="1"/>
        <v>1</v>
      </c>
      <c r="D148" s="20" t="s">
        <v>2589</v>
      </c>
      <c r="E148" s="20">
        <v>1.0</v>
      </c>
    </row>
    <row r="149">
      <c r="A149" s="196"/>
      <c r="B149" s="197" t="str">
        <f>IFERROR(__xludf.DUMMYFUNCTION("""COMPUTED_VALUE"""),"Auraborne")</f>
        <v>Auraborne</v>
      </c>
      <c r="C149" s="197">
        <f t="shared" si="1"/>
        <v>1</v>
      </c>
      <c r="D149" s="20" t="s">
        <v>2590</v>
      </c>
      <c r="E149" s="20">
        <v>1.0</v>
      </c>
    </row>
    <row r="150">
      <c r="A150" s="196"/>
      <c r="B150" s="197" t="str">
        <f>IFERROR(__xludf.DUMMYFUNCTION("""COMPUTED_VALUE"""),"Wyvern")</f>
        <v>Wyvern</v>
      </c>
      <c r="C150" s="197">
        <f t="shared" si="1"/>
        <v>3</v>
      </c>
      <c r="D150" s="20" t="s">
        <v>2591</v>
      </c>
      <c r="E150" s="20">
        <v>1.0</v>
      </c>
    </row>
    <row r="151">
      <c r="A151" s="196"/>
      <c r="B151" s="197" t="str">
        <f>IFERROR(__xludf.DUMMYFUNCTION("""COMPUTED_VALUE"""),"Blazecharm")</f>
        <v>Blazecharm</v>
      </c>
      <c r="C151" s="197">
        <f t="shared" si="1"/>
        <v>1</v>
      </c>
      <c r="D151" s="20" t="s">
        <v>2592</v>
      </c>
      <c r="E151" s="20">
        <v>1.0</v>
      </c>
    </row>
    <row r="152">
      <c r="A152" s="196" t="str">
        <f>IFERROR(__xludf.DUMMYFUNCTION("""COMPUTED_VALUE"""),"Scripture")</f>
        <v>Scripture</v>
      </c>
      <c r="B152" s="197" t="str">
        <f>IFERROR(__xludf.DUMMYFUNCTION("""COMPUTED_VALUE"""),"Kitsune")</f>
        <v>Kitsune</v>
      </c>
      <c r="C152" s="197">
        <f t="shared" si="1"/>
        <v>1</v>
      </c>
      <c r="D152" s="20" t="s">
        <v>2593</v>
      </c>
      <c r="E152" s="20">
        <v>1.0</v>
      </c>
    </row>
    <row r="153">
      <c r="A153" s="196" t="str">
        <f>IFERROR(__xludf.DUMMYFUNCTION("""COMPUTED_VALUE"""),"Monkey")</f>
        <v>Monkey</v>
      </c>
      <c r="B153" s="197" t="str">
        <f>IFERROR(__xludf.DUMMYFUNCTION("""COMPUTED_VALUE"""),"Glowing")</f>
        <v>Glowing</v>
      </c>
      <c r="C153" s="197">
        <f t="shared" si="1"/>
        <v>1</v>
      </c>
      <c r="D153" s="20" t="s">
        <v>2594</v>
      </c>
      <c r="E153" s="20">
        <v>1.0</v>
      </c>
    </row>
    <row r="154">
      <c r="A154" s="196"/>
      <c r="B154" s="197" t="str">
        <f>IFERROR(__xludf.DUMMYFUNCTION("""COMPUTED_VALUE"""),"Gearhulk")</f>
        <v>Gearhulk</v>
      </c>
      <c r="C154" s="197">
        <f t="shared" si="1"/>
        <v>1</v>
      </c>
      <c r="D154" s="20" t="s">
        <v>2595</v>
      </c>
      <c r="E154" s="20">
        <v>1.0</v>
      </c>
    </row>
    <row r="155">
      <c r="A155" s="196"/>
      <c r="B155" s="197" t="str">
        <f>IFERROR(__xludf.DUMMYFUNCTION("""COMPUTED_VALUE"""),"Boiling")</f>
        <v>Boiling</v>
      </c>
      <c r="C155" s="197">
        <f t="shared" si="1"/>
        <v>1</v>
      </c>
      <c r="D155" s="20" t="s">
        <v>2596</v>
      </c>
      <c r="E155" s="20">
        <v>1.0</v>
      </c>
    </row>
    <row r="156">
      <c r="A156" s="196"/>
      <c r="B156" s="197" t="str">
        <f>IFERROR(__xludf.DUMMYFUNCTION("""COMPUTED_VALUE"""),"Blood")</f>
        <v>Blood</v>
      </c>
      <c r="C156" s="197">
        <f t="shared" si="1"/>
        <v>2</v>
      </c>
      <c r="D156" s="20" t="s">
        <v>2597</v>
      </c>
      <c r="E156" s="20">
        <v>1.0</v>
      </c>
    </row>
    <row r="157">
      <c r="A157" s="196" t="str">
        <f>IFERROR(__xludf.DUMMYFUNCTION("""COMPUTED_VALUE"""),"Pyramidion")</f>
        <v>Pyramidion</v>
      </c>
      <c r="B157" s="197" t="str">
        <f>IFERROR(__xludf.DUMMYFUNCTION("""COMPUTED_VALUE"""),"Berserker")</f>
        <v>Berserker</v>
      </c>
      <c r="C157" s="197">
        <f t="shared" si="1"/>
        <v>1</v>
      </c>
      <c r="D157" s="20" t="s">
        <v>2598</v>
      </c>
      <c r="E157" s="20">
        <v>1.0</v>
      </c>
    </row>
    <row r="158">
      <c r="A158" s="196"/>
      <c r="B158" s="197" t="str">
        <f>IFERROR(__xludf.DUMMYFUNCTION("""COMPUTED_VALUE"""),"Goat")</f>
        <v>Goat</v>
      </c>
      <c r="C158" s="197">
        <f t="shared" si="1"/>
        <v>1</v>
      </c>
      <c r="D158" s="20" t="s">
        <v>2599</v>
      </c>
      <c r="E158" s="20">
        <v>1.0</v>
      </c>
    </row>
    <row r="159">
      <c r="A159" s="196"/>
      <c r="B159" s="197" t="str">
        <f>IFERROR(__xludf.DUMMYFUNCTION("""COMPUTED_VALUE"""),"Oracle")</f>
        <v>Oracle</v>
      </c>
      <c r="C159" s="197">
        <f t="shared" si="1"/>
        <v>2</v>
      </c>
      <c r="D159" s="20" t="s">
        <v>2600</v>
      </c>
      <c r="E159" s="20">
        <v>1.0</v>
      </c>
    </row>
    <row r="160">
      <c r="A160" s="196"/>
      <c r="B160" s="197" t="str">
        <f>IFERROR(__xludf.DUMMYFUNCTION("""COMPUTED_VALUE"""),"Sagehorn")</f>
        <v>Sagehorn</v>
      </c>
      <c r="C160" s="197">
        <f t="shared" si="1"/>
        <v>1</v>
      </c>
      <c r="D160" s="20" t="s">
        <v>2601</v>
      </c>
      <c r="E160" s="20">
        <v>1.0</v>
      </c>
    </row>
    <row r="161">
      <c r="A161" s="196"/>
      <c r="B161" s="197" t="str">
        <f>IFERROR(__xludf.DUMMYFUNCTION("""COMPUTED_VALUE"""),"Sunblessed")</f>
        <v>Sunblessed</v>
      </c>
      <c r="C161" s="197">
        <f t="shared" si="1"/>
        <v>1</v>
      </c>
      <c r="D161" s="20" t="s">
        <v>2602</v>
      </c>
      <c r="E161" s="20">
        <v>1.0</v>
      </c>
    </row>
    <row r="162">
      <c r="A162" s="196" t="str">
        <f>IFERROR(__xludf.DUMMYFUNCTION("""COMPUTED_VALUE"""),"Sekhem")</f>
        <v>Sekhem</v>
      </c>
      <c r="B162" s="197" t="str">
        <f>IFERROR(__xludf.DUMMYFUNCTION("""COMPUTED_VALUE"""),"Crocodile")</f>
        <v>Crocodile</v>
      </c>
      <c r="C162" s="197">
        <f t="shared" si="1"/>
        <v>1</v>
      </c>
      <c r="D162" s="20" t="s">
        <v>2603</v>
      </c>
      <c r="E162" s="20">
        <v>1.0</v>
      </c>
    </row>
    <row r="163">
      <c r="A163" s="196" t="str">
        <f>IFERROR(__xludf.DUMMYFUNCTION("""COMPUTED_VALUE"""),"Chariot")</f>
        <v>Chariot</v>
      </c>
      <c r="B163" s="197" t="str">
        <f>IFERROR(__xludf.DUMMYFUNCTION("""COMPUTED_VALUE"""),"Kois")</f>
        <v>Kois</v>
      </c>
      <c r="C163" s="197">
        <f t="shared" si="1"/>
        <v>1</v>
      </c>
      <c r="D163" s="20" t="s">
        <v>2604</v>
      </c>
      <c r="E163" s="20">
        <v>1.0</v>
      </c>
    </row>
    <row r="164">
      <c r="A164" s="196"/>
      <c r="B164" s="197" t="str">
        <f>IFERROR(__xludf.DUMMYFUNCTION("""COMPUTED_VALUE"""),"Duality")</f>
        <v>Duality</v>
      </c>
      <c r="C164" s="197">
        <f t="shared" si="1"/>
        <v>1</v>
      </c>
      <c r="D164" s="20" t="s">
        <v>2605</v>
      </c>
      <c r="E164" s="20">
        <v>1.0</v>
      </c>
    </row>
    <row r="165">
      <c r="A165" s="196"/>
      <c r="B165" s="197" t="str">
        <f>IFERROR(__xludf.DUMMYFUNCTION("""COMPUTED_VALUE"""),"Eclipsion")</f>
        <v>Eclipsion</v>
      </c>
      <c r="C165" s="197">
        <f t="shared" si="1"/>
        <v>1</v>
      </c>
      <c r="D165" s="20" t="s">
        <v>2606</v>
      </c>
      <c r="E165" s="20">
        <v>1.0</v>
      </c>
    </row>
    <row r="166">
      <c r="A166" s="196"/>
      <c r="B166" s="197" t="str">
        <f>IFERROR(__xludf.DUMMYFUNCTION("""COMPUTED_VALUE"""),"Fallen")</f>
        <v>Fallen</v>
      </c>
      <c r="C166" s="197">
        <f t="shared" si="1"/>
        <v>1</v>
      </c>
      <c r="D166" s="20" t="s">
        <v>2607</v>
      </c>
      <c r="E166" s="20">
        <v>1.0</v>
      </c>
    </row>
    <row r="167">
      <c r="A167" s="196" t="str">
        <f>IFERROR(__xludf.DUMMYFUNCTION("""COMPUTED_VALUE"""),"Obsidian")</f>
        <v>Obsidian</v>
      </c>
      <c r="B167" s="197" t="str">
        <f>IFERROR(__xludf.DUMMYFUNCTION("""COMPUTED_VALUE"""),"Diamond")</f>
        <v>Diamond</v>
      </c>
      <c r="C167" s="197">
        <f t="shared" si="1"/>
        <v>1</v>
      </c>
      <c r="D167" s="20" t="s">
        <v>2608</v>
      </c>
      <c r="E167" s="20">
        <v>1.0</v>
      </c>
    </row>
    <row r="168">
      <c r="A168" s="196" t="str">
        <f>IFERROR(__xludf.DUMMYFUNCTION("""COMPUTED_VALUE"""),"Scarab")</f>
        <v>Scarab</v>
      </c>
      <c r="B168" s="197" t="str">
        <f>IFERROR(__xludf.DUMMYFUNCTION("""COMPUTED_VALUE"""),"Phantom")</f>
        <v>Phantom</v>
      </c>
      <c r="C168" s="197">
        <f t="shared" si="1"/>
        <v>1</v>
      </c>
      <c r="D168" s="20" t="s">
        <v>2609</v>
      </c>
      <c r="E168" s="20">
        <v>1.0</v>
      </c>
    </row>
    <row r="169">
      <c r="A169" s="196"/>
      <c r="B169" s="197" t="str">
        <f>IFERROR(__xludf.DUMMYFUNCTION("""COMPUTED_VALUE"""),"Draconic")</f>
        <v>Draconic</v>
      </c>
      <c r="C169" s="197">
        <f t="shared" si="1"/>
        <v>1</v>
      </c>
      <c r="D169" s="20" t="s">
        <v>2610</v>
      </c>
      <c r="E169" s="20">
        <v>1.0</v>
      </c>
    </row>
    <row r="170">
      <c r="A170" s="196"/>
      <c r="B170" s="197" t="str">
        <f>IFERROR(__xludf.DUMMYFUNCTION("""COMPUTED_VALUE"""),"Highpriest")</f>
        <v>Highpriest</v>
      </c>
      <c r="C170" s="197">
        <f t="shared" si="1"/>
        <v>1</v>
      </c>
      <c r="D170" s="20" t="s">
        <v>2611</v>
      </c>
      <c r="E170" s="20">
        <v>1.0</v>
      </c>
    </row>
    <row r="171">
      <c r="A171" s="196"/>
      <c r="B171" s="197" t="str">
        <f>IFERROR(__xludf.DUMMYFUNCTION("""COMPUTED_VALUE"""),"Cavern")</f>
        <v>Cavern</v>
      </c>
      <c r="C171" s="197">
        <f t="shared" si="1"/>
        <v>1</v>
      </c>
      <c r="D171" s="20" t="s">
        <v>2612</v>
      </c>
      <c r="E171" s="20">
        <v>1.0</v>
      </c>
    </row>
    <row r="172">
      <c r="A172" s="196" t="str">
        <f>IFERROR(__xludf.DUMMYFUNCTION("""COMPUTED_VALUE"""),"Solarsteel")</f>
        <v>Solarsteel</v>
      </c>
      <c r="B172" s="197" t="str">
        <f>IFERROR(__xludf.DUMMYFUNCTION("""COMPUTED_VALUE"""),"Lindwurm")</f>
        <v>Lindwurm</v>
      </c>
      <c r="C172" s="197">
        <f t="shared" si="1"/>
        <v>1</v>
      </c>
      <c r="D172" s="20" t="s">
        <v>2613</v>
      </c>
      <c r="E172" s="20">
        <v>1.0</v>
      </c>
    </row>
    <row r="173">
      <c r="A173" s="196" t="str">
        <f>IFERROR(__xludf.DUMMYFUNCTION("""COMPUTED_VALUE"""),"Prodigy")</f>
        <v>Prodigy</v>
      </c>
      <c r="B173" s="197" t="str">
        <f>IFERROR(__xludf.DUMMYFUNCTION("""COMPUTED_VALUE"""),"Cheerful")</f>
        <v>Cheerful</v>
      </c>
      <c r="C173" s="197">
        <f t="shared" si="1"/>
        <v>1</v>
      </c>
      <c r="D173" s="20" t="s">
        <v>2614</v>
      </c>
      <c r="E173" s="20">
        <v>1.0</v>
      </c>
    </row>
    <row r="174">
      <c r="A174" s="196"/>
      <c r="B174" s="197" t="str">
        <f>IFERROR(__xludf.DUMMYFUNCTION("""COMPUTED_VALUE"""),"Pixies")</f>
        <v>Pixies</v>
      </c>
      <c r="C174" s="197">
        <f t="shared" si="1"/>
        <v>1</v>
      </c>
      <c r="D174" s="20" t="s">
        <v>326</v>
      </c>
      <c r="E174" s="20">
        <v>1.0</v>
      </c>
    </row>
    <row r="175">
      <c r="A175" s="196"/>
      <c r="B175" s="197" t="str">
        <f>IFERROR(__xludf.DUMMYFUNCTION("""COMPUTED_VALUE"""),"Cinderguard")</f>
        <v>Cinderguard</v>
      </c>
      <c r="C175" s="197">
        <f t="shared" si="1"/>
        <v>5</v>
      </c>
      <c r="D175" s="20" t="s">
        <v>2615</v>
      </c>
      <c r="E175" s="20">
        <v>1.0</v>
      </c>
    </row>
    <row r="176">
      <c r="A176" s="196"/>
      <c r="B176" s="197" t="str">
        <f>IFERROR(__xludf.DUMMYFUNCTION("""COMPUTED_VALUE"""),"Scribe")</f>
        <v>Scribe</v>
      </c>
      <c r="C176" s="197">
        <f t="shared" si="1"/>
        <v>1</v>
      </c>
      <c r="D176" s="20" t="s">
        <v>2616</v>
      </c>
      <c r="E176" s="20">
        <v>1.0</v>
      </c>
    </row>
    <row r="177">
      <c r="A177" s="196" t="str">
        <f>IFERROR(__xludf.DUMMYFUNCTION("""COMPUTED_VALUE"""),"Starforger")</f>
        <v>Starforger</v>
      </c>
      <c r="B177" s="197" t="str">
        <f>IFERROR(__xludf.DUMMYFUNCTION("""COMPUTED_VALUE"""),"Daredevil")</f>
        <v>Daredevil</v>
      </c>
      <c r="C177" s="197">
        <f t="shared" si="1"/>
        <v>1</v>
      </c>
      <c r="D177" s="20" t="s">
        <v>2617</v>
      </c>
      <c r="E177" s="20">
        <v>1.0</v>
      </c>
    </row>
    <row r="178">
      <c r="A178" s="196"/>
      <c r="B178" s="197" t="str">
        <f>IFERROR(__xludf.DUMMYFUNCTION("""COMPUTED_VALUE"""),"Duo")</f>
        <v>Duo</v>
      </c>
      <c r="C178" s="197">
        <f t="shared" si="1"/>
        <v>1</v>
      </c>
      <c r="D178" s="20" t="s">
        <v>2618</v>
      </c>
      <c r="E178" s="20">
        <v>1.0</v>
      </c>
    </row>
    <row r="179">
      <c r="A179" s="196"/>
      <c r="B179" s="197" t="str">
        <f>IFERROR(__xludf.DUMMYFUNCTION("""COMPUTED_VALUE"""),"Beetle")</f>
        <v>Beetle</v>
      </c>
      <c r="C179" s="197">
        <f t="shared" si="1"/>
        <v>3</v>
      </c>
      <c r="D179" s="20" t="s">
        <v>2619</v>
      </c>
      <c r="E179" s="20">
        <v>1.0</v>
      </c>
    </row>
    <row r="180">
      <c r="A180" s="196"/>
      <c r="B180" s="197" t="str">
        <f>IFERROR(__xludf.DUMMYFUNCTION("""COMPUTED_VALUE"""),"Ember")</f>
        <v>Ember</v>
      </c>
      <c r="C180" s="197">
        <f t="shared" si="1"/>
        <v>1</v>
      </c>
      <c r="D180" s="20" t="s">
        <v>2620</v>
      </c>
      <c r="E180" s="20">
        <v>1.0</v>
      </c>
    </row>
    <row r="181">
      <c r="A181" s="196"/>
      <c r="B181" s="197" t="str">
        <f>IFERROR(__xludf.DUMMYFUNCTION("""COMPUTED_VALUE"""),"Whelp")</f>
        <v>Whelp</v>
      </c>
      <c r="C181" s="197">
        <f t="shared" si="1"/>
        <v>1</v>
      </c>
      <c r="D181" s="20" t="s">
        <v>2621</v>
      </c>
      <c r="E181" s="20">
        <v>1.0</v>
      </c>
    </row>
    <row r="182">
      <c r="A182" s="196" t="str">
        <f>IFERROR(__xludf.DUMMYFUNCTION("""COMPUTED_VALUE"""),"Swiftblade")</f>
        <v>Swiftblade</v>
      </c>
      <c r="B182" s="197" t="str">
        <f>IFERROR(__xludf.DUMMYFUNCTION("""COMPUTED_VALUE"""),"Floating")</f>
        <v>Floating</v>
      </c>
      <c r="C182" s="197">
        <f t="shared" si="1"/>
        <v>1</v>
      </c>
      <c r="D182" s="20" t="s">
        <v>2622</v>
      </c>
      <c r="E182" s="20">
        <v>1.0</v>
      </c>
    </row>
    <row r="183">
      <c r="A183" s="196" t="str">
        <f>IFERROR(__xludf.DUMMYFUNCTION("""COMPUTED_VALUE"""),"Revenger")</f>
        <v>Revenger</v>
      </c>
      <c r="B183" s="197" t="str">
        <f>IFERROR(__xludf.DUMMYFUNCTION("""COMPUTED_VALUE"""),"Djinn")</f>
        <v>Djinn</v>
      </c>
      <c r="C183" s="197">
        <f t="shared" si="1"/>
        <v>1</v>
      </c>
      <c r="D183" s="20" t="s">
        <v>2623</v>
      </c>
      <c r="E183" s="20">
        <v>1.0</v>
      </c>
    </row>
    <row r="184">
      <c r="A184" s="196"/>
      <c r="B184" s="197" t="str">
        <f>IFERROR(__xludf.DUMMYFUNCTION("""COMPUTED_VALUE"""),"Dewdrop")</f>
        <v>Dewdrop</v>
      </c>
      <c r="C184" s="197">
        <f t="shared" si="1"/>
        <v>1</v>
      </c>
      <c r="D184" s="20" t="s">
        <v>2624</v>
      </c>
      <c r="E184" s="20">
        <v>1.0</v>
      </c>
    </row>
    <row r="185">
      <c r="A185" s="196"/>
      <c r="B185" s="197" t="str">
        <f>IFERROR(__xludf.DUMMYFUNCTION("""COMPUTED_VALUE"""),"Dragon")</f>
        <v>Dragon</v>
      </c>
      <c r="C185" s="197">
        <f t="shared" si="1"/>
        <v>6</v>
      </c>
      <c r="D185" s="20" t="s">
        <v>2625</v>
      </c>
      <c r="E185" s="20">
        <v>1.0</v>
      </c>
    </row>
    <row r="186">
      <c r="A186" s="196"/>
      <c r="B186" s="197" t="str">
        <f>IFERROR(__xludf.DUMMYFUNCTION("""COMPUTED_VALUE"""),"Egg")</f>
        <v>Egg</v>
      </c>
      <c r="C186" s="197">
        <f t="shared" si="1"/>
        <v>1</v>
      </c>
      <c r="D186" s="20" t="s">
        <v>2626</v>
      </c>
      <c r="E186" s="20">
        <v>1.0</v>
      </c>
    </row>
    <row r="187">
      <c r="A187" s="196" t="str">
        <f>IFERROR(__xludf.DUMMYFUNCTION("""COMPUTED_VALUE"""),"The")</f>
        <v>The</v>
      </c>
      <c r="B187" s="197" t="str">
        <f>IFERROR(__xludf.DUMMYFUNCTION("""COMPUTED_VALUE"""),"Dustdance")</f>
        <v>Dustdance</v>
      </c>
      <c r="C187" s="197">
        <f t="shared" si="1"/>
        <v>1</v>
      </c>
      <c r="D187" s="20" t="s">
        <v>2627</v>
      </c>
      <c r="E187" s="20">
        <v>1.0</v>
      </c>
    </row>
    <row r="188">
      <c r="A188" s="196" t="str">
        <f>IFERROR(__xludf.DUMMYFUNCTION("""COMPUTED_VALUE"""),"Kitty")</f>
        <v>Kitty</v>
      </c>
      <c r="B188" s="197" t="str">
        <f>IFERROR(__xludf.DUMMYFUNCTION("""COMPUTED_VALUE"""),"Efreet")</f>
        <v>Efreet</v>
      </c>
      <c r="C188" s="197">
        <f t="shared" si="1"/>
        <v>1</v>
      </c>
      <c r="D188" s="20" t="s">
        <v>2628</v>
      </c>
      <c r="E188" s="20">
        <v>1.0</v>
      </c>
    </row>
    <row r="189">
      <c r="A189" s="196" t="str">
        <f>IFERROR(__xludf.DUMMYFUNCTION("""COMPUTED_VALUE"""),"of")</f>
        <v>of</v>
      </c>
      <c r="B189" s="197" t="str">
        <f>IFERROR(__xludf.DUMMYFUNCTION("""COMPUTED_VALUE"""),"Hermit")</f>
        <v>Hermit</v>
      </c>
      <c r="C189" s="197">
        <f t="shared" si="1"/>
        <v>3</v>
      </c>
      <c r="D189" s="20" t="s">
        <v>2629</v>
      </c>
      <c r="E189" s="20">
        <v>1.0</v>
      </c>
    </row>
    <row r="190">
      <c r="A190" s="196" t="str">
        <f>IFERROR(__xludf.DUMMYFUNCTION("""COMPUTED_VALUE"""),"Thamiel")</f>
        <v>Thamiel</v>
      </c>
      <c r="B190" s="197" t="str">
        <f>IFERROR(__xludf.DUMMYFUNCTION("""COMPUTED_VALUE"""),"Horizon")</f>
        <v>Horizon</v>
      </c>
      <c r="C190" s="197">
        <f t="shared" si="1"/>
        <v>1</v>
      </c>
      <c r="D190" s="20" t="s">
        <v>2630</v>
      </c>
      <c r="E190" s="20">
        <v>1.0</v>
      </c>
    </row>
    <row r="191">
      <c r="A191" s="196"/>
      <c r="B191" s="197" t="str">
        <f>IFERROR(__xludf.DUMMYFUNCTION("""COMPUTED_VALUE"""),"Roughlands")</f>
        <v>Roughlands</v>
      </c>
      <c r="C191" s="197">
        <f t="shared" si="1"/>
        <v>1</v>
      </c>
      <c r="D191" s="20" t="s">
        <v>2631</v>
      </c>
      <c r="E191" s="20">
        <v>1.0</v>
      </c>
    </row>
    <row r="192">
      <c r="A192" s="196" t="str">
        <f>IFERROR(__xludf.DUMMYFUNCTION("""COMPUTED_VALUE"""),"Thunderswarm")</f>
        <v>Thunderswarm</v>
      </c>
      <c r="B192" s="197" t="str">
        <f>IFERROR(__xludf.DUMMYFUNCTION("""COMPUTED_VALUE"""),"Scourge")</f>
        <v>Scourge</v>
      </c>
      <c r="C192" s="197">
        <f t="shared" si="1"/>
        <v>1</v>
      </c>
      <c r="D192" s="20" t="s">
        <v>2632</v>
      </c>
      <c r="E192" s="20">
        <v>1.0</v>
      </c>
    </row>
    <row r="193">
      <c r="A193" s="196" t="str">
        <f>IFERROR(__xludf.DUMMYFUNCTION("""COMPUTED_VALUE"""),"Skirmisher")</f>
        <v>Skirmisher</v>
      </c>
      <c r="B193" s="197" t="str">
        <f>IFERROR(__xludf.DUMMYFUNCTION("""COMPUTED_VALUE"""),"Mirrorworld")</f>
        <v>Mirrorworld</v>
      </c>
      <c r="C193" s="197">
        <f t="shared" si="1"/>
        <v>1</v>
      </c>
      <c r="D193" s="20" t="s">
        <v>2633</v>
      </c>
      <c r="E193" s="20">
        <v>1.0</v>
      </c>
    </row>
    <row r="194">
      <c r="A194" s="196"/>
      <c r="B194" s="197" t="str">
        <f>IFERROR(__xludf.DUMMYFUNCTION("""COMPUTED_VALUE"""),"Bloodseeker")</f>
        <v>Bloodseeker</v>
      </c>
      <c r="C194" s="197">
        <f t="shared" si="1"/>
        <v>1</v>
      </c>
      <c r="D194" s="20" t="s">
        <v>2634</v>
      </c>
      <c r="E194" s="20">
        <v>1.0</v>
      </c>
    </row>
    <row r="195">
      <c r="A195" s="196"/>
      <c r="B195" s="197" t="str">
        <f>IFERROR(__xludf.DUMMYFUNCTION("""COMPUTED_VALUE"""),"Mountain")</f>
        <v>Mountain</v>
      </c>
      <c r="C195" s="197">
        <f t="shared" si="1"/>
        <v>1</v>
      </c>
      <c r="D195" s="20" t="s">
        <v>2635</v>
      </c>
      <c r="E195" s="20">
        <v>1.0</v>
      </c>
    </row>
    <row r="196">
      <c r="A196" s="196"/>
      <c r="B196" s="197" t="str">
        <f>IFERROR(__xludf.DUMMYFUNCTION("""COMPUTED_VALUE"""),"Sage")</f>
        <v>Sage</v>
      </c>
      <c r="C196" s="197">
        <f t="shared" si="1"/>
        <v>1</v>
      </c>
      <c r="D196" s="20" t="s">
        <v>2636</v>
      </c>
      <c r="E196" s="20">
        <v>1.0</v>
      </c>
    </row>
    <row r="197">
      <c r="A197" s="196" t="str">
        <f>IFERROR(__xludf.DUMMYFUNCTION("""COMPUTED_VALUE"""),"Tranquil")</f>
        <v>Tranquil</v>
      </c>
      <c r="B197" s="197" t="str">
        <f>IFERROR(__xludf.DUMMYFUNCTION("""COMPUTED_VALUE"""),"Nimbus")</f>
        <v>Nimbus</v>
      </c>
      <c r="C197" s="197">
        <f t="shared" si="1"/>
        <v>1</v>
      </c>
      <c r="D197" s="20" t="s">
        <v>2637</v>
      </c>
      <c r="E197" s="20">
        <v>1.0</v>
      </c>
    </row>
    <row r="198">
      <c r="A198" s="196" t="str">
        <f>IFERROR(__xludf.DUMMYFUNCTION("""COMPUTED_VALUE"""),"Herd")</f>
        <v>Herd</v>
      </c>
      <c r="B198" s="197" t="str">
        <f>IFERROR(__xludf.DUMMYFUNCTION("""COMPUTED_VALUE"""),"Claw")</f>
        <v>Claw</v>
      </c>
      <c r="C198" s="197">
        <f t="shared" si="1"/>
        <v>2</v>
      </c>
      <c r="D198" s="20" t="s">
        <v>2638</v>
      </c>
      <c r="E198" s="20">
        <v>1.0</v>
      </c>
    </row>
    <row r="199">
      <c r="A199" s="196" t="str">
        <f>IFERROR(__xludf.DUMMYFUNCTION("""COMPUTED_VALUE"""),"Gem")</f>
        <v>Gem</v>
      </c>
      <c r="B199" s="197" t="str">
        <f>IFERROR(__xludf.DUMMYFUNCTION("""COMPUTED_VALUE"""),"Omen")</f>
        <v>Omen</v>
      </c>
      <c r="C199" s="197">
        <f t="shared" si="1"/>
        <v>1</v>
      </c>
      <c r="D199" s="20" t="s">
        <v>2639</v>
      </c>
      <c r="E199" s="20">
        <v>1.0</v>
      </c>
    </row>
    <row r="200">
      <c r="A200" s="196" t="str">
        <f>IFERROR(__xludf.DUMMYFUNCTION("""COMPUTED_VALUE"""),"Titan")</f>
        <v>Titan</v>
      </c>
      <c r="B200" s="197" t="str">
        <f>IFERROR(__xludf.DUMMYFUNCTION("""COMPUTED_VALUE"""),"Firefly")</f>
        <v>Firefly</v>
      </c>
      <c r="C200" s="197">
        <f t="shared" si="1"/>
        <v>1</v>
      </c>
      <c r="D200" s="20" t="s">
        <v>2640</v>
      </c>
      <c r="E200" s="20">
        <v>1.0</v>
      </c>
    </row>
    <row r="201">
      <c r="A201" s="196"/>
      <c r="B201" s="197" t="str">
        <f>IFERROR(__xludf.DUMMYFUNCTION("""COMPUTED_VALUE"""),"Pixie")</f>
        <v>Pixie</v>
      </c>
      <c r="C201" s="197">
        <f t="shared" si="1"/>
        <v>1</v>
      </c>
      <c r="D201" s="20" t="s">
        <v>2641</v>
      </c>
      <c r="E201" s="20">
        <v>1.0</v>
      </c>
    </row>
    <row r="202">
      <c r="A202" s="196" t="str">
        <f>IFERROR(__xludf.DUMMYFUNCTION("""COMPUTED_VALUE"""),"Towering")</f>
        <v>Towering</v>
      </c>
      <c r="B202" s="197" t="str">
        <f>IFERROR(__xludf.DUMMYFUNCTION("""COMPUTED_VALUE"""),"Summoner")</f>
        <v>Summoner</v>
      </c>
      <c r="C202" s="197">
        <f t="shared" si="1"/>
        <v>1</v>
      </c>
      <c r="D202" s="20" t="s">
        <v>2642</v>
      </c>
      <c r="E202" s="20">
        <v>1.0</v>
      </c>
    </row>
    <row r="203">
      <c r="A203" s="196" t="str">
        <f>IFERROR(__xludf.DUMMYFUNCTION("""COMPUTED_VALUE"""),"Obelisk")</f>
        <v>Obelisk</v>
      </c>
      <c r="B203" s="197" t="str">
        <f>IFERROR(__xludf.DUMMYFUNCTION("""COMPUTED_VALUE"""),"Pyretic")</f>
        <v>Pyretic</v>
      </c>
      <c r="C203" s="197">
        <f t="shared" si="1"/>
        <v>1</v>
      </c>
      <c r="D203" s="20" t="s">
        <v>2643</v>
      </c>
      <c r="E203" s="20">
        <v>1.0</v>
      </c>
    </row>
    <row r="204">
      <c r="A204" s="196" t="str">
        <f>IFERROR(__xludf.DUMMYFUNCTION("""COMPUTED_VALUE"""),"of")</f>
        <v>of</v>
      </c>
      <c r="B204" s="197" t="str">
        <f>IFERROR(__xludf.DUMMYFUNCTION("""COMPUTED_VALUE"""),"Pet")</f>
        <v>Pet</v>
      </c>
      <c r="C204" s="197">
        <f t="shared" si="1"/>
        <v>1</v>
      </c>
      <c r="D204" s="20" t="s">
        <v>2644</v>
      </c>
      <c r="E204" s="20">
        <v>1.0</v>
      </c>
    </row>
    <row r="205">
      <c r="A205" s="196" t="str">
        <f>IFERROR(__xludf.DUMMYFUNCTION("""COMPUTED_VALUE"""),"Xi")</f>
        <v>Xi</v>
      </c>
      <c r="B205" s="197" t="str">
        <f>IFERROR(__xludf.DUMMYFUNCTION("""COMPUTED_VALUE"""),"Shifting")</f>
        <v>Shifting</v>
      </c>
      <c r="C205" s="197">
        <f t="shared" si="1"/>
        <v>1</v>
      </c>
      <c r="D205" s="20" t="s">
        <v>2645</v>
      </c>
      <c r="E205" s="20">
        <v>1.0</v>
      </c>
    </row>
    <row r="206">
      <c r="A206" s="196"/>
      <c r="B206" s="197" t="str">
        <f>IFERROR(__xludf.DUMMYFUNCTION("""COMPUTED_VALUE"""),"Sands")</f>
        <v>Sands</v>
      </c>
      <c r="C206" s="197">
        <f t="shared" si="1"/>
        <v>1</v>
      </c>
      <c r="D206" s="20" t="s">
        <v>2646</v>
      </c>
      <c r="E206" s="20">
        <v>1.0</v>
      </c>
    </row>
    <row r="207">
      <c r="A207" s="196" t="str">
        <f>IFERROR(__xludf.DUMMYFUNCTION("""COMPUTED_VALUE"""),"Thunderswarm")</f>
        <v>Thunderswarm</v>
      </c>
      <c r="B207" s="197" t="str">
        <f>IFERROR(__xludf.DUMMYFUNCTION("""COMPUTED_VALUE"""),"Torii")</f>
        <v>Torii</v>
      </c>
      <c r="C207" s="197">
        <f t="shared" si="1"/>
        <v>1</v>
      </c>
      <c r="D207" s="20" t="s">
        <v>2647</v>
      </c>
      <c r="E207" s="20">
        <v>1.0</v>
      </c>
    </row>
    <row r="208">
      <c r="A208" s="196" t="str">
        <f>IFERROR(__xludf.DUMMYFUNCTION("""COMPUTED_VALUE"""),"Pegasus")</f>
        <v>Pegasus</v>
      </c>
      <c r="B208" s="197" t="str">
        <f>IFERROR(__xludf.DUMMYFUNCTION("""COMPUTED_VALUE"""),"Spirit")</f>
        <v>Spirit</v>
      </c>
      <c r="C208" s="197">
        <f t="shared" si="1"/>
        <v>1</v>
      </c>
      <c r="D208" s="20" t="s">
        <v>2648</v>
      </c>
      <c r="E208" s="20">
        <v>1.0</v>
      </c>
    </row>
    <row r="209">
      <c r="A209" s="196"/>
      <c r="B209" s="197" t="str">
        <f>IFERROR(__xludf.DUMMYFUNCTION("""COMPUTED_VALUE"""),"Red")</f>
        <v>Red</v>
      </c>
      <c r="C209" s="197">
        <f t="shared" si="1"/>
        <v>2</v>
      </c>
      <c r="D209" s="20" t="s">
        <v>2649</v>
      </c>
      <c r="E209" s="20">
        <v>1.0</v>
      </c>
    </row>
    <row r="210">
      <c r="A210" s="196"/>
      <c r="B210" s="197" t="str">
        <f>IFERROR(__xludf.DUMMYFUNCTION("""COMPUTED_VALUE"""),"Windkite")</f>
        <v>Windkite</v>
      </c>
      <c r="C210" s="197">
        <f t="shared" si="1"/>
        <v>1</v>
      </c>
      <c r="D210" s="20" t="s">
        <v>2650</v>
      </c>
      <c r="E210" s="20">
        <v>1.0</v>
      </c>
    </row>
    <row r="211">
      <c r="A211" s="196"/>
      <c r="B211" s="197" t="str">
        <f>IFERROR(__xludf.DUMMYFUNCTION("""COMPUTED_VALUE"""),"Acolyte")</f>
        <v>Acolyte</v>
      </c>
      <c r="C211" s="197">
        <f t="shared" si="1"/>
        <v>2</v>
      </c>
      <c r="D211" s="20" t="s">
        <v>2651</v>
      </c>
      <c r="E211" s="20">
        <v>1.0</v>
      </c>
    </row>
    <row r="212">
      <c r="A212" s="196" t="str">
        <f>IFERROR(__xludf.DUMMYFUNCTION("""COMPUTED_VALUE"""),"Winged")</f>
        <v>Winged</v>
      </c>
      <c r="B212" s="197" t="str">
        <f>IFERROR(__xludf.DUMMYFUNCTION("""COMPUTED_VALUE"""),"Sand")</f>
        <v>Sand</v>
      </c>
      <c r="C212" s="197">
        <f t="shared" si="1"/>
        <v>1</v>
      </c>
      <c r="D212" s="20" t="s">
        <v>2652</v>
      </c>
      <c r="E212" s="20">
        <v>1.0</v>
      </c>
    </row>
    <row r="213">
      <c r="A213" s="196" t="str">
        <f>IFERROR(__xludf.DUMMYFUNCTION("""COMPUTED_VALUE"""),"Ushabti")</f>
        <v>Ushabti</v>
      </c>
      <c r="B213" s="197" t="str">
        <f>IFERROR(__xludf.DUMMYFUNCTION("""COMPUTED_VALUE"""),"Witch")</f>
        <v>Witch</v>
      </c>
      <c r="C213" s="197">
        <f t="shared" si="1"/>
        <v>1</v>
      </c>
      <c r="D213" s="20" t="s">
        <v>2653</v>
      </c>
      <c r="E213" s="20">
        <v>1.0</v>
      </c>
    </row>
    <row r="214">
      <c r="A214" s="196"/>
      <c r="B214" s="197" t="str">
        <f>IFERROR(__xludf.DUMMYFUNCTION("""COMPUTED_VALUE"""),"Shardhorde")</f>
        <v>Shardhorde</v>
      </c>
      <c r="C214" s="197">
        <f t="shared" si="1"/>
        <v>3</v>
      </c>
      <c r="D214" s="20" t="s">
        <v>2654</v>
      </c>
      <c r="E214" s="20">
        <v>1.0</v>
      </c>
    </row>
    <row r="215">
      <c r="A215" s="196"/>
      <c r="B215" s="197" t="str">
        <f>IFERROR(__xludf.DUMMYFUNCTION("""COMPUTED_VALUE"""),"Galewhelp")</f>
        <v>Galewhelp</v>
      </c>
      <c r="C215" s="197">
        <f t="shared" si="1"/>
        <v>1</v>
      </c>
      <c r="D215" s="20" t="s">
        <v>2655</v>
      </c>
      <c r="E215" s="20">
        <v>1.0</v>
      </c>
    </row>
    <row r="216">
      <c r="A216" s="196"/>
      <c r="B216" s="197" t="str">
        <f>IFERROR(__xludf.DUMMYFUNCTION("""COMPUTED_VALUE"""),"Amberlock")</f>
        <v>Amberlock</v>
      </c>
      <c r="C216" s="197">
        <f t="shared" si="1"/>
        <v>1</v>
      </c>
      <c r="D216" s="20" t="s">
        <v>2656</v>
      </c>
      <c r="E216" s="20">
        <v>1.0</v>
      </c>
    </row>
    <row r="217">
      <c r="A217" s="196" t="str">
        <f>IFERROR(__xludf.DUMMYFUNCTION("""COMPUTED_VALUE"""),"Ghostfire")</f>
        <v>Ghostfire</v>
      </c>
      <c r="B217" s="197" t="str">
        <f>IFERROR(__xludf.DUMMYFUNCTION("""COMPUTED_VALUE"""),"Dragonling")</f>
        <v>Dragonling</v>
      </c>
      <c r="C217" s="197">
        <f t="shared" si="1"/>
        <v>1</v>
      </c>
      <c r="D217" s="20" t="s">
        <v>2657</v>
      </c>
      <c r="E217" s="20">
        <v>1.0</v>
      </c>
    </row>
    <row r="218">
      <c r="A218" s="196" t="str">
        <f>IFERROR(__xludf.DUMMYFUNCTION("""COMPUTED_VALUE"""),"Basilisk")</f>
        <v>Basilisk</v>
      </c>
      <c r="B218" s="197" t="str">
        <f>IFERROR(__xludf.DUMMYFUNCTION("""COMPUTED_VALUE"""),"Dragonfire")</f>
        <v>Dragonfire</v>
      </c>
      <c r="C218" s="197">
        <f t="shared" si="1"/>
        <v>1</v>
      </c>
      <c r="D218" s="20" t="s">
        <v>2658</v>
      </c>
      <c r="E218" s="20">
        <v>1.0</v>
      </c>
    </row>
    <row r="219">
      <c r="A219" s="196"/>
      <c r="B219" s="197" t="str">
        <f>IFERROR(__xludf.DUMMYFUNCTION("""COMPUTED_VALUE"""),"Warlock")</f>
        <v>Warlock</v>
      </c>
      <c r="C219" s="197">
        <f t="shared" si="1"/>
        <v>1</v>
      </c>
      <c r="D219" s="20" t="s">
        <v>2659</v>
      </c>
      <c r="E219" s="20">
        <v>1.0</v>
      </c>
    </row>
    <row r="220">
      <c r="A220" s="196"/>
      <c r="B220" s="197" t="str">
        <f>IFERROR(__xludf.DUMMYFUNCTION("""COMPUTED_VALUE"""),"Dragonwind")</f>
        <v>Dragonwind</v>
      </c>
      <c r="C220" s="197">
        <f t="shared" si="1"/>
        <v>1</v>
      </c>
      <c r="D220" s="20" t="s">
        <v>2660</v>
      </c>
      <c r="E220" s="20">
        <v>1.0</v>
      </c>
    </row>
    <row r="221">
      <c r="A221" s="196"/>
      <c r="B221" s="197" t="str">
        <f>IFERROR(__xludf.DUMMYFUNCTION("""COMPUTED_VALUE"""),"Harbinger")</f>
        <v>Harbinger</v>
      </c>
      <c r="C221" s="197">
        <f t="shared" si="1"/>
        <v>1</v>
      </c>
      <c r="D221" s="20" t="s">
        <v>2661</v>
      </c>
      <c r="E221" s="20">
        <v>1.0</v>
      </c>
    </row>
    <row r="222">
      <c r="A222" s="196" t="str">
        <f>IFERROR(__xludf.DUMMYFUNCTION("""COMPUTED_VALUE"""),"Yellow")</f>
        <v>Yellow</v>
      </c>
      <c r="B222" s="197" t="str">
        <f>IFERROR(__xludf.DUMMYFUNCTION("""COMPUTED_VALUE"""),"Sparkwielder")</f>
        <v>Sparkwielder</v>
      </c>
      <c r="C222" s="197">
        <f t="shared" si="1"/>
        <v>1</v>
      </c>
      <c r="D222" s="20" t="s">
        <v>2662</v>
      </c>
      <c r="E222" s="20">
        <v>1.0</v>
      </c>
    </row>
    <row r="223">
      <c r="A223" s="196" t="str">
        <f>IFERROR(__xludf.DUMMYFUNCTION("""COMPUTED_VALUE"""),"Crusader")</f>
        <v>Crusader</v>
      </c>
      <c r="B223" s="197" t="str">
        <f>IFERROR(__xludf.DUMMYFUNCTION("""COMPUTED_VALUE"""),"Gashopper")</f>
        <v>Gashopper</v>
      </c>
      <c r="C223" s="197">
        <f t="shared" si="1"/>
        <v>1</v>
      </c>
      <c r="D223" s="20" t="s">
        <v>2663</v>
      </c>
      <c r="E223" s="20">
        <v>1.0</v>
      </c>
    </row>
    <row r="224">
      <c r="A224" s="196"/>
      <c r="B224" s="197" t="str">
        <f>IFERROR(__xludf.DUMMYFUNCTION("""COMPUTED_VALUE"""),"Hailbringer")</f>
        <v>Hailbringer</v>
      </c>
      <c r="C224" s="197">
        <f t="shared" si="1"/>
        <v>1</v>
      </c>
      <c r="D224" s="20" t="s">
        <v>2664</v>
      </c>
      <c r="E224" s="20">
        <v>1.0</v>
      </c>
    </row>
    <row r="225">
      <c r="A225" s="196"/>
      <c r="B225" s="197" t="str">
        <f>IFERROR(__xludf.DUMMYFUNCTION("""COMPUTED_VALUE"""),"Stormlash")</f>
        <v>Stormlash</v>
      </c>
      <c r="C225" s="197">
        <f t="shared" si="1"/>
        <v>1</v>
      </c>
      <c r="D225" s="20" t="s">
        <v>2665</v>
      </c>
      <c r="E225" s="20">
        <v>1.0</v>
      </c>
    </row>
    <row r="226">
      <c r="A226" s="196"/>
      <c r="B226" s="197" t="str">
        <f>IFERROR(__xludf.DUMMYFUNCTION("""COMPUTED_VALUE"""),"Stormworn")</f>
        <v>Stormworn</v>
      </c>
      <c r="C226" s="197">
        <f t="shared" si="1"/>
        <v>1</v>
      </c>
      <c r="D226" s="20" t="s">
        <v>2666</v>
      </c>
      <c r="E226" s="20">
        <v>1.0</v>
      </c>
    </row>
    <row r="227">
      <c r="A227" s="196" t="str">
        <f>IFERROR(__xludf.DUMMYFUNCTION("""COMPUTED_VALUE"""),"Young")</f>
        <v>Young</v>
      </c>
      <c r="B227" s="197" t="str">
        <f>IFERROR(__xludf.DUMMYFUNCTION("""COMPUTED_VALUE"""),"Horn")</f>
        <v>Horn</v>
      </c>
      <c r="C227" s="197">
        <f t="shared" si="1"/>
        <v>1</v>
      </c>
      <c r="D227" s="20" t="s">
        <v>2667</v>
      </c>
      <c r="E227" s="20">
        <v>1.0</v>
      </c>
    </row>
    <row r="228">
      <c r="A228" s="196" t="str">
        <f>IFERROR(__xludf.DUMMYFUNCTION("""COMPUTED_VALUE"""),"Monk")</f>
        <v>Monk</v>
      </c>
      <c r="B228" s="197" t="str">
        <f>IFERROR(__xludf.DUMMYFUNCTION("""COMPUTED_VALUE"""),"Glinteye")</f>
        <v>Glinteye</v>
      </c>
      <c r="C228" s="197">
        <f t="shared" si="1"/>
        <v>1</v>
      </c>
      <c r="D228" s="20" t="s">
        <v>2668</v>
      </c>
      <c r="E228" s="20">
        <v>1.0</v>
      </c>
    </row>
    <row r="229">
      <c r="A229" s="196"/>
      <c r="B229" s="197" t="str">
        <f>IFERROR(__xludf.DUMMYFUNCTION("""COMPUTED_VALUE"""),"Hoarder")</f>
        <v>Hoarder</v>
      </c>
      <c r="C229" s="197">
        <f t="shared" si="1"/>
        <v>1</v>
      </c>
      <c r="D229" s="20" t="s">
        <v>2669</v>
      </c>
      <c r="E229" s="20">
        <v>1.0</v>
      </c>
    </row>
    <row r="230">
      <c r="A230" s="196"/>
      <c r="B230" s="197" t="str">
        <f>IFERROR(__xludf.DUMMYFUNCTION("""COMPUTED_VALUE"""),"Culling")</f>
        <v>Culling</v>
      </c>
      <c r="C230" s="197">
        <f t="shared" si="1"/>
        <v>1</v>
      </c>
      <c r="D230" s="20" t="s">
        <v>2670</v>
      </c>
      <c r="E230" s="20">
        <v>1.0</v>
      </c>
    </row>
    <row r="231">
      <c r="A231" s="196"/>
      <c r="B231" s="197" t="str">
        <f>IFERROR(__xludf.DUMMYFUNCTION("""COMPUTED_VALUE"""),"Thunderfox")</f>
        <v>Thunderfox</v>
      </c>
      <c r="C231" s="197">
        <f t="shared" si="1"/>
        <v>1</v>
      </c>
      <c r="D231" s="20" t="s">
        <v>2671</v>
      </c>
      <c r="E231" s="20">
        <v>1.0</v>
      </c>
    </row>
    <row r="232">
      <c r="A232" s="196" t="str">
        <f>IFERROR(__xludf.DUMMYFUNCTION("""COMPUTED_VALUE"""),"Cartouche")</f>
        <v>Cartouche</v>
      </c>
      <c r="B232" s="197" t="str">
        <f>IFERROR(__xludf.DUMMYFUNCTION("""COMPUTED_VALUE"""),"Raijin's")</f>
        <v>Raijin's</v>
      </c>
      <c r="C232" s="197">
        <f t="shared" si="1"/>
        <v>1</v>
      </c>
      <c r="D232" s="20" t="s">
        <v>2672</v>
      </c>
      <c r="E232" s="20">
        <v>1.0</v>
      </c>
    </row>
    <row r="233">
      <c r="A233" s="196" t="str">
        <f>IFERROR(__xludf.DUMMYFUNCTION("""COMPUTED_VALUE"""),"Luster")</f>
        <v>Luster</v>
      </c>
      <c r="B233" s="197" t="str">
        <f>IFERROR(__xludf.DUMMYFUNCTION("""COMPUTED_VALUE"""),"Familiar")</f>
        <v>Familiar</v>
      </c>
      <c r="C233" s="197">
        <f t="shared" si="1"/>
        <v>2</v>
      </c>
      <c r="D233" s="20" t="s">
        <v>2673</v>
      </c>
      <c r="E233" s="20">
        <v>1.0</v>
      </c>
    </row>
    <row r="234">
      <c r="A234" s="196"/>
      <c r="B234" s="197" t="str">
        <f>IFERROR(__xludf.DUMMYFUNCTION("""COMPUTED_VALUE"""),"Twin")</f>
        <v>Twin</v>
      </c>
      <c r="C234" s="197">
        <f t="shared" si="1"/>
        <v>2</v>
      </c>
      <c r="D234" s="20" t="s">
        <v>2674</v>
      </c>
      <c r="E234" s="20">
        <v>1.0</v>
      </c>
    </row>
    <row r="235">
      <c r="A235" s="196"/>
      <c r="B235" s="197" t="str">
        <f>IFERROR(__xludf.DUMMYFUNCTION("""COMPUTED_VALUE"""),"Thundertail")</f>
        <v>Thundertail</v>
      </c>
      <c r="C235" s="197">
        <f t="shared" si="1"/>
        <v>1</v>
      </c>
      <c r="D235" s="20" t="s">
        <v>2675</v>
      </c>
      <c r="E235" s="20">
        <v>1.0</v>
      </c>
    </row>
    <row r="236">
      <c r="A236" s="196"/>
      <c r="B236" s="197" t="str">
        <f>IFERROR(__xludf.DUMMYFUNCTION("""COMPUTED_VALUE"""),"Vengeful")</f>
        <v>Vengeful</v>
      </c>
      <c r="C236" s="197">
        <f t="shared" si="1"/>
        <v>1</v>
      </c>
      <c r="D236" s="20" t="s">
        <v>2676</v>
      </c>
      <c r="E236" s="20">
        <v>1.0</v>
      </c>
    </row>
    <row r="237">
      <c r="A237" s="196" t="str">
        <f>IFERROR(__xludf.DUMMYFUNCTION("""COMPUTED_VALUE"""),"Golden")</f>
        <v>Golden</v>
      </c>
      <c r="B237" s="197" t="str">
        <f>IFERROR(__xludf.DUMMYFUNCTION("""COMPUTED_VALUE"""),"Gust")</f>
        <v>Gust</v>
      </c>
      <c r="C237" s="197">
        <f t="shared" si="1"/>
        <v>1</v>
      </c>
      <c r="D237" s="20" t="s">
        <v>2677</v>
      </c>
      <c r="E237" s="20">
        <v>1.0</v>
      </c>
    </row>
    <row r="238">
      <c r="A238" s="196" t="str">
        <f>IFERROR(__xludf.DUMMYFUNCTION("""COMPUTED_VALUE"""),"Phoenix")</f>
        <v>Phoenix</v>
      </c>
      <c r="B238" s="197" t="str">
        <f>IFERROR(__xludf.DUMMYFUNCTION("""COMPUTED_VALUE"""),"Runecursed")</f>
        <v>Runecursed</v>
      </c>
      <c r="C238" s="197">
        <f t="shared" si="1"/>
        <v>1</v>
      </c>
      <c r="D238" s="20" t="s">
        <v>2678</v>
      </c>
      <c r="E238" s="20">
        <v>1.0</v>
      </c>
    </row>
    <row r="239">
      <c r="A239" s="196"/>
      <c r="B239" s="197" t="str">
        <f>IFERROR(__xludf.DUMMYFUNCTION("""COMPUTED_VALUE"""),"Skulloath")</f>
        <v>Skulloath</v>
      </c>
      <c r="C239" s="197">
        <f t="shared" si="1"/>
        <v>2</v>
      </c>
      <c r="D239" s="20" t="s">
        <v>2679</v>
      </c>
      <c r="E239" s="20">
        <v>1.0</v>
      </c>
    </row>
    <row r="240">
      <c r="A240" s="196"/>
      <c r="B240" s="197" t="str">
        <f>IFERROR(__xludf.DUMMYFUNCTION("""COMPUTED_VALUE"""),"Lootclaimer")</f>
        <v>Lootclaimer</v>
      </c>
      <c r="C240" s="197">
        <f t="shared" si="1"/>
        <v>1</v>
      </c>
      <c r="D240" s="20" t="s">
        <v>2680</v>
      </c>
      <c r="E240" s="20">
        <v>1.0</v>
      </c>
    </row>
    <row r="241">
      <c r="A241" s="196"/>
      <c r="B241" s="197" t="str">
        <f>IFERROR(__xludf.DUMMYFUNCTION("""COMPUTED_VALUE"""),"Spell")</f>
        <v>Spell</v>
      </c>
      <c r="C241" s="197">
        <f t="shared" si="1"/>
        <v>1</v>
      </c>
      <c r="D241" s="20" t="s">
        <v>2681</v>
      </c>
      <c r="E241" s="20">
        <v>1.0</v>
      </c>
    </row>
    <row r="242">
      <c r="A242" s="196" t="str">
        <f>IFERROR(__xludf.DUMMYFUNCTION("""COMPUTED_VALUE"""),"Hailstorm")</f>
        <v>Hailstorm</v>
      </c>
      <c r="B242" s="197" t="str">
        <f>IFERROR(__xludf.DUMMYFUNCTION("""COMPUTED_VALUE"""),"Cat")</f>
        <v>Cat</v>
      </c>
      <c r="C242" s="197">
        <f t="shared" si="1"/>
        <v>1</v>
      </c>
      <c r="D242" s="20" t="s">
        <v>2682</v>
      </c>
      <c r="E242" s="20">
        <v>1.0</v>
      </c>
    </row>
    <row r="243">
      <c r="A243" s="196" t="str">
        <f>IFERROR(__xludf.DUMMYFUNCTION("""COMPUTED_VALUE"""),"Seraph")</f>
        <v>Seraph</v>
      </c>
      <c r="B243" s="197" t="str">
        <f>IFERROR(__xludf.DUMMYFUNCTION("""COMPUTED_VALUE"""),"Vermillion")</f>
        <v>Vermillion</v>
      </c>
      <c r="C243" s="197">
        <f t="shared" si="1"/>
        <v>1</v>
      </c>
      <c r="D243" s="20" t="s">
        <v>2683</v>
      </c>
      <c r="E243" s="20">
        <v>1.0</v>
      </c>
    </row>
    <row r="244">
      <c r="A244" s="196"/>
      <c r="B244" s="197" t="str">
        <f>IFERROR(__xludf.DUMMYFUNCTION("""COMPUTED_VALUE"""),"Firebird")</f>
        <v>Firebird</v>
      </c>
      <c r="C244" s="197">
        <f t="shared" si="1"/>
        <v>1</v>
      </c>
      <c r="D244" s="20" t="s">
        <v>2684</v>
      </c>
      <c r="E244" s="20">
        <v>1.0</v>
      </c>
    </row>
    <row r="245">
      <c r="A245" s="196"/>
      <c r="B245" s="197" t="str">
        <f>IFERROR(__xludf.DUMMYFUNCTION("""COMPUTED_VALUE"""),"Oasisdweller")</f>
        <v>Oasisdweller</v>
      </c>
      <c r="C245" s="197">
        <f t="shared" si="1"/>
        <v>1</v>
      </c>
      <c r="D245" s="20" t="s">
        <v>2685</v>
      </c>
      <c r="E245" s="20">
        <v>1.0</v>
      </c>
    </row>
    <row r="246">
      <c r="A246" s="196"/>
      <c r="B246" s="197" t="str">
        <f>IFERROR(__xludf.DUMMYFUNCTION("""COMPUTED_VALUE"""),"Portalrunner")</f>
        <v>Portalrunner</v>
      </c>
      <c r="C246" s="197">
        <f t="shared" si="1"/>
        <v>1</v>
      </c>
      <c r="D246" s="20" t="s">
        <v>2686</v>
      </c>
      <c r="E246" s="20">
        <v>1.0</v>
      </c>
    </row>
    <row r="247">
      <c r="A247" s="196" t="str">
        <f>IFERROR(__xludf.DUMMYFUNCTION("""COMPUTED_VALUE"""),"Scittering")</f>
        <v>Scittering</v>
      </c>
      <c r="B247" s="197" t="str">
        <f>IFERROR(__xludf.DUMMYFUNCTION("""COMPUTED_VALUE"""),"Irregulars")</f>
        <v>Irregulars</v>
      </c>
      <c r="C247" s="197">
        <f t="shared" si="1"/>
        <v>1</v>
      </c>
      <c r="D247" s="20" t="s">
        <v>2687</v>
      </c>
      <c r="E247" s="20">
        <v>1.0</v>
      </c>
    </row>
    <row r="248">
      <c r="A248" s="196" t="str">
        <f>IFERROR(__xludf.DUMMYFUNCTION("""COMPUTED_VALUE"""),"Scorpion")</f>
        <v>Scorpion</v>
      </c>
      <c r="B248" s="197" t="str">
        <f>IFERROR(__xludf.DUMMYFUNCTION("""COMPUTED_VALUE"""),"Steelclaw")</f>
        <v>Steelclaw</v>
      </c>
      <c r="C248" s="197">
        <f t="shared" si="1"/>
        <v>1</v>
      </c>
      <c r="D248" s="20" t="s">
        <v>2688</v>
      </c>
      <c r="E248" s="20">
        <v>1.0</v>
      </c>
    </row>
    <row r="249">
      <c r="A249" s="196"/>
      <c r="B249" s="197" t="str">
        <f>IFERROR(__xludf.DUMMYFUNCTION("""COMPUTED_VALUE"""),"Veterans")</f>
        <v>Veterans</v>
      </c>
      <c r="C249" s="197">
        <f t="shared" si="1"/>
        <v>1</v>
      </c>
      <c r="D249" s="20" t="s">
        <v>2689</v>
      </c>
      <c r="E249" s="20">
        <v>1.0</v>
      </c>
    </row>
    <row r="250">
      <c r="A250" s="196"/>
      <c r="B250" s="197" t="str">
        <f>IFERROR(__xludf.DUMMYFUNCTION("""COMPUTED_VALUE"""),"Crazed")</f>
        <v>Crazed</v>
      </c>
      <c r="C250" s="197">
        <f t="shared" si="1"/>
        <v>2</v>
      </c>
      <c r="D250" s="20" t="s">
        <v>2690</v>
      </c>
      <c r="E250" s="20">
        <v>1.0</v>
      </c>
    </row>
    <row r="251">
      <c r="A251" s="196"/>
      <c r="B251" s="197" t="str">
        <f>IFERROR(__xludf.DUMMYFUNCTION("""COMPUTED_VALUE"""),"Galeweaver")</f>
        <v>Galeweaver</v>
      </c>
      <c r="C251" s="197">
        <f t="shared" si="1"/>
        <v>1</v>
      </c>
      <c r="D251" s="20" t="s">
        <v>2691</v>
      </c>
      <c r="E251" s="20">
        <v>1.0</v>
      </c>
    </row>
    <row r="252">
      <c r="A252" s="196" t="str">
        <f>IFERROR(__xludf.DUMMYFUNCTION("""COMPUTED_VALUE"""),"Wrath")</f>
        <v>Wrath</v>
      </c>
      <c r="B252" s="197" t="str">
        <f>IFERROR(__xludf.DUMMYFUNCTION("""COMPUTED_VALUE"""),"Lurking")</f>
        <v>Lurking</v>
      </c>
      <c r="C252" s="197">
        <f t="shared" si="1"/>
        <v>1</v>
      </c>
      <c r="D252" s="20" t="s">
        <v>2692</v>
      </c>
      <c r="E252" s="20">
        <v>1.0</v>
      </c>
    </row>
    <row r="253">
      <c r="A253" s="196" t="str">
        <f>IFERROR(__xludf.DUMMYFUNCTION("""COMPUTED_VALUE"""),"of")</f>
        <v>of</v>
      </c>
      <c r="B253" s="197" t="str">
        <f>IFERROR(__xludf.DUMMYFUNCTION("""COMPUTED_VALUE"""),"Canopystomper")</f>
        <v>Canopystomper</v>
      </c>
      <c r="C253" s="197">
        <f t="shared" si="1"/>
        <v>1</v>
      </c>
      <c r="D253" s="20" t="s">
        <v>2693</v>
      </c>
      <c r="E253" s="20">
        <v>1.0</v>
      </c>
    </row>
    <row r="254">
      <c r="A254" s="196" t="str">
        <f>IFERROR(__xludf.DUMMYFUNCTION("""COMPUTED_VALUE"""),"the")</f>
        <v>the</v>
      </c>
      <c r="B254" s="197" t="str">
        <f>IFERROR(__xludf.DUMMYFUNCTION("""COMPUTED_VALUE"""),"Resourceful")</f>
        <v>Resourceful</v>
      </c>
      <c r="C254" s="197">
        <f t="shared" si="1"/>
        <v>1</v>
      </c>
      <c r="D254" s="20" t="s">
        <v>2694</v>
      </c>
      <c r="E254" s="20">
        <v>1.0</v>
      </c>
    </row>
    <row r="255">
      <c r="A255" s="196" t="str">
        <f>IFERROR(__xludf.DUMMYFUNCTION("""COMPUTED_VALUE"""),"Pharaoh")</f>
        <v>Pharaoh</v>
      </c>
      <c r="B255" s="197" t="str">
        <f>IFERROR(__xludf.DUMMYFUNCTION("""COMPUTED_VALUE"""),"Poacher")</f>
        <v>Poacher</v>
      </c>
      <c r="C255" s="197">
        <f t="shared" si="1"/>
        <v>1</v>
      </c>
      <c r="D255" s="20" t="s">
        <v>408</v>
      </c>
      <c r="E255" s="20">
        <v>1.0</v>
      </c>
    </row>
    <row r="256">
      <c r="A256" s="196"/>
      <c r="B256" s="197" t="str">
        <f>IFERROR(__xludf.DUMMYFUNCTION("""COMPUTED_VALUE"""),"Infernoblight")</f>
        <v>Infernoblight</v>
      </c>
      <c r="C256" s="197">
        <f t="shared" si="1"/>
        <v>1</v>
      </c>
      <c r="D256" s="20" t="s">
        <v>2695</v>
      </c>
      <c r="E256" s="20">
        <v>1.0</v>
      </c>
    </row>
    <row r="257">
      <c r="A257" s="196" t="str">
        <f>IFERROR(__xludf.DUMMYFUNCTION("""COMPUTED_VALUE"""),"Bringer")</f>
        <v>Bringer</v>
      </c>
      <c r="B257" s="197" t="str">
        <f>IFERROR(__xludf.DUMMYFUNCTION("""COMPUTED_VALUE"""),"Skyshrieker")</f>
        <v>Skyshrieker</v>
      </c>
      <c r="C257" s="197">
        <f t="shared" si="1"/>
        <v>1</v>
      </c>
      <c r="D257" s="20" t="s">
        <v>2696</v>
      </c>
      <c r="E257" s="20">
        <v>1.0</v>
      </c>
    </row>
    <row r="258">
      <c r="A258" s="196" t="str">
        <f>IFERROR(__xludf.DUMMYFUNCTION("""COMPUTED_VALUE"""),"of")</f>
        <v>of</v>
      </c>
      <c r="B258" s="197" t="str">
        <f>IFERROR(__xludf.DUMMYFUNCTION("""COMPUTED_VALUE"""),"Mistborn")</f>
        <v>Mistborn</v>
      </c>
      <c r="C258" s="197">
        <f t="shared" si="1"/>
        <v>1</v>
      </c>
      <c r="D258" s="20" t="s">
        <v>2697</v>
      </c>
      <c r="E258" s="20">
        <v>1.0</v>
      </c>
    </row>
    <row r="259">
      <c r="A259" s="196" t="str">
        <f>IFERROR(__xludf.DUMMYFUNCTION("""COMPUTED_VALUE"""),"Good")</f>
        <v>Good</v>
      </c>
      <c r="B259" s="197" t="str">
        <f>IFERROR(__xludf.DUMMYFUNCTION("""COMPUTED_VALUE"""),"Serpent")</f>
        <v>Serpent</v>
      </c>
      <c r="C259" s="197">
        <f t="shared" si="1"/>
        <v>1</v>
      </c>
      <c r="D259" s="20" t="s">
        <v>2698</v>
      </c>
      <c r="E259" s="20">
        <v>1.0</v>
      </c>
    </row>
    <row r="260">
      <c r="A260" s="196" t="str">
        <f>IFERROR(__xludf.DUMMYFUNCTION("""COMPUTED_VALUE"""),"News")</f>
        <v>News</v>
      </c>
      <c r="B260" s="197" t="str">
        <f>IFERROR(__xludf.DUMMYFUNCTION("""COMPUTED_VALUE"""),"Bad")</f>
        <v>Bad</v>
      </c>
      <c r="C260" s="197">
        <f t="shared" si="1"/>
        <v>1</v>
      </c>
      <c r="D260" s="20" t="s">
        <v>2699</v>
      </c>
      <c r="E260" s="20">
        <v>1.0</v>
      </c>
    </row>
    <row r="261">
      <c r="A261" s="196"/>
      <c r="B261" s="197" t="str">
        <f>IFERROR(__xludf.DUMMYFUNCTION("""COMPUTED_VALUE"""),"Omens")</f>
        <v>Omens</v>
      </c>
      <c r="C261" s="197">
        <f t="shared" si="1"/>
        <v>1</v>
      </c>
      <c r="D261" s="20" t="s">
        <v>2700</v>
      </c>
      <c r="E261" s="20">
        <v>1.0</v>
      </c>
    </row>
    <row r="262">
      <c r="A262" s="196" t="str">
        <f>IFERROR(__xludf.DUMMYFUNCTION("""COMPUTED_VALUE"""),"Thunderswarm")</f>
        <v>Thunderswarm</v>
      </c>
      <c r="B262" s="197" t="str">
        <f>IFERROR(__xludf.DUMMYFUNCTION("""COMPUTED_VALUE"""),"Gaunt")</f>
        <v>Gaunt</v>
      </c>
      <c r="C262" s="197">
        <f t="shared" si="1"/>
        <v>1</v>
      </c>
      <c r="D262" s="20" t="s">
        <v>2701</v>
      </c>
      <c r="E262" s="20">
        <v>1.0</v>
      </c>
    </row>
    <row r="263">
      <c r="A263" s="196" t="str">
        <f>IFERROR(__xludf.DUMMYFUNCTION("""COMPUTED_VALUE"""),"Lightning")</f>
        <v>Lightning</v>
      </c>
      <c r="B263" s="197" t="str">
        <f>IFERROR(__xludf.DUMMYFUNCTION("""COMPUTED_VALUE"""),"Visitation")</f>
        <v>Visitation</v>
      </c>
      <c r="C263" s="197">
        <f t="shared" si="1"/>
        <v>1</v>
      </c>
      <c r="D263" s="20" t="s">
        <v>2702</v>
      </c>
      <c r="E263" s="20">
        <v>1.0</v>
      </c>
    </row>
    <row r="264">
      <c r="A264" s="196" t="str">
        <f>IFERROR(__xludf.DUMMYFUNCTION("""COMPUTED_VALUE"""),"Rider")</f>
        <v>Rider</v>
      </c>
      <c r="B264" s="197" t="str">
        <f>IFERROR(__xludf.DUMMYFUNCTION("""COMPUTED_VALUE"""),"Manticore")</f>
        <v>Manticore</v>
      </c>
      <c r="C264" s="197">
        <f t="shared" si="1"/>
        <v>1</v>
      </c>
      <c r="D264" s="20" t="s">
        <v>2703</v>
      </c>
      <c r="E264" s="20">
        <v>1.0</v>
      </c>
    </row>
    <row r="265">
      <c r="A265" s="196"/>
      <c r="B265" s="197" t="str">
        <f>IFERROR(__xludf.DUMMYFUNCTION("""COMPUTED_VALUE"""),"Featherfrost")</f>
        <v>Featherfrost</v>
      </c>
      <c r="C265" s="197">
        <f t="shared" si="1"/>
        <v>1</v>
      </c>
      <c r="D265" s="20" t="s">
        <v>2704</v>
      </c>
      <c r="E265" s="20">
        <v>1.0</v>
      </c>
    </row>
    <row r="266">
      <c r="A266" s="196"/>
      <c r="B266" s="197" t="str">
        <f>IFERROR(__xludf.DUMMYFUNCTION("""COMPUTED_VALUE"""),"Harpy")</f>
        <v>Harpy</v>
      </c>
      <c r="C266" s="197">
        <f t="shared" si="1"/>
        <v>1</v>
      </c>
      <c r="D266" s="20" t="s">
        <v>772</v>
      </c>
      <c r="E266" s="20">
        <v>1.0</v>
      </c>
    </row>
    <row r="267">
      <c r="A267" s="196" t="str">
        <f>IFERROR(__xludf.DUMMYFUNCTION("""COMPUTED_VALUE"""),"Desertwind")</f>
        <v>Desertwind</v>
      </c>
      <c r="B267" s="197" t="str">
        <f>IFERROR(__xludf.DUMMYFUNCTION("""COMPUTED_VALUE"""),"Raging")</f>
        <v>Raging</v>
      </c>
      <c r="C267" s="197">
        <f t="shared" si="1"/>
        <v>1</v>
      </c>
      <c r="D267" s="20" t="s">
        <v>774</v>
      </c>
      <c r="E267" s="20">
        <v>1.0</v>
      </c>
    </row>
    <row r="268">
      <c r="A268" s="196" t="str">
        <f>IFERROR(__xludf.DUMMYFUNCTION("""COMPUTED_VALUE"""),"Relic")</f>
        <v>Relic</v>
      </c>
      <c r="B268" s="197" t="str">
        <f>IFERROR(__xludf.DUMMYFUNCTION("""COMPUTED_VALUE"""),"Minotaur")</f>
        <v>Minotaur</v>
      </c>
      <c r="C268" s="197">
        <f t="shared" si="1"/>
        <v>1</v>
      </c>
      <c r="D268" s="20" t="s">
        <v>788</v>
      </c>
      <c r="E268" s="20">
        <v>1.0</v>
      </c>
    </row>
    <row r="269">
      <c r="A269" s="196" t="str">
        <f>IFERROR(__xludf.DUMMYFUNCTION("""COMPUTED_VALUE"""),"Hunter")</f>
        <v>Hunter</v>
      </c>
      <c r="B269" s="197" t="str">
        <f>IFERROR(__xludf.DUMMYFUNCTION("""COMPUTED_VALUE"""),"Raijin")</f>
        <v>Raijin</v>
      </c>
      <c r="C269" s="197">
        <f t="shared" si="1"/>
        <v>1</v>
      </c>
      <c r="D269" s="20" t="s">
        <v>791</v>
      </c>
      <c r="E269" s="20">
        <v>1.0</v>
      </c>
    </row>
    <row r="270">
      <c r="A270" s="196"/>
      <c r="B270" s="197" t="str">
        <f>IFERROR(__xludf.DUMMYFUNCTION("""COMPUTED_VALUE"""),"Venomshade")</f>
        <v>Venomshade</v>
      </c>
      <c r="C270" s="197">
        <f t="shared" si="1"/>
        <v>1</v>
      </c>
      <c r="D270" s="20" t="s">
        <v>2705</v>
      </c>
      <c r="E270" s="20">
        <v>1.0</v>
      </c>
    </row>
    <row r="271">
      <c r="A271" s="196"/>
      <c r="B271" s="197" t="str">
        <f>IFERROR(__xludf.DUMMYFUNCTION("""COMPUTED_VALUE"""),"Lamia")</f>
        <v>Lamia</v>
      </c>
      <c r="C271" s="197">
        <f t="shared" si="1"/>
        <v>1</v>
      </c>
      <c r="D271" s="20" t="s">
        <v>2706</v>
      </c>
      <c r="E271" s="20">
        <v>1.0</v>
      </c>
    </row>
    <row r="272">
      <c r="A272" s="196" t="str">
        <f>IFERROR(__xludf.DUMMYFUNCTION("""COMPUTED_VALUE"""),"Exemplar")</f>
        <v>Exemplar</v>
      </c>
      <c r="B272" s="197" t="str">
        <f>IFERROR(__xludf.DUMMYFUNCTION("""COMPUTED_VALUE"""),"Volcano")</f>
        <v>Volcano</v>
      </c>
      <c r="C272" s="197">
        <f t="shared" si="1"/>
        <v>1</v>
      </c>
      <c r="D272" s="20" t="s">
        <v>2707</v>
      </c>
      <c r="E272" s="20">
        <v>1.0</v>
      </c>
    </row>
    <row r="273">
      <c r="A273" s="196" t="str">
        <f>IFERROR(__xludf.DUMMYFUNCTION("""COMPUTED_VALUE"""),"of")</f>
        <v>of</v>
      </c>
      <c r="B273" s="197" t="str">
        <f>IFERROR(__xludf.DUMMYFUNCTION("""COMPUTED_VALUE"""),"Embodiment")</f>
        <v>Embodiment</v>
      </c>
      <c r="C273" s="197">
        <f t="shared" si="1"/>
        <v>1</v>
      </c>
      <c r="D273" s="20" t="s">
        <v>2708</v>
      </c>
      <c r="E273" s="20">
        <v>1.0</v>
      </c>
    </row>
    <row r="274">
      <c r="A274" s="196" t="str">
        <f>IFERROR(__xludf.DUMMYFUNCTION("""COMPUTED_VALUE"""),"Lunar")</f>
        <v>Lunar</v>
      </c>
      <c r="B274" s="197" t="str">
        <f>IFERROR(__xludf.DUMMYFUNCTION("""COMPUTED_VALUE"""),"Leviathan")</f>
        <v>Leviathan</v>
      </c>
      <c r="C274" s="197">
        <f t="shared" si="1"/>
        <v>1</v>
      </c>
      <c r="D274" s="20" t="s">
        <v>2709</v>
      </c>
      <c r="E274" s="20">
        <v>1.0</v>
      </c>
    </row>
    <row r="275">
      <c r="A275" s="196" t="str">
        <f>IFERROR(__xludf.DUMMYFUNCTION("""COMPUTED_VALUE"""),"Gleam")</f>
        <v>Gleam</v>
      </c>
      <c r="B275" s="197" t="str">
        <f>IFERROR(__xludf.DUMMYFUNCTION("""COMPUTED_VALUE"""),"Tectonic")</f>
        <v>Tectonic</v>
      </c>
      <c r="C275" s="197">
        <f t="shared" si="1"/>
        <v>1</v>
      </c>
      <c r="D275" s="20" t="s">
        <v>815</v>
      </c>
      <c r="E275" s="20">
        <v>1.0</v>
      </c>
    </row>
    <row r="276">
      <c r="A276" s="196"/>
      <c r="B276" s="197" t="str">
        <f>IFERROR(__xludf.DUMMYFUNCTION("""COMPUTED_VALUE"""),"Shifter")</f>
        <v>Shifter</v>
      </c>
      <c r="C276" s="197">
        <f t="shared" si="1"/>
        <v>1</v>
      </c>
      <c r="D276" s="20" t="s">
        <v>2710</v>
      </c>
      <c r="E276" s="20">
        <v>1.0</v>
      </c>
    </row>
    <row r="277">
      <c r="A277" s="196" t="str">
        <f>IFERROR(__xludf.DUMMYFUNCTION("""COMPUTED_VALUE"""),"Pomegrake")</f>
        <v>Pomegrake</v>
      </c>
      <c r="B277" s="197" t="str">
        <f>IFERROR(__xludf.DUMMYFUNCTION("""COMPUTED_VALUE"""),"Bastion")</f>
        <v>Bastion</v>
      </c>
      <c r="C277" s="197">
        <f t="shared" si="1"/>
        <v>1</v>
      </c>
      <c r="D277" s="20" t="s">
        <v>2711</v>
      </c>
      <c r="E277" s="20">
        <v>1.0</v>
      </c>
    </row>
    <row r="278">
      <c r="A278" s="196"/>
      <c r="B278" s="197" t="str">
        <f>IFERROR(__xludf.DUMMYFUNCTION("""COMPUTED_VALUE"""),"Architect")</f>
        <v>Architect</v>
      </c>
      <c r="C278" s="197">
        <f t="shared" si="1"/>
        <v>1</v>
      </c>
      <c r="D278" s="20" t="s">
        <v>2712</v>
      </c>
      <c r="E278" s="20">
        <v>1.0</v>
      </c>
    </row>
    <row r="279">
      <c r="A279" s="196"/>
      <c r="B279" s="197" t="str">
        <f>IFERROR(__xludf.DUMMYFUNCTION("""COMPUTED_VALUE"""),"Sovereign")</f>
        <v>Sovereign</v>
      </c>
      <c r="C279" s="197">
        <f t="shared" si="1"/>
        <v>3</v>
      </c>
      <c r="D279" s="20" t="s">
        <v>2713</v>
      </c>
      <c r="E279" s="20">
        <v>1.0</v>
      </c>
    </row>
    <row r="280">
      <c r="A280" s="196"/>
      <c r="B280" s="197" t="str">
        <f>IFERROR(__xludf.DUMMYFUNCTION("""COMPUTED_VALUE"""),"Spellwyrm")</f>
        <v>Spellwyrm</v>
      </c>
      <c r="C280" s="197">
        <f t="shared" si="1"/>
        <v>1</v>
      </c>
      <c r="D280" s="20" t="s">
        <v>2714</v>
      </c>
      <c r="E280" s="20">
        <v>1.0</v>
      </c>
    </row>
    <row r="281">
      <c r="A281" s="196"/>
      <c r="B281" s="197" t="str">
        <f>IFERROR(__xludf.DUMMYFUNCTION("""COMPUTED_VALUE"""),"Crownfire")</f>
        <v>Crownfire</v>
      </c>
      <c r="C281" s="197">
        <f t="shared" si="1"/>
        <v>1</v>
      </c>
      <c r="D281" s="20" t="s">
        <v>2715</v>
      </c>
      <c r="E281" s="20">
        <v>1.0</v>
      </c>
    </row>
    <row r="282">
      <c r="A282" s="196" t="str">
        <f>IFERROR(__xludf.DUMMYFUNCTION("""COMPUTED_VALUE"""),"The")</f>
        <v>The</v>
      </c>
      <c r="B282" s="197" t="str">
        <f>IFERROR(__xludf.DUMMYFUNCTION("""COMPUTED_VALUE"""),"Empress")</f>
        <v>Empress</v>
      </c>
      <c r="C282" s="197">
        <f t="shared" si="1"/>
        <v>1</v>
      </c>
      <c r="D282" s="20" t="s">
        <v>2716</v>
      </c>
      <c r="E282" s="20">
        <v>1.0</v>
      </c>
    </row>
    <row r="283">
      <c r="A283" s="196" t="str">
        <f>IFERROR(__xludf.DUMMYFUNCTION("""COMPUTED_VALUE"""),"Embalmer")</f>
        <v>Embalmer</v>
      </c>
      <c r="B283" s="197" t="str">
        <f>IFERROR(__xludf.DUMMYFUNCTION("""COMPUTED_VALUE"""),"Blue")</f>
        <v>Blue</v>
      </c>
      <c r="C283" s="197">
        <f t="shared" si="1"/>
        <v>2</v>
      </c>
      <c r="D283" s="20" t="s">
        <v>2717</v>
      </c>
      <c r="E283" s="20">
        <v>1.0</v>
      </c>
    </row>
    <row r="284">
      <c r="A284" s="196"/>
      <c r="B284" s="197" t="str">
        <f>IFERROR(__xludf.DUMMYFUNCTION("""COMPUTED_VALUE"""),"Venom-Dew")</f>
        <v>Venom-Dew</v>
      </c>
      <c r="C284" s="197">
        <f t="shared" si="1"/>
        <v>1</v>
      </c>
      <c r="D284" s="20" t="s">
        <v>2718</v>
      </c>
      <c r="E284" s="20">
        <v>1.0</v>
      </c>
    </row>
    <row r="285">
      <c r="A285" s="196"/>
      <c r="B285" s="197" t="str">
        <f>IFERROR(__xludf.DUMMYFUNCTION("""COMPUTED_VALUE"""),"Golemsaurus")</f>
        <v>Golemsaurus</v>
      </c>
      <c r="C285" s="197">
        <f t="shared" si="1"/>
        <v>1</v>
      </c>
      <c r="D285" s="20" t="s">
        <v>2719</v>
      </c>
      <c r="E285" s="20">
        <v>1.0</v>
      </c>
    </row>
    <row r="286">
      <c r="A286" s="196"/>
      <c r="B286" s="197" t="str">
        <f>IFERROR(__xludf.DUMMYFUNCTION("""COMPUTED_VALUE"""),"Slumbering")</f>
        <v>Slumbering</v>
      </c>
      <c r="C286" s="197">
        <f t="shared" si="1"/>
        <v>2</v>
      </c>
      <c r="D286" s="20" t="s">
        <v>881</v>
      </c>
      <c r="E286" s="20">
        <v>1.0</v>
      </c>
    </row>
    <row r="287">
      <c r="A287" s="196" t="str">
        <f>IFERROR(__xludf.DUMMYFUNCTION("""COMPUTED_VALUE"""),"Ushabti")</f>
        <v>Ushabti</v>
      </c>
      <c r="B287" s="197" t="str">
        <f>IFERROR(__xludf.DUMMYFUNCTION("""COMPUTED_VALUE"""),"Cavedrake")</f>
        <v>Cavedrake</v>
      </c>
      <c r="C287" s="197">
        <f t="shared" si="1"/>
        <v>1</v>
      </c>
      <c r="D287" s="20" t="s">
        <v>894</v>
      </c>
      <c r="E287" s="20">
        <v>1.0</v>
      </c>
    </row>
    <row r="288">
      <c r="A288" s="196" t="str">
        <f>IFERROR(__xludf.DUMMYFUNCTION("""COMPUTED_VALUE"""),"Carver")</f>
        <v>Carver</v>
      </c>
      <c r="B288" s="197" t="str">
        <f>IFERROR(__xludf.DUMMYFUNCTION("""COMPUTED_VALUE"""),"Eagle")</f>
        <v>Eagle</v>
      </c>
      <c r="C288" s="197">
        <f t="shared" si="1"/>
        <v>1</v>
      </c>
      <c r="D288" s="20" t="s">
        <v>2720</v>
      </c>
      <c r="E288" s="20">
        <v>1.0</v>
      </c>
    </row>
    <row r="289">
      <c r="A289" s="196"/>
      <c r="B289" s="197" t="str">
        <f>IFERROR(__xludf.DUMMYFUNCTION("""COMPUTED_VALUE"""),"Legion")</f>
        <v>Legion</v>
      </c>
      <c r="C289" s="197">
        <f t="shared" si="1"/>
        <v>2</v>
      </c>
      <c r="D289" s="20" t="s">
        <v>2721</v>
      </c>
      <c r="E289" s="20">
        <v>1.0</v>
      </c>
    </row>
    <row r="290">
      <c r="A290" s="196"/>
      <c r="B290" s="197" t="str">
        <f>IFERROR(__xludf.DUMMYFUNCTION("""COMPUTED_VALUE"""),"Starfall")</f>
        <v>Starfall</v>
      </c>
      <c r="C290" s="197">
        <f t="shared" si="1"/>
        <v>1</v>
      </c>
      <c r="D290" s="20" t="s">
        <v>2722</v>
      </c>
      <c r="E290" s="20">
        <v>1.0</v>
      </c>
    </row>
    <row r="291">
      <c r="A291" s="196"/>
      <c r="B291" s="197" t="str">
        <f>IFERROR(__xludf.DUMMYFUNCTION("""COMPUTED_VALUE"""),"Shaman")</f>
        <v>Shaman</v>
      </c>
      <c r="C291" s="197">
        <f t="shared" si="1"/>
        <v>2</v>
      </c>
      <c r="D291" s="20" t="s">
        <v>923</v>
      </c>
      <c r="E291" s="20">
        <v>1.0</v>
      </c>
    </row>
    <row r="292">
      <c r="A292" s="196" t="str">
        <f>IFERROR(__xludf.DUMMYFUNCTION("""COMPUTED_VALUE"""),"Shattercrown")</f>
        <v>Shattercrown</v>
      </c>
      <c r="B292" s="197" t="str">
        <f>IFERROR(__xludf.DUMMYFUNCTION("""COMPUTED_VALUE"""),"Merchant")</f>
        <v>Merchant</v>
      </c>
      <c r="C292" s="197">
        <f t="shared" si="1"/>
        <v>1</v>
      </c>
      <c r="D292" s="20" t="s">
        <v>2723</v>
      </c>
      <c r="E292" s="20">
        <v>1.0</v>
      </c>
    </row>
    <row r="293">
      <c r="A293" s="196" t="str">
        <f>IFERROR(__xludf.DUMMYFUNCTION("""COMPUTED_VALUE"""),"Luminary")</f>
        <v>Luminary</v>
      </c>
      <c r="B293" s="197" t="str">
        <f>IFERROR(__xludf.DUMMYFUNCTION("""COMPUTED_VALUE"""),"Gladehost")</f>
        <v>Gladehost</v>
      </c>
      <c r="C293" s="197">
        <f t="shared" si="1"/>
        <v>2</v>
      </c>
      <c r="D293" s="20" t="s">
        <v>2724</v>
      </c>
      <c r="E293" s="20">
        <v>1.0</v>
      </c>
    </row>
    <row r="294">
      <c r="A294" s="196"/>
      <c r="B294" s="197" t="str">
        <f>IFERROR(__xludf.DUMMYFUNCTION("""COMPUTED_VALUE"""),"Shotmaster")</f>
        <v>Shotmaster</v>
      </c>
      <c r="C294" s="197">
        <f t="shared" si="1"/>
        <v>1</v>
      </c>
      <c r="D294" s="20" t="s">
        <v>2725</v>
      </c>
      <c r="E294" s="20">
        <v>1.0</v>
      </c>
    </row>
    <row r="295">
      <c r="A295" s="196"/>
      <c r="B295" s="197" t="str">
        <f>IFERROR(__xludf.DUMMYFUNCTION("""COMPUTED_VALUE"""),"Flamebearer")</f>
        <v>Flamebearer</v>
      </c>
      <c r="C295" s="197">
        <f t="shared" si="1"/>
        <v>1</v>
      </c>
      <c r="D295" s="20" t="s">
        <v>2726</v>
      </c>
      <c r="E295" s="20">
        <v>1.0</v>
      </c>
    </row>
    <row r="296">
      <c r="A296" s="196"/>
      <c r="B296" s="197" t="str">
        <f>IFERROR(__xludf.DUMMYFUNCTION("""COMPUTED_VALUE"""),"Tidecrasher")</f>
        <v>Tidecrasher</v>
      </c>
      <c r="C296" s="197">
        <f t="shared" si="1"/>
        <v>1</v>
      </c>
      <c r="D296" s="20" t="s">
        <v>945</v>
      </c>
      <c r="E296" s="20">
        <v>1.0</v>
      </c>
    </row>
    <row r="297">
      <c r="A297" s="196" t="str">
        <f>IFERROR(__xludf.DUMMYFUNCTION("""COMPUTED_VALUE"""),"Shepard")</f>
        <v>Shepard</v>
      </c>
      <c r="B297" s="197" t="str">
        <f>IFERROR(__xludf.DUMMYFUNCTION("""COMPUTED_VALUE"""),"Imperial")</f>
        <v>Imperial</v>
      </c>
      <c r="C297" s="197">
        <f t="shared" si="1"/>
        <v>1</v>
      </c>
      <c r="D297" s="20" t="s">
        <v>2727</v>
      </c>
      <c r="E297" s="20">
        <v>1.0</v>
      </c>
    </row>
    <row r="298">
      <c r="A298" s="196" t="str">
        <f>IFERROR(__xludf.DUMMYFUNCTION("""COMPUTED_VALUE"""),"of")</f>
        <v>of</v>
      </c>
      <c r="B298" s="197" t="str">
        <f>IFERROR(__xludf.DUMMYFUNCTION("""COMPUTED_VALUE"""),"Tyrant")</f>
        <v>Tyrant</v>
      </c>
      <c r="C298" s="197">
        <f t="shared" si="1"/>
        <v>1</v>
      </c>
      <c r="D298" s="20" t="s">
        <v>2728</v>
      </c>
      <c r="E298" s="20">
        <v>1.0</v>
      </c>
    </row>
    <row r="299">
      <c r="A299" s="196" t="str">
        <f>IFERROR(__xludf.DUMMYFUNCTION("""COMPUTED_VALUE"""),"the")</f>
        <v>the</v>
      </c>
      <c r="B299" s="197" t="str">
        <f>IFERROR(__xludf.DUMMYFUNCTION("""COMPUTED_VALUE"""),"Eons-old")</f>
        <v>Eons-old</v>
      </c>
      <c r="C299" s="197">
        <f t="shared" si="1"/>
        <v>1</v>
      </c>
      <c r="D299" s="20" t="s">
        <v>2729</v>
      </c>
      <c r="E299" s="20">
        <v>1.0</v>
      </c>
    </row>
    <row r="300">
      <c r="A300" s="196" t="str">
        <f>IFERROR(__xludf.DUMMYFUNCTION("""COMPUTED_VALUE"""),"Morning")</f>
        <v>Morning</v>
      </c>
      <c r="B300" s="197" t="str">
        <f>IFERROR(__xludf.DUMMYFUNCTION("""COMPUTED_VALUE"""),"Crystalfang")</f>
        <v>Crystalfang</v>
      </c>
      <c r="C300" s="197">
        <f t="shared" si="1"/>
        <v>1</v>
      </c>
      <c r="D300" s="20" t="s">
        <v>2730</v>
      </c>
      <c r="E300" s="20">
        <v>1.0</v>
      </c>
    </row>
    <row r="301">
      <c r="A301" s="196" t="str">
        <f>IFERROR(__xludf.DUMMYFUNCTION("""COMPUTED_VALUE"""),"Dew")</f>
        <v>Dew</v>
      </c>
      <c r="B301" s="197" t="str">
        <f>IFERROR(__xludf.DUMMYFUNCTION("""COMPUTED_VALUE"""),"Makeshift")</f>
        <v>Makeshift</v>
      </c>
      <c r="C301" s="197">
        <f t="shared" si="1"/>
        <v>1</v>
      </c>
      <c r="D301" s="20" t="s">
        <v>2731</v>
      </c>
      <c r="E301" s="20">
        <v>1.0</v>
      </c>
    </row>
    <row r="302">
      <c r="A302" s="196" t="str">
        <f>IFERROR(__xludf.DUMMYFUNCTION("""COMPUTED_VALUE"""),"Arboreal")</f>
        <v>Arboreal</v>
      </c>
      <c r="B302" s="197" t="str">
        <f>IFERROR(__xludf.DUMMYFUNCTION("""COMPUTED_VALUE"""),"Militia")</f>
        <v>Militia</v>
      </c>
      <c r="C302" s="197">
        <f t="shared" si="1"/>
        <v>1</v>
      </c>
      <c r="D302" s="20" t="s">
        <v>2732</v>
      </c>
      <c r="E302" s="20">
        <v>1.0</v>
      </c>
    </row>
    <row r="303">
      <c r="A303" s="196" t="str">
        <f>IFERROR(__xludf.DUMMYFUNCTION("""COMPUTED_VALUE"""),"Messenger")</f>
        <v>Messenger</v>
      </c>
      <c r="B303" s="197" t="str">
        <f>IFERROR(__xludf.DUMMYFUNCTION("""COMPUTED_VALUE"""),"Strategist")</f>
        <v>Strategist</v>
      </c>
      <c r="C303" s="197">
        <f t="shared" si="1"/>
        <v>1</v>
      </c>
      <c r="D303" s="20" t="s">
        <v>2733</v>
      </c>
      <c r="E303" s="20">
        <v>1.0</v>
      </c>
    </row>
    <row r="304">
      <c r="A304" s="196"/>
      <c r="B304" s="197" t="str">
        <f>IFERROR(__xludf.DUMMYFUNCTION("""COMPUTED_VALUE"""),"Wraithknight")</f>
        <v>Wraithknight</v>
      </c>
      <c r="C304" s="197">
        <f t="shared" si="1"/>
        <v>1</v>
      </c>
      <c r="D304" s="20" t="s">
        <v>2734</v>
      </c>
      <c r="E304" s="20">
        <v>1.0</v>
      </c>
    </row>
    <row r="305">
      <c r="A305" s="196"/>
      <c r="B305" s="197" t="str">
        <f>IFERROR(__xludf.DUMMYFUNCTION("""COMPUTED_VALUE"""),"Mountblade")</f>
        <v>Mountblade</v>
      </c>
      <c r="C305" s="197">
        <f t="shared" si="1"/>
        <v>1</v>
      </c>
      <c r="D305" s="20" t="s">
        <v>2735</v>
      </c>
      <c r="E305" s="20">
        <v>1.0</v>
      </c>
    </row>
    <row r="306">
      <c r="A306" s="196"/>
      <c r="B306" s="197" t="str">
        <f>IFERROR(__xludf.DUMMYFUNCTION("""COMPUTED_VALUE"""),"Squire")</f>
        <v>Squire</v>
      </c>
      <c r="C306" s="197">
        <f t="shared" si="1"/>
        <v>1</v>
      </c>
      <c r="D306" s="20" t="s">
        <v>2736</v>
      </c>
      <c r="E306" s="20">
        <v>1.0</v>
      </c>
    </row>
    <row r="307">
      <c r="A307" s="196" t="str">
        <f>IFERROR(__xludf.DUMMYFUNCTION("""COMPUTED_VALUE"""),"Auric")</f>
        <v>Auric</v>
      </c>
      <c r="B307" s="197" t="str">
        <f>IFERROR(__xludf.DUMMYFUNCTION("""COMPUTED_VALUE"""),"Pyroclastic")</f>
        <v>Pyroclastic</v>
      </c>
      <c r="C307" s="197">
        <f t="shared" si="1"/>
        <v>1</v>
      </c>
      <c r="D307" s="20" t="s">
        <v>2737</v>
      </c>
      <c r="E307" s="20">
        <v>1.0</v>
      </c>
    </row>
    <row r="308">
      <c r="A308" s="196" t="str">
        <f>IFERROR(__xludf.DUMMYFUNCTION("""COMPUTED_VALUE"""),"Ant")</f>
        <v>Ant</v>
      </c>
      <c r="B308" s="197" t="str">
        <f>IFERROR(__xludf.DUMMYFUNCTION("""COMPUTED_VALUE"""),"Zombie")</f>
        <v>Zombie</v>
      </c>
      <c r="C308" s="197">
        <f t="shared" si="1"/>
        <v>1</v>
      </c>
      <c r="D308" s="20" t="s">
        <v>2738</v>
      </c>
      <c r="E308" s="20">
        <v>1.0</v>
      </c>
    </row>
    <row r="309">
      <c r="A309" s="196" t="str">
        <f>IFERROR(__xludf.DUMMYFUNCTION("""COMPUTED_VALUE"""),"Regent")</f>
        <v>Regent</v>
      </c>
      <c r="B309" s="197" t="str">
        <f>IFERROR(__xludf.DUMMYFUNCTION("""COMPUTED_VALUE"""),"Old")</f>
        <v>Old</v>
      </c>
      <c r="C309" s="197">
        <f t="shared" si="1"/>
        <v>2</v>
      </c>
      <c r="D309" s="20" t="s">
        <v>982</v>
      </c>
      <c r="E309" s="20">
        <v>1.0</v>
      </c>
    </row>
    <row r="310">
      <c r="A310" s="196"/>
      <c r="B310" s="197" t="str">
        <f>IFERROR(__xludf.DUMMYFUNCTION("""COMPUTED_VALUE"""),"Fisherman")</f>
        <v>Fisherman</v>
      </c>
      <c r="C310" s="197">
        <f t="shared" si="1"/>
        <v>1</v>
      </c>
      <c r="D310" s="20" t="s">
        <v>2739</v>
      </c>
      <c r="E310" s="20">
        <v>1.0</v>
      </c>
    </row>
    <row r="311">
      <c r="A311" s="196"/>
      <c r="B311" s="197" t="str">
        <f>IFERROR(__xludf.DUMMYFUNCTION("""COMPUTED_VALUE"""),"Wasteland")</f>
        <v>Wasteland</v>
      </c>
      <c r="C311" s="197">
        <f t="shared" si="1"/>
        <v>1</v>
      </c>
      <c r="D311" s="20" t="s">
        <v>2740</v>
      </c>
      <c r="E311" s="20">
        <v>1.0</v>
      </c>
    </row>
    <row r="312">
      <c r="A312" s="196" t="str">
        <f>IFERROR(__xludf.DUMMYFUNCTION("""COMPUTED_VALUE"""),"Blessing")</f>
        <v>Blessing</v>
      </c>
      <c r="B312" s="197" t="str">
        <f>IFERROR(__xludf.DUMMYFUNCTION("""COMPUTED_VALUE"""),"Overlord")</f>
        <v>Overlord</v>
      </c>
      <c r="C312" s="197">
        <f t="shared" si="1"/>
        <v>2</v>
      </c>
      <c r="D312" s="20" t="s">
        <v>2741</v>
      </c>
      <c r="E312" s="20">
        <v>1.0</v>
      </c>
    </row>
    <row r="313">
      <c r="A313" s="196" t="str">
        <f>IFERROR(__xludf.DUMMYFUNCTION("""COMPUTED_VALUE"""),"Bestower")</f>
        <v>Bestower</v>
      </c>
      <c r="B313" s="197" t="str">
        <f>IFERROR(__xludf.DUMMYFUNCTION("""COMPUTED_VALUE"""),"Pinwheel")</f>
        <v>Pinwheel</v>
      </c>
      <c r="C313" s="197">
        <f t="shared" si="1"/>
        <v>1</v>
      </c>
      <c r="D313" s="20" t="s">
        <v>2742</v>
      </c>
      <c r="E313" s="20">
        <v>1.0</v>
      </c>
    </row>
    <row r="314">
      <c r="A314" s="196"/>
      <c r="B314" s="197" t="str">
        <f>IFERROR(__xludf.DUMMYFUNCTION("""COMPUTED_VALUE"""),"Illusionist")</f>
        <v>Illusionist</v>
      </c>
      <c r="C314" s="197">
        <f t="shared" si="1"/>
        <v>1</v>
      </c>
      <c r="D314" s="20" t="s">
        <v>2743</v>
      </c>
      <c r="E314" s="20">
        <v>1.0</v>
      </c>
    </row>
    <row r="315">
      <c r="A315" s="196"/>
      <c r="B315" s="197" t="str">
        <f>IFERROR(__xludf.DUMMYFUNCTION("""COMPUTED_VALUE"""),"Marauder")</f>
        <v>Marauder</v>
      </c>
      <c r="C315" s="197">
        <f t="shared" si="1"/>
        <v>1</v>
      </c>
      <c r="D315" s="20" t="s">
        <v>2744</v>
      </c>
      <c r="E315" s="20">
        <v>1.0</v>
      </c>
    </row>
    <row r="316">
      <c r="A316" s="196"/>
      <c r="B316" s="197" t="str">
        <f>IFERROR(__xludf.DUMMYFUNCTION("""COMPUTED_VALUE"""),"Alchemist's")</f>
        <v>Alchemist's</v>
      </c>
      <c r="C316" s="197">
        <f t="shared" si="1"/>
        <v>1</v>
      </c>
      <c r="D316" s="20" t="s">
        <v>2745</v>
      </c>
      <c r="E316" s="20">
        <v>1.0</v>
      </c>
    </row>
    <row r="317">
      <c r="A317" s="196" t="str">
        <f>IFERROR(__xludf.DUMMYFUNCTION("""COMPUTED_VALUE"""),"Obelisk")</f>
        <v>Obelisk</v>
      </c>
      <c r="B317" s="197" t="str">
        <f>IFERROR(__xludf.DUMMYFUNCTION("""COMPUTED_VALUE"""),"Incense")</f>
        <v>Incense</v>
      </c>
      <c r="C317" s="197">
        <f t="shared" si="1"/>
        <v>1</v>
      </c>
      <c r="D317" s="20" t="s">
        <v>2746</v>
      </c>
      <c r="E317" s="20">
        <v>1.0</v>
      </c>
    </row>
    <row r="318">
      <c r="A318" s="196" t="str">
        <f>IFERROR(__xludf.DUMMYFUNCTION("""COMPUTED_VALUE"""),"Waypost")</f>
        <v>Waypost</v>
      </c>
      <c r="B318" s="197" t="str">
        <f>IFERROR(__xludf.DUMMYFUNCTION("""COMPUTED_VALUE"""),"Quadriga")</f>
        <v>Quadriga</v>
      </c>
      <c r="C318" s="197">
        <f t="shared" si="1"/>
        <v>1</v>
      </c>
      <c r="D318" s="20" t="s">
        <v>2747</v>
      </c>
      <c r="E318" s="20">
        <v>1.0</v>
      </c>
    </row>
    <row r="319">
      <c r="A319" s="196"/>
      <c r="B319" s="197" t="str">
        <f>IFERROR(__xludf.DUMMYFUNCTION("""COMPUTED_VALUE"""),"Triumph")</f>
        <v>Triumph</v>
      </c>
      <c r="C319" s="197">
        <f t="shared" si="1"/>
        <v>1</v>
      </c>
      <c r="D319" s="20" t="s">
        <v>2748</v>
      </c>
      <c r="E319" s="20">
        <v>1.0</v>
      </c>
    </row>
    <row r="320">
      <c r="A320" s="196"/>
      <c r="B320" s="197" t="str">
        <f>IFERROR(__xludf.DUMMYFUNCTION("""COMPUTED_VALUE"""),"Ambrosia")</f>
        <v>Ambrosia</v>
      </c>
      <c r="C320" s="197">
        <f t="shared" si="1"/>
        <v>1</v>
      </c>
      <c r="D320" s="20" t="s">
        <v>2749</v>
      </c>
      <c r="E320" s="20">
        <v>1.0</v>
      </c>
    </row>
    <row r="321">
      <c r="A321" s="196"/>
      <c r="B321" s="197" t="str">
        <f>IFERROR(__xludf.DUMMYFUNCTION("""COMPUTED_VALUE"""),"Bee")</f>
        <v>Bee</v>
      </c>
      <c r="C321" s="197">
        <f t="shared" si="1"/>
        <v>1</v>
      </c>
      <c r="D321" s="20" t="s">
        <v>2750</v>
      </c>
      <c r="E321" s="20">
        <v>1.0</v>
      </c>
    </row>
    <row r="322">
      <c r="A322" s="196" t="str">
        <f>IFERROR(__xludf.DUMMYFUNCTION("""COMPUTED_VALUE"""),"Crimson")</f>
        <v>Crimson</v>
      </c>
      <c r="B322" s="197" t="str">
        <f>IFERROR(__xludf.DUMMYFUNCTION("""COMPUTED_VALUE"""),"Recruiting")</f>
        <v>Recruiting</v>
      </c>
      <c r="C322" s="197">
        <f t="shared" si="1"/>
        <v>1</v>
      </c>
      <c r="D322" s="20" t="s">
        <v>1052</v>
      </c>
      <c r="E322" s="20">
        <v>1.0</v>
      </c>
    </row>
    <row r="323">
      <c r="A323" s="196" t="str">
        <f>IFERROR(__xludf.DUMMYFUNCTION("""COMPUTED_VALUE"""),"Flamechick")</f>
        <v>Flamechick</v>
      </c>
      <c r="B323" s="197" t="str">
        <f>IFERROR(__xludf.DUMMYFUNCTION("""COMPUTED_VALUE"""),"Officer")</f>
        <v>Officer</v>
      </c>
      <c r="C323" s="197">
        <f t="shared" si="1"/>
        <v>1</v>
      </c>
      <c r="D323" s="20" t="s">
        <v>1055</v>
      </c>
      <c r="E323" s="20">
        <v>1.0</v>
      </c>
    </row>
    <row r="324">
      <c r="A324" s="196"/>
      <c r="B324" s="197" t="str">
        <f>IFERROR(__xludf.DUMMYFUNCTION("""COMPUTED_VALUE"""),"Remnant")</f>
        <v>Remnant</v>
      </c>
      <c r="C324" s="197">
        <f t="shared" si="1"/>
        <v>1</v>
      </c>
      <c r="D324" s="20" t="s">
        <v>2751</v>
      </c>
      <c r="E324" s="20">
        <v>1.0</v>
      </c>
    </row>
    <row r="325">
      <c r="A325" s="196"/>
      <c r="B325" s="197" t="str">
        <f>IFERROR(__xludf.DUMMYFUNCTION("""COMPUTED_VALUE"""),"Quiet")</f>
        <v>Quiet</v>
      </c>
      <c r="C325" s="197">
        <f t="shared" si="1"/>
        <v>1</v>
      </c>
      <c r="D325" s="20" t="s">
        <v>2752</v>
      </c>
      <c r="E325" s="20">
        <v>1.0</v>
      </c>
    </row>
    <row r="326">
      <c r="A326" s="196"/>
      <c r="B326" s="197" t="str">
        <f>IFERROR(__xludf.DUMMYFUNCTION("""COMPUTED_VALUE"""),"Springs")</f>
        <v>Springs</v>
      </c>
      <c r="C326" s="197">
        <f t="shared" si="1"/>
        <v>2</v>
      </c>
      <c r="D326" s="20" t="s">
        <v>2753</v>
      </c>
      <c r="E326" s="20">
        <v>1.0</v>
      </c>
    </row>
    <row r="327">
      <c r="A327" s="196" t="str">
        <f>IFERROR(__xludf.DUMMYFUNCTION("""COMPUTED_VALUE"""),"The")</f>
        <v>The</v>
      </c>
      <c r="B327" s="197" t="str">
        <f>IFERROR(__xludf.DUMMYFUNCTION("""COMPUTED_VALUE"""),"Sandring")</f>
        <v>Sandring</v>
      </c>
      <c r="C327" s="197">
        <f t="shared" si="1"/>
        <v>1</v>
      </c>
      <c r="D327" s="20" t="s">
        <v>2754</v>
      </c>
      <c r="E327" s="20">
        <v>1.0</v>
      </c>
    </row>
    <row r="328">
      <c r="A328" s="196" t="str">
        <f>IFERROR(__xludf.DUMMYFUNCTION("""COMPUTED_VALUE"""),"Ascended")</f>
        <v>Ascended</v>
      </c>
      <c r="B328" s="197" t="str">
        <f>IFERROR(__xludf.DUMMYFUNCTION("""COMPUTED_VALUE"""),"Pridemane")</f>
        <v>Pridemane</v>
      </c>
      <c r="C328" s="197">
        <f t="shared" si="1"/>
        <v>1</v>
      </c>
      <c r="D328" s="20" t="s">
        <v>2755</v>
      </c>
      <c r="E328" s="20">
        <v>1.0</v>
      </c>
    </row>
    <row r="329">
      <c r="A329" s="196" t="str">
        <f>IFERROR(__xludf.DUMMYFUNCTION("""COMPUTED_VALUE"""),"One")</f>
        <v>One</v>
      </c>
      <c r="B329" s="197" t="str">
        <f>IFERROR(__xludf.DUMMYFUNCTION("""COMPUTED_VALUE"""),"Filthy")</f>
        <v>Filthy</v>
      </c>
      <c r="C329" s="197">
        <f t="shared" si="1"/>
        <v>1</v>
      </c>
      <c r="D329" s="20" t="s">
        <v>2756</v>
      </c>
      <c r="E329" s="20">
        <v>1.0</v>
      </c>
    </row>
    <row r="330">
      <c r="A330" s="196"/>
      <c r="B330" s="197" t="str">
        <f>IFERROR(__xludf.DUMMYFUNCTION("""COMPUTED_VALUE"""),"Peasant")</f>
        <v>Peasant</v>
      </c>
      <c r="C330" s="197">
        <f t="shared" si="1"/>
        <v>1</v>
      </c>
      <c r="D330" s="20" t="s">
        <v>1114</v>
      </c>
      <c r="E330" s="20">
        <v>1.0</v>
      </c>
    </row>
    <row r="331">
      <c r="A331" s="196"/>
      <c r="B331" s="197" t="str">
        <f>IFERROR(__xludf.DUMMYFUNCTION("""COMPUTED_VALUE"""),"Scapegoat")</f>
        <v>Scapegoat</v>
      </c>
      <c r="C331" s="197">
        <f t="shared" si="1"/>
        <v>1</v>
      </c>
      <c r="D331" s="20" t="s">
        <v>2757</v>
      </c>
      <c r="E331" s="20">
        <v>1.0</v>
      </c>
    </row>
    <row r="332">
      <c r="A332" s="196" t="str">
        <f>IFERROR(__xludf.DUMMYFUNCTION("""COMPUTED_VALUE"""),"Tranquil")</f>
        <v>Tranquil</v>
      </c>
      <c r="B332" s="197" t="str">
        <f>IFERROR(__xludf.DUMMYFUNCTION("""COMPUTED_VALUE"""),"Ironstride")</f>
        <v>Ironstride</v>
      </c>
      <c r="C332" s="197">
        <f t="shared" si="1"/>
        <v>1</v>
      </c>
      <c r="D332" s="20" t="s">
        <v>2758</v>
      </c>
      <c r="E332" s="20">
        <v>1.0</v>
      </c>
    </row>
    <row r="333">
      <c r="A333" s="196" t="str">
        <f>IFERROR(__xludf.DUMMYFUNCTION("""COMPUTED_VALUE"""),"Herd")</f>
        <v>Herd</v>
      </c>
      <c r="B333" s="197" t="str">
        <f>IFERROR(__xludf.DUMMYFUNCTION("""COMPUTED_VALUE"""),"Courser")</f>
        <v>Courser</v>
      </c>
      <c r="C333" s="197">
        <f t="shared" si="1"/>
        <v>1</v>
      </c>
      <c r="D333" s="20" t="s">
        <v>2759</v>
      </c>
      <c r="E333" s="20">
        <v>1.0</v>
      </c>
    </row>
    <row r="334">
      <c r="A334" s="196" t="str">
        <f>IFERROR(__xludf.DUMMYFUNCTION("""COMPUTED_VALUE"""),"Rubyskull")</f>
        <v>Rubyskull</v>
      </c>
      <c r="B334" s="197" t="str">
        <f>IFERROR(__xludf.DUMMYFUNCTION("""COMPUTED_VALUE"""),"Pocket")</f>
        <v>Pocket</v>
      </c>
      <c r="C334" s="197">
        <f t="shared" si="1"/>
        <v>1</v>
      </c>
      <c r="D334" s="20" t="s">
        <v>2760</v>
      </c>
      <c r="E334" s="20">
        <v>1.0</v>
      </c>
    </row>
    <row r="335">
      <c r="A335" s="196"/>
      <c r="B335" s="197" t="str">
        <f>IFERROR(__xludf.DUMMYFUNCTION("""COMPUTED_VALUE"""),"Prime")</f>
        <v>Prime</v>
      </c>
      <c r="C335" s="197">
        <f t="shared" si="1"/>
        <v>1</v>
      </c>
      <c r="D335" s="20" t="s">
        <v>2761</v>
      </c>
      <c r="E335" s="20">
        <v>1.0</v>
      </c>
    </row>
    <row r="336">
      <c r="A336" s="196"/>
      <c r="B336" s="197" t="str">
        <f>IFERROR(__xludf.DUMMYFUNCTION("""COMPUTED_VALUE"""),"Golem")</f>
        <v>Golem</v>
      </c>
      <c r="C336" s="197">
        <f t="shared" si="1"/>
        <v>2</v>
      </c>
      <c r="D336" s="20" t="s">
        <v>2762</v>
      </c>
      <c r="E336" s="20">
        <v>1.0</v>
      </c>
    </row>
    <row r="337">
      <c r="A337" s="196" t="str">
        <f>IFERROR(__xludf.DUMMYFUNCTION("""COMPUTED_VALUE"""),"Blackwing")</f>
        <v>Blackwing</v>
      </c>
      <c r="B337" s="197" t="str">
        <f>IFERROR(__xludf.DUMMYFUNCTION("""COMPUTED_VALUE"""),"Siegebreaker")</f>
        <v>Siegebreaker</v>
      </c>
      <c r="C337" s="197">
        <f t="shared" si="1"/>
        <v>1</v>
      </c>
      <c r="D337" s="20" t="s">
        <v>2763</v>
      </c>
      <c r="E337" s="20">
        <v>1.0</v>
      </c>
    </row>
    <row r="338">
      <c r="A338" s="196" t="str">
        <f>IFERROR(__xludf.DUMMYFUNCTION("""COMPUTED_VALUE"""),"Usurper")</f>
        <v>Usurper</v>
      </c>
      <c r="B338" s="197" t="str">
        <f>IFERROR(__xludf.DUMMYFUNCTION("""COMPUTED_VALUE"""),"Surly")</f>
        <v>Surly</v>
      </c>
      <c r="C338" s="197">
        <f t="shared" si="1"/>
        <v>1</v>
      </c>
      <c r="D338" s="20" t="s">
        <v>2764</v>
      </c>
      <c r="E338" s="20">
        <v>1.0</v>
      </c>
    </row>
    <row r="339">
      <c r="A339" s="196"/>
      <c r="B339" s="197" t="str">
        <f>IFERROR(__xludf.DUMMYFUNCTION("""COMPUTED_VALUE"""),"Donkey")</f>
        <v>Donkey</v>
      </c>
      <c r="C339" s="197">
        <f t="shared" si="1"/>
        <v>1</v>
      </c>
      <c r="D339" s="20" t="s">
        <v>2765</v>
      </c>
      <c r="E339" s="20">
        <v>1.0</v>
      </c>
    </row>
    <row r="340">
      <c r="A340" s="196"/>
      <c r="B340" s="197" t="str">
        <f>IFERROR(__xludf.DUMMYFUNCTION("""COMPUTED_VALUE"""),"Grand")</f>
        <v>Grand</v>
      </c>
      <c r="C340" s="197">
        <f t="shared" si="1"/>
        <v>1</v>
      </c>
      <c r="D340" s="20" t="s">
        <v>2766</v>
      </c>
      <c r="E340" s="20">
        <v>1.0</v>
      </c>
    </row>
    <row r="341">
      <c r="A341" s="196"/>
      <c r="B341" s="197" t="str">
        <f>IFERROR(__xludf.DUMMYFUNCTION("""COMPUTED_VALUE"""),"Ruiner")</f>
        <v>Ruiner</v>
      </c>
      <c r="C341" s="197">
        <f t="shared" si="1"/>
        <v>1</v>
      </c>
      <c r="D341" s="20" t="s">
        <v>2767</v>
      </c>
      <c r="E341" s="20">
        <v>1.0</v>
      </c>
    </row>
    <row r="342">
      <c r="A342" s="196" t="str">
        <f>IFERROR(__xludf.DUMMYFUNCTION("""COMPUTED_VALUE"""),"Thunderswarm")</f>
        <v>Thunderswarm</v>
      </c>
      <c r="B342" s="197" t="str">
        <f>IFERROR(__xludf.DUMMYFUNCTION("""COMPUTED_VALUE"""),"Snow")</f>
        <v>Snow</v>
      </c>
      <c r="C342" s="197">
        <f t="shared" si="1"/>
        <v>1</v>
      </c>
      <c r="D342" s="20" t="s">
        <v>2768</v>
      </c>
      <c r="E342" s="20">
        <v>1.0</v>
      </c>
    </row>
    <row r="343">
      <c r="A343" s="196" t="str">
        <f>IFERROR(__xludf.DUMMYFUNCTION("""COMPUTED_VALUE"""),"Celestial")</f>
        <v>Celestial</v>
      </c>
      <c r="B343" s="197" t="str">
        <f>IFERROR(__xludf.DUMMYFUNCTION("""COMPUTED_VALUE"""),"Crane")</f>
        <v>Crane</v>
      </c>
      <c r="C343" s="197">
        <f t="shared" si="1"/>
        <v>1</v>
      </c>
      <c r="D343" s="20" t="s">
        <v>2769</v>
      </c>
      <c r="E343" s="20">
        <v>1.0</v>
      </c>
    </row>
    <row r="344">
      <c r="A344" s="196"/>
      <c r="B344" s="197" t="str">
        <f>IFERROR(__xludf.DUMMYFUNCTION("""COMPUTED_VALUE"""),"Trading")</f>
        <v>Trading</v>
      </c>
      <c r="C344" s="197">
        <f t="shared" si="1"/>
        <v>1</v>
      </c>
      <c r="D344" s="20" t="s">
        <v>2770</v>
      </c>
      <c r="E344" s="20">
        <v>1.0</v>
      </c>
    </row>
    <row r="345">
      <c r="A345" s="196"/>
      <c r="B345" s="197" t="str">
        <f>IFERROR(__xludf.DUMMYFUNCTION("""COMPUTED_VALUE"""),"Post")</f>
        <v>Post</v>
      </c>
      <c r="C345" s="197">
        <f t="shared" si="1"/>
        <v>1</v>
      </c>
      <c r="D345" s="20" t="s">
        <v>2771</v>
      </c>
      <c r="E345" s="20">
        <v>1.0</v>
      </c>
    </row>
    <row r="346">
      <c r="A346" s="196"/>
      <c r="B346" s="197" t="str">
        <f>IFERROR(__xludf.DUMMYFUNCTION("""COMPUTED_VALUE"""),"Camel")</f>
        <v>Camel</v>
      </c>
      <c r="C346" s="197">
        <f t="shared" si="1"/>
        <v>2</v>
      </c>
      <c r="D346" s="20" t="s">
        <v>2772</v>
      </c>
      <c r="E346" s="20">
        <v>1.0</v>
      </c>
    </row>
    <row r="347">
      <c r="A347" s="196" t="str">
        <f>IFERROR(__xludf.DUMMYFUNCTION("""COMPUTED_VALUE"""),"The")</f>
        <v>The</v>
      </c>
      <c r="B347" s="197" t="str">
        <f>IFERROR(__xludf.DUMMYFUNCTION("""COMPUTED_VALUE"""),"Stormforged")</f>
        <v>Stormforged</v>
      </c>
      <c r="C347" s="197">
        <f t="shared" si="1"/>
        <v>1</v>
      </c>
      <c r="D347" s="20" t="s">
        <v>2773</v>
      </c>
      <c r="E347" s="20">
        <v>1.0</v>
      </c>
    </row>
    <row r="348">
      <c r="A348" s="196" t="str">
        <f>IFERROR(__xludf.DUMMYFUNCTION("""COMPUTED_VALUE"""),"Second")</f>
        <v>Second</v>
      </c>
      <c r="B348" s="197" t="str">
        <f>IFERROR(__xludf.DUMMYFUNCTION("""COMPUTED_VALUE"""),"Recruit")</f>
        <v>Recruit</v>
      </c>
      <c r="C348" s="197">
        <f t="shared" si="1"/>
        <v>1</v>
      </c>
      <c r="D348" s="20" t="s">
        <v>2774</v>
      </c>
      <c r="E348" s="20">
        <v>1.0</v>
      </c>
    </row>
    <row r="349">
      <c r="A349" s="196" t="str">
        <f>IFERROR(__xludf.DUMMYFUNCTION("""COMPUTED_VALUE"""),"Wing")</f>
        <v>Wing</v>
      </c>
      <c r="B349" s="197" t="str">
        <f>IFERROR(__xludf.DUMMYFUNCTION("""COMPUTED_VALUE"""),"Supply")</f>
        <v>Supply</v>
      </c>
      <c r="C349" s="197">
        <f t="shared" si="1"/>
        <v>1</v>
      </c>
      <c r="D349" s="20" t="s">
        <v>2775</v>
      </c>
      <c r="E349" s="20">
        <v>1.0</v>
      </c>
    </row>
    <row r="350">
      <c r="A350" s="196"/>
      <c r="B350" s="197" t="str">
        <f>IFERROR(__xludf.DUMMYFUNCTION("""COMPUTED_VALUE"""),"Trusty")</f>
        <v>Trusty</v>
      </c>
      <c r="C350" s="197">
        <f t="shared" si="1"/>
        <v>1</v>
      </c>
      <c r="D350" s="20" t="s">
        <v>2776</v>
      </c>
      <c r="E350" s="20">
        <v>1.0</v>
      </c>
    </row>
    <row r="351">
      <c r="A351" s="196"/>
      <c r="B351" s="197" t="str">
        <f>IFERROR(__xludf.DUMMYFUNCTION("""COMPUTED_VALUE"""),"Companion")</f>
        <v>Companion</v>
      </c>
      <c r="C351" s="197">
        <f t="shared" si="1"/>
        <v>1</v>
      </c>
      <c r="D351" s="20" t="s">
        <v>2777</v>
      </c>
      <c r="E351" s="20">
        <v>1.0</v>
      </c>
    </row>
    <row r="352">
      <c r="A352" s="196" t="str">
        <f>IFERROR(__xludf.DUMMYFUNCTION("""COMPUTED_VALUE"""),"Ivoryscar")</f>
        <v>Ivoryscar</v>
      </c>
      <c r="B352" s="197" t="str">
        <f>IFERROR(__xludf.DUMMYFUNCTION("""COMPUTED_VALUE"""),"Bloodfleet")</f>
        <v>Bloodfleet</v>
      </c>
      <c r="C352" s="197">
        <f t="shared" si="1"/>
        <v>2</v>
      </c>
      <c r="D352" s="20" t="s">
        <v>2778</v>
      </c>
      <c r="E352" s="20">
        <v>1.0</v>
      </c>
    </row>
    <row r="353">
      <c r="A353" s="196" t="str">
        <f>IFERROR(__xludf.DUMMYFUNCTION("""COMPUTED_VALUE"""),"Fatebreaker")</f>
        <v>Fatebreaker</v>
      </c>
      <c r="B353" s="197" t="str">
        <f>IFERROR(__xludf.DUMMYFUNCTION("""COMPUTED_VALUE"""),"Raider")</f>
        <v>Raider</v>
      </c>
      <c r="C353" s="197">
        <f t="shared" si="1"/>
        <v>2</v>
      </c>
      <c r="D353" s="20" t="s">
        <v>2779</v>
      </c>
      <c r="E353" s="20">
        <v>1.0</v>
      </c>
    </row>
    <row r="354">
      <c r="A354" s="196"/>
      <c r="B354" s="197" t="str">
        <f>IFERROR(__xludf.DUMMYFUNCTION("""COMPUTED_VALUE"""),"Caring")</f>
        <v>Caring</v>
      </c>
      <c r="C354" s="197">
        <f t="shared" si="1"/>
        <v>2</v>
      </c>
      <c r="D354" s="20" t="s">
        <v>2780</v>
      </c>
      <c r="E354" s="20">
        <v>1.0</v>
      </c>
    </row>
    <row r="355">
      <c r="A355" s="196"/>
      <c r="B355" s="197" t="str">
        <f>IFERROR(__xludf.DUMMYFUNCTION("""COMPUTED_VALUE"""),"Mother")</f>
        <v>Mother</v>
      </c>
      <c r="C355" s="197">
        <f t="shared" si="1"/>
        <v>1</v>
      </c>
      <c r="D355" s="20" t="s">
        <v>2781</v>
      </c>
      <c r="E355" s="20">
        <v>1.0</v>
      </c>
    </row>
    <row r="356">
      <c r="A356" s="196"/>
      <c r="B356" s="197" t="str">
        <f>IFERROR(__xludf.DUMMYFUNCTION("""COMPUTED_VALUE"""),"Wayward")</f>
        <v>Wayward</v>
      </c>
      <c r="C356" s="197">
        <f t="shared" si="1"/>
        <v>1</v>
      </c>
      <c r="D356" s="20" t="s">
        <v>2782</v>
      </c>
      <c r="E356" s="20">
        <v>1.0</v>
      </c>
    </row>
    <row r="357">
      <c r="A357" s="196" t="str">
        <f>IFERROR(__xludf.DUMMYFUNCTION("""COMPUTED_VALUE"""),"Moon")</f>
        <v>Moon</v>
      </c>
      <c r="B357" s="197" t="str">
        <f>IFERROR(__xludf.DUMMYFUNCTION("""COMPUTED_VALUE"""),"Battle")</f>
        <v>Battle</v>
      </c>
      <c r="C357" s="197">
        <f t="shared" si="1"/>
        <v>1</v>
      </c>
      <c r="D357" s="20" t="s">
        <v>2783</v>
      </c>
      <c r="E357" s="20">
        <v>1.0</v>
      </c>
    </row>
    <row r="358">
      <c r="A358" s="196" t="str">
        <f>IFERROR(__xludf.DUMMYFUNCTION("""COMPUTED_VALUE"""),"Priestess")</f>
        <v>Priestess</v>
      </c>
      <c r="B358" s="197" t="str">
        <f>IFERROR(__xludf.DUMMYFUNCTION("""COMPUTED_VALUE"""),"Dreadnought")</f>
        <v>Dreadnought</v>
      </c>
      <c r="C358" s="197">
        <f t="shared" si="1"/>
        <v>1</v>
      </c>
      <c r="D358" s="20" t="s">
        <v>2784</v>
      </c>
      <c r="E358" s="20">
        <v>1.0</v>
      </c>
    </row>
    <row r="359">
      <c r="A359" s="196"/>
      <c r="B359" s="197" t="str">
        <f>IFERROR(__xludf.DUMMYFUNCTION("""COMPUTED_VALUE"""),"Dojo")</f>
        <v>Dojo</v>
      </c>
      <c r="C359" s="197">
        <f t="shared" si="1"/>
        <v>1</v>
      </c>
      <c r="D359" s="20" t="s">
        <v>2785</v>
      </c>
      <c r="E359" s="20">
        <v>1.0</v>
      </c>
    </row>
    <row r="360">
      <c r="A360" s="196"/>
      <c r="B360" s="197" t="str">
        <f>IFERROR(__xludf.DUMMYFUNCTION("""COMPUTED_VALUE"""),"Drill")</f>
        <v>Drill</v>
      </c>
      <c r="C360" s="197">
        <f t="shared" si="1"/>
        <v>1</v>
      </c>
      <c r="D360" s="20" t="s">
        <v>2786</v>
      </c>
      <c r="E360" s="20">
        <v>1.0</v>
      </c>
    </row>
    <row r="361">
      <c r="A361" s="196"/>
      <c r="B361" s="197" t="str">
        <f>IFERROR(__xludf.DUMMYFUNCTION("""COMPUTED_VALUE"""),"Instructor")</f>
        <v>Instructor</v>
      </c>
      <c r="C361" s="197">
        <f t="shared" si="1"/>
        <v>1</v>
      </c>
      <c r="D361" s="20" t="s">
        <v>2787</v>
      </c>
      <c r="E361" s="20">
        <v>1.0</v>
      </c>
    </row>
    <row r="362">
      <c r="A362" s="196" t="str">
        <f>IFERROR(__xludf.DUMMYFUNCTION("""COMPUTED_VALUE"""),"Airstep")</f>
        <v>Airstep</v>
      </c>
      <c r="B362" s="197" t="str">
        <f>IFERROR(__xludf.DUMMYFUNCTION("""COMPUTED_VALUE"""),"Rune")</f>
        <v>Rune</v>
      </c>
      <c r="C362" s="197">
        <f t="shared" si="1"/>
        <v>1</v>
      </c>
      <c r="D362" s="20" t="s">
        <v>1258</v>
      </c>
      <c r="E362" s="20">
        <v>1.0</v>
      </c>
    </row>
    <row r="363">
      <c r="A363" s="196" t="str">
        <f>IFERROR(__xludf.DUMMYFUNCTION("""COMPUTED_VALUE"""),"Sifu")</f>
        <v>Sifu</v>
      </c>
      <c r="B363" s="197" t="str">
        <f>IFERROR(__xludf.DUMMYFUNCTION("""COMPUTED_VALUE"""),"Whisperer")</f>
        <v>Whisperer</v>
      </c>
      <c r="C363" s="197">
        <f t="shared" si="1"/>
        <v>1</v>
      </c>
      <c r="D363" s="20" t="s">
        <v>2788</v>
      </c>
      <c r="E363" s="20">
        <v>1.0</v>
      </c>
    </row>
    <row r="364">
      <c r="A364" s="196"/>
      <c r="B364" s="197" t="str">
        <f>IFERROR(__xludf.DUMMYFUNCTION("""COMPUTED_VALUE"""),"Ironclad")</f>
        <v>Ironclad</v>
      </c>
      <c r="C364" s="197">
        <f t="shared" si="1"/>
        <v>1</v>
      </c>
      <c r="D364" s="20" t="s">
        <v>2789</v>
      </c>
      <c r="E364" s="20">
        <v>1.0</v>
      </c>
    </row>
    <row r="365">
      <c r="A365" s="196"/>
      <c r="B365" s="197" t="str">
        <f>IFERROR(__xludf.DUMMYFUNCTION("""COMPUTED_VALUE"""),"Jailwalker")</f>
        <v>Jailwalker</v>
      </c>
      <c r="C365" s="197">
        <f t="shared" si="1"/>
        <v>1</v>
      </c>
      <c r="D365" s="20" t="s">
        <v>2790</v>
      </c>
      <c r="E365" s="20">
        <v>1.0</v>
      </c>
    </row>
    <row r="366">
      <c r="A366" s="196"/>
      <c r="B366" s="197" t="str">
        <f>IFERROR(__xludf.DUMMYFUNCTION("""COMPUTED_VALUE"""),"Holy")</f>
        <v>Holy</v>
      </c>
      <c r="C366" s="197">
        <f t="shared" si="1"/>
        <v>1</v>
      </c>
      <c r="D366" s="20" t="s">
        <v>2791</v>
      </c>
      <c r="E366" s="20">
        <v>1.0</v>
      </c>
    </row>
    <row r="367">
      <c r="A367" s="196" t="str">
        <f>IFERROR(__xludf.DUMMYFUNCTION("""COMPUTED_VALUE"""),"Moonspear")</f>
        <v>Moonspear</v>
      </c>
      <c r="B367" s="197" t="str">
        <f>IFERROR(__xludf.DUMMYFUNCTION("""COMPUTED_VALUE"""),"Chicken")</f>
        <v>Chicken</v>
      </c>
      <c r="C367" s="197">
        <f t="shared" si="1"/>
        <v>1</v>
      </c>
      <c r="D367" s="20" t="s">
        <v>1292</v>
      </c>
      <c r="E367" s="20">
        <v>1.0</v>
      </c>
    </row>
    <row r="368">
      <c r="A368" s="196" t="str">
        <f>IFERROR(__xludf.DUMMYFUNCTION("""COMPUTED_VALUE"""),"Paladin")</f>
        <v>Paladin</v>
      </c>
      <c r="B368" s="197" t="str">
        <f>IFERROR(__xludf.DUMMYFUNCTION("""COMPUTED_VALUE"""),"Life")</f>
        <v>Life</v>
      </c>
      <c r="C368" s="197">
        <f t="shared" si="1"/>
        <v>1</v>
      </c>
      <c r="D368" s="20" t="s">
        <v>2792</v>
      </c>
      <c r="E368" s="20">
        <v>1.0</v>
      </c>
    </row>
    <row r="369">
      <c r="A369" s="196"/>
      <c r="B369" s="197" t="str">
        <f>IFERROR(__xludf.DUMMYFUNCTION("""COMPUTED_VALUE"""),"Tree")</f>
        <v>Tree</v>
      </c>
      <c r="C369" s="197">
        <f t="shared" si="1"/>
        <v>2</v>
      </c>
      <c r="D369" s="20" t="s">
        <v>2793</v>
      </c>
      <c r="E369" s="20">
        <v>1.0</v>
      </c>
    </row>
    <row r="370">
      <c r="A370" s="196"/>
      <c r="B370" s="197" t="str">
        <f>IFERROR(__xludf.DUMMYFUNCTION("""COMPUTED_VALUE"""),"Rampart")</f>
        <v>Rampart</v>
      </c>
      <c r="C370" s="197">
        <f t="shared" si="1"/>
        <v>1</v>
      </c>
      <c r="D370" s="20" t="s">
        <v>2794</v>
      </c>
      <c r="E370" s="20">
        <v>1.0</v>
      </c>
    </row>
    <row r="371">
      <c r="A371" s="196"/>
      <c r="B371" s="197" t="str">
        <f>IFERROR(__xludf.DUMMYFUNCTION("""COMPUTED_VALUE"""),"Shellback")</f>
        <v>Shellback</v>
      </c>
      <c r="C371" s="197">
        <f t="shared" si="1"/>
        <v>1</v>
      </c>
      <c r="D371" s="20" t="s">
        <v>2795</v>
      </c>
      <c r="E371" s="20">
        <v>1.0</v>
      </c>
    </row>
    <row r="372">
      <c r="A372" s="196" t="str">
        <f>IFERROR(__xludf.DUMMYFUNCTION("""COMPUTED_VALUE"""),"Arcanum")</f>
        <v>Arcanum</v>
      </c>
      <c r="B372" s="197" t="str">
        <f>IFERROR(__xludf.DUMMYFUNCTION("""COMPUTED_VALUE"""),"Zodiac")</f>
        <v>Zodiac</v>
      </c>
      <c r="C372" s="197">
        <f t="shared" si="1"/>
        <v>1</v>
      </c>
      <c r="D372" s="20" t="s">
        <v>2796</v>
      </c>
      <c r="E372" s="20">
        <v>1.0</v>
      </c>
    </row>
    <row r="373">
      <c r="A373" s="196" t="str">
        <f>IFERROR(__xludf.DUMMYFUNCTION("""COMPUTED_VALUE"""),"Grandmaster")</f>
        <v>Grandmaster</v>
      </c>
      <c r="B373" s="197" t="str">
        <f>IFERROR(__xludf.DUMMYFUNCTION("""COMPUTED_VALUE"""),"Samurai")</f>
        <v>Samurai</v>
      </c>
      <c r="C373" s="197">
        <f t="shared" si="1"/>
        <v>1</v>
      </c>
      <c r="D373" s="20" t="s">
        <v>2797</v>
      </c>
      <c r="E373" s="20">
        <v>1.0</v>
      </c>
    </row>
    <row r="374">
      <c r="A374" s="196"/>
      <c r="B374" s="197" t="str">
        <f>IFERROR(__xludf.DUMMYFUNCTION("""COMPUTED_VALUE"""),"Scalehide")</f>
        <v>Scalehide</v>
      </c>
      <c r="C374" s="197">
        <f t="shared" si="1"/>
        <v>1</v>
      </c>
      <c r="D374" s="20" t="s">
        <v>2798</v>
      </c>
      <c r="E374" s="20">
        <v>1.0</v>
      </c>
    </row>
    <row r="375">
      <c r="A375" s="196"/>
      <c r="B375" s="197" t="str">
        <f>IFERROR(__xludf.DUMMYFUNCTION("""COMPUTED_VALUE"""),"Trapper")</f>
        <v>Trapper</v>
      </c>
      <c r="C375" s="197">
        <f t="shared" si="1"/>
        <v>1</v>
      </c>
      <c r="D375" s="20" t="s">
        <v>2799</v>
      </c>
      <c r="E375" s="20">
        <v>1.0</v>
      </c>
    </row>
    <row r="376">
      <c r="A376" s="196"/>
      <c r="B376" s="197" t="str">
        <f>IFERROR(__xludf.DUMMYFUNCTION("""COMPUTED_VALUE"""),"Crescent")</f>
        <v>Crescent</v>
      </c>
      <c r="C376" s="197">
        <f t="shared" si="1"/>
        <v>1</v>
      </c>
      <c r="D376" s="20" t="s">
        <v>2800</v>
      </c>
      <c r="E376" s="20">
        <v>1.0</v>
      </c>
    </row>
    <row r="377">
      <c r="A377" s="196" t="str">
        <f>IFERROR(__xludf.DUMMYFUNCTION("""COMPUTED_VALUE"""),"Auraborne")</f>
        <v>Auraborne</v>
      </c>
      <c r="B377" s="197" t="str">
        <f>IFERROR(__xludf.DUMMYFUNCTION("""COMPUTED_VALUE"""),"Trapmaster")</f>
        <v>Trapmaster</v>
      </c>
      <c r="C377" s="197">
        <f t="shared" si="1"/>
        <v>1</v>
      </c>
      <c r="D377" s="20" t="s">
        <v>2801</v>
      </c>
      <c r="E377" s="20">
        <v>1.0</v>
      </c>
    </row>
    <row r="378">
      <c r="A378" s="196" t="str">
        <f>IFERROR(__xludf.DUMMYFUNCTION("""COMPUTED_VALUE"""),"Wyvern")</f>
        <v>Wyvern</v>
      </c>
      <c r="B378" s="197" t="str">
        <f>IFERROR(__xludf.DUMMYFUNCTION("""COMPUTED_VALUE"""),"Gemcrazed")</f>
        <v>Gemcrazed</v>
      </c>
      <c r="C378" s="197">
        <f t="shared" si="1"/>
        <v>1</v>
      </c>
      <c r="D378" s="20" t="s">
        <v>2802</v>
      </c>
      <c r="E378" s="20">
        <v>1.0</v>
      </c>
    </row>
    <row r="379">
      <c r="A379" s="196"/>
      <c r="B379" s="197" t="str">
        <f>IFERROR(__xludf.DUMMYFUNCTION("""COMPUTED_VALUE"""),"Clown")</f>
        <v>Clown</v>
      </c>
      <c r="C379" s="197">
        <f t="shared" si="1"/>
        <v>1</v>
      </c>
      <c r="D379" s="20" t="s">
        <v>2803</v>
      </c>
      <c r="E379" s="20">
        <v>1.0</v>
      </c>
    </row>
    <row r="380">
      <c r="A380" s="196"/>
      <c r="B380" s="197" t="str">
        <f>IFERROR(__xludf.DUMMYFUNCTION("""COMPUTED_VALUE"""),"Augur")</f>
        <v>Augur</v>
      </c>
      <c r="C380" s="197">
        <f t="shared" si="1"/>
        <v>1</v>
      </c>
      <c r="D380" s="20" t="s">
        <v>2804</v>
      </c>
      <c r="E380" s="20">
        <v>1.0</v>
      </c>
    </row>
    <row r="381">
      <c r="A381" s="196"/>
      <c r="B381" s="197" t="str">
        <f>IFERROR(__xludf.DUMMYFUNCTION("""COMPUTED_VALUE"""),"Sanguine")</f>
        <v>Sanguine</v>
      </c>
      <c r="C381" s="197">
        <f t="shared" si="1"/>
        <v>2</v>
      </c>
      <c r="D381" s="20" t="s">
        <v>2805</v>
      </c>
      <c r="E381" s="20">
        <v>1.0</v>
      </c>
    </row>
    <row r="382">
      <c r="A382" s="196" t="str">
        <f>IFERROR(__xludf.DUMMYFUNCTION("""COMPUTED_VALUE"""),"Blazecharm")</f>
        <v>Blazecharm</v>
      </c>
      <c r="B382" s="197" t="str">
        <f>IFERROR(__xludf.DUMMYFUNCTION("""COMPUTED_VALUE"""),"Student")</f>
        <v>Student</v>
      </c>
      <c r="C382" s="197">
        <f t="shared" si="1"/>
        <v>1</v>
      </c>
      <c r="D382" s="20" t="s">
        <v>2806</v>
      </c>
      <c r="E382" s="20">
        <v>1.0</v>
      </c>
    </row>
    <row r="383">
      <c r="A383" s="196" t="str">
        <f>IFERROR(__xludf.DUMMYFUNCTION("""COMPUTED_VALUE"""),"Kitsune")</f>
        <v>Kitsune</v>
      </c>
      <c r="B383" s="197" t="str">
        <f>IFERROR(__xludf.DUMMYFUNCTION("""COMPUTED_VALUE"""),"Shade")</f>
        <v>Shade</v>
      </c>
      <c r="C383" s="197">
        <f t="shared" si="1"/>
        <v>1</v>
      </c>
      <c r="D383" s="20" t="s">
        <v>2807</v>
      </c>
      <c r="E383" s="20">
        <v>1.0</v>
      </c>
    </row>
    <row r="384">
      <c r="A384" s="196"/>
      <c r="B384" s="197" t="str">
        <f>IFERROR(__xludf.DUMMYFUNCTION("""COMPUTED_VALUE"""),"in")</f>
        <v>in</v>
      </c>
      <c r="C384" s="197">
        <f t="shared" si="1"/>
        <v>1</v>
      </c>
      <c r="D384" s="20" t="s">
        <v>2808</v>
      </c>
      <c r="E384" s="20">
        <v>1.0</v>
      </c>
    </row>
    <row r="385">
      <c r="A385" s="196"/>
      <c r="B385" s="197" t="str">
        <f>IFERROR(__xludf.DUMMYFUNCTION("""COMPUTED_VALUE"""),"Alley")</f>
        <v>Alley</v>
      </c>
      <c r="C385" s="197">
        <f t="shared" si="1"/>
        <v>1</v>
      </c>
      <c r="D385" s="20" t="s">
        <v>2809</v>
      </c>
      <c r="E385" s="20">
        <v>1.0</v>
      </c>
    </row>
    <row r="386">
      <c r="A386" s="196"/>
      <c r="B386" s="197" t="str">
        <f>IFERROR(__xludf.DUMMYFUNCTION("""COMPUTED_VALUE"""),"Vindictive")</f>
        <v>Vindictive</v>
      </c>
      <c r="C386" s="197">
        <f t="shared" si="1"/>
        <v>1</v>
      </c>
      <c r="D386" s="20" t="s">
        <v>2810</v>
      </c>
      <c r="E386" s="20">
        <v>1.0</v>
      </c>
    </row>
    <row r="387">
      <c r="A387" s="196" t="str">
        <f>IFERROR(__xludf.DUMMYFUNCTION("""COMPUTED_VALUE"""),"Glowing")</f>
        <v>Glowing</v>
      </c>
      <c r="B387" s="197" t="str">
        <f>IFERROR(__xludf.DUMMYFUNCTION("""COMPUTED_VALUE"""),"Forsaken")</f>
        <v>Forsaken</v>
      </c>
      <c r="C387" s="197">
        <f t="shared" si="1"/>
        <v>5</v>
      </c>
      <c r="D387" s="20" t="s">
        <v>2811</v>
      </c>
      <c r="E387" s="20">
        <v>1.0</v>
      </c>
    </row>
    <row r="388">
      <c r="A388" s="196" t="str">
        <f>IFERROR(__xludf.DUMMYFUNCTION("""COMPUTED_VALUE"""),"Gearhulk")</f>
        <v>Gearhulk</v>
      </c>
      <c r="B388" s="197" t="str">
        <f>IFERROR(__xludf.DUMMYFUNCTION("""COMPUTED_VALUE"""),"Willing")</f>
        <v>Willing</v>
      </c>
      <c r="C388" s="197">
        <f t="shared" si="1"/>
        <v>1</v>
      </c>
      <c r="D388" s="20" t="s">
        <v>2812</v>
      </c>
      <c r="E388" s="20">
        <v>1.0</v>
      </c>
    </row>
    <row r="389">
      <c r="A389" s="196"/>
      <c r="B389" s="197" t="str">
        <f>IFERROR(__xludf.DUMMYFUNCTION("""COMPUTED_VALUE"""),"Sacrifice")</f>
        <v>Sacrifice</v>
      </c>
      <c r="C389" s="197">
        <f t="shared" si="1"/>
        <v>1</v>
      </c>
      <c r="D389" s="20" t="s">
        <v>2813</v>
      </c>
      <c r="E389" s="20">
        <v>1.0</v>
      </c>
    </row>
    <row r="390">
      <c r="A390" s="196"/>
      <c r="B390" s="197" t="str">
        <f>IFERROR(__xludf.DUMMYFUNCTION("""COMPUTED_VALUE"""),"Harpooneer")</f>
        <v>Harpooneer</v>
      </c>
      <c r="C390" s="197">
        <f t="shared" si="1"/>
        <v>1</v>
      </c>
      <c r="D390" s="20" t="s">
        <v>2814</v>
      </c>
      <c r="E390" s="20">
        <v>1.0</v>
      </c>
    </row>
    <row r="391">
      <c r="A391" s="196"/>
      <c r="B391" s="197" t="str">
        <f>IFERROR(__xludf.DUMMYFUNCTION("""COMPUTED_VALUE"""),"Gold")</f>
        <v>Gold</v>
      </c>
      <c r="C391" s="197">
        <f t="shared" si="1"/>
        <v>1</v>
      </c>
      <c r="D391" s="20" t="s">
        <v>2815</v>
      </c>
      <c r="E391" s="20">
        <v>1.0</v>
      </c>
    </row>
    <row r="392">
      <c r="A392" s="196" t="str">
        <f>IFERROR(__xludf.DUMMYFUNCTION("""COMPUTED_VALUE"""),"Boiling")</f>
        <v>Boiling</v>
      </c>
      <c r="B392" s="197" t="str">
        <f>IFERROR(__xludf.DUMMYFUNCTION("""COMPUTED_VALUE"""),"Colibri")</f>
        <v>Colibri</v>
      </c>
      <c r="C392" s="197">
        <f t="shared" si="1"/>
        <v>1</v>
      </c>
      <c r="D392" s="20" t="s">
        <v>2816</v>
      </c>
      <c r="E392" s="20">
        <v>1.0</v>
      </c>
    </row>
    <row r="393">
      <c r="A393" s="196" t="str">
        <f>IFERROR(__xludf.DUMMYFUNCTION("""COMPUTED_VALUE"""),"Blood")</f>
        <v>Blood</v>
      </c>
      <c r="B393" s="197" t="str">
        <f>IFERROR(__xludf.DUMMYFUNCTION("""COMPUTED_VALUE"""),"Greedy")</f>
        <v>Greedy</v>
      </c>
      <c r="C393" s="197">
        <f t="shared" si="1"/>
        <v>1</v>
      </c>
      <c r="D393" s="20" t="s">
        <v>2817</v>
      </c>
      <c r="E393" s="20">
        <v>1.0</v>
      </c>
    </row>
    <row r="394">
      <c r="A394" s="196" t="str">
        <f>IFERROR(__xludf.DUMMYFUNCTION("""COMPUTED_VALUE"""),"Berserker")</f>
        <v>Berserker</v>
      </c>
      <c r="B394" s="197" t="str">
        <f>IFERROR(__xludf.DUMMYFUNCTION("""COMPUTED_VALUE"""),"Senator")</f>
        <v>Senator</v>
      </c>
      <c r="C394" s="197">
        <f t="shared" si="1"/>
        <v>1</v>
      </c>
      <c r="D394" s="20" t="s">
        <v>2818</v>
      </c>
      <c r="E394" s="20">
        <v>1.0</v>
      </c>
    </row>
    <row r="395">
      <c r="A395" s="196"/>
      <c r="B395" s="197" t="str">
        <f>IFERROR(__xludf.DUMMYFUNCTION("""COMPUTED_VALUE"""),"Armordillo")</f>
        <v>Armordillo</v>
      </c>
      <c r="C395" s="197">
        <f t="shared" si="1"/>
        <v>1</v>
      </c>
      <c r="D395" s="20" t="s">
        <v>2819</v>
      </c>
      <c r="E395" s="20">
        <v>1.0</v>
      </c>
    </row>
    <row r="396">
      <c r="A396" s="196"/>
      <c r="B396" s="197" t="str">
        <f>IFERROR(__xludf.DUMMYFUNCTION("""COMPUTED_VALUE"""),"Paragon")</f>
        <v>Paragon</v>
      </c>
      <c r="C396" s="197">
        <f t="shared" si="1"/>
        <v>1</v>
      </c>
      <c r="D396" s="20" t="s">
        <v>2820</v>
      </c>
      <c r="E396" s="20">
        <v>1.0</v>
      </c>
    </row>
    <row r="397">
      <c r="A397" s="196" t="str">
        <f>IFERROR(__xludf.DUMMYFUNCTION("""COMPUTED_VALUE"""),"Goat")</f>
        <v>Goat</v>
      </c>
      <c r="B397" s="197" t="str">
        <f>IFERROR(__xludf.DUMMYFUNCTION("""COMPUTED_VALUE"""),"Conquest")</f>
        <v>Conquest</v>
      </c>
      <c r="C397" s="197">
        <f t="shared" si="1"/>
        <v>1</v>
      </c>
      <c r="D397" s="20" t="s">
        <v>2821</v>
      </c>
      <c r="E397" s="20">
        <v>1.0</v>
      </c>
    </row>
    <row r="398">
      <c r="A398" s="196" t="str">
        <f>IFERROR(__xludf.DUMMYFUNCTION("""COMPUTED_VALUE"""),"Oracle")</f>
        <v>Oracle</v>
      </c>
      <c r="B398" s="197" t="str">
        <f>IFERROR(__xludf.DUMMYFUNCTION("""COMPUTED_VALUE"""),"Tilling")</f>
        <v>Tilling</v>
      </c>
      <c r="C398" s="197">
        <f t="shared" si="1"/>
        <v>1</v>
      </c>
      <c r="D398" s="20" t="s">
        <v>2822</v>
      </c>
      <c r="E398" s="20">
        <v>1.0</v>
      </c>
    </row>
    <row r="399">
      <c r="A399" s="196"/>
      <c r="B399" s="197" t="str">
        <f>IFERROR(__xludf.DUMMYFUNCTION("""COMPUTED_VALUE"""),"Yoke")</f>
        <v>Yoke</v>
      </c>
      <c r="C399" s="197">
        <f t="shared" si="1"/>
        <v>1</v>
      </c>
      <c r="D399" s="20" t="s">
        <v>2823</v>
      </c>
      <c r="E399" s="20">
        <v>1.0</v>
      </c>
    </row>
    <row r="400">
      <c r="A400" s="196"/>
      <c r="B400" s="197" t="str">
        <f>IFERROR(__xludf.DUMMYFUNCTION("""COMPUTED_VALUE"""),"Beast")</f>
        <v>Beast</v>
      </c>
      <c r="C400" s="197">
        <f t="shared" si="1"/>
        <v>1</v>
      </c>
      <c r="D400" s="20" t="s">
        <v>2824</v>
      </c>
      <c r="E400" s="20">
        <v>1.0</v>
      </c>
    </row>
    <row r="401">
      <c r="A401" s="196"/>
      <c r="B401" s="197" t="str">
        <f>IFERROR(__xludf.DUMMYFUNCTION("""COMPUTED_VALUE"""),"Blossombeast")</f>
        <v>Blossombeast</v>
      </c>
      <c r="C401" s="197">
        <f t="shared" si="1"/>
        <v>1</v>
      </c>
      <c r="D401" s="20" t="s">
        <v>2825</v>
      </c>
      <c r="E401" s="20">
        <v>1.0</v>
      </c>
    </row>
    <row r="402">
      <c r="A402" s="196" t="str">
        <f>IFERROR(__xludf.DUMMYFUNCTION("""COMPUTED_VALUE"""),"Tranquil")</f>
        <v>Tranquil</v>
      </c>
      <c r="B402" s="197" t="str">
        <f>IFERROR(__xludf.DUMMYFUNCTION("""COMPUTED_VALUE"""),"Bug")</f>
        <v>Bug</v>
      </c>
      <c r="C402" s="197">
        <f t="shared" si="1"/>
        <v>2</v>
      </c>
      <c r="D402" s="20" t="s">
        <v>1432</v>
      </c>
      <c r="E402" s="20">
        <v>1.0</v>
      </c>
    </row>
    <row r="403">
      <c r="A403" s="196" t="str">
        <f>IFERROR(__xludf.DUMMYFUNCTION("""COMPUTED_VALUE"""),"Herd")</f>
        <v>Herd</v>
      </c>
      <c r="B403" s="197" t="str">
        <f>IFERROR(__xludf.DUMMYFUNCTION("""COMPUTED_VALUE"""),"Curator")</f>
        <v>Curator</v>
      </c>
      <c r="C403" s="197">
        <f t="shared" si="1"/>
        <v>1</v>
      </c>
      <c r="D403" s="20" t="s">
        <v>2826</v>
      </c>
      <c r="E403" s="20">
        <v>1.0</v>
      </c>
    </row>
    <row r="404">
      <c r="A404" s="196" t="str">
        <f>IFERROR(__xludf.DUMMYFUNCTION("""COMPUTED_VALUE"""),"Sagehorn")</f>
        <v>Sagehorn</v>
      </c>
      <c r="B404" s="197" t="str">
        <f>IFERROR(__xludf.DUMMYFUNCTION("""COMPUTED_VALUE"""),"Buzzing")</f>
        <v>Buzzing</v>
      </c>
      <c r="C404" s="197">
        <f t="shared" si="1"/>
        <v>1</v>
      </c>
      <c r="D404" s="20" t="s">
        <v>2827</v>
      </c>
      <c r="E404" s="20">
        <v>1.0</v>
      </c>
    </row>
    <row r="405">
      <c r="A405" s="196"/>
      <c r="B405" s="197" t="str">
        <f>IFERROR(__xludf.DUMMYFUNCTION("""COMPUTED_VALUE"""),"Hivetitan")</f>
        <v>Hivetitan</v>
      </c>
      <c r="C405" s="197">
        <f t="shared" si="1"/>
        <v>1</v>
      </c>
      <c r="D405" s="20" t="s">
        <v>2828</v>
      </c>
      <c r="E405" s="20">
        <v>1.0</v>
      </c>
    </row>
    <row r="406">
      <c r="A406" s="196"/>
      <c r="B406" s="197" t="str">
        <f>IFERROR(__xludf.DUMMYFUNCTION("""COMPUTED_VALUE"""),"Caleidoscope")</f>
        <v>Caleidoscope</v>
      </c>
      <c r="C406" s="197">
        <f t="shared" si="1"/>
        <v>1</v>
      </c>
      <c r="D406" s="20" t="s">
        <v>2829</v>
      </c>
      <c r="E406" s="20">
        <v>1.0</v>
      </c>
    </row>
    <row r="407">
      <c r="A407" s="196" t="str">
        <f>IFERROR(__xludf.DUMMYFUNCTION("""COMPUTED_VALUE"""),"Sunblessed")</f>
        <v>Sunblessed</v>
      </c>
      <c r="B407" s="197" t="str">
        <f>IFERROR(__xludf.DUMMYFUNCTION("""COMPUTED_VALUE"""),"Spider")</f>
        <v>Spider</v>
      </c>
      <c r="C407" s="197">
        <f t="shared" si="1"/>
        <v>1</v>
      </c>
      <c r="D407" s="20" t="s">
        <v>2830</v>
      </c>
      <c r="E407" s="20">
        <v>1.0</v>
      </c>
    </row>
    <row r="408">
      <c r="A408" s="196" t="str">
        <f>IFERROR(__xludf.DUMMYFUNCTION("""COMPUTED_VALUE"""),"Crocodile")</f>
        <v>Crocodile</v>
      </c>
      <c r="B408" s="197" t="str">
        <f>IFERROR(__xludf.DUMMYFUNCTION("""COMPUTED_VALUE"""),"Emberblade")</f>
        <v>Emberblade</v>
      </c>
      <c r="C408" s="197">
        <f t="shared" si="1"/>
        <v>1</v>
      </c>
      <c r="D408" s="20" t="s">
        <v>2831</v>
      </c>
      <c r="E408" s="20">
        <v>1.0</v>
      </c>
    </row>
    <row r="409">
      <c r="A409" s="196"/>
      <c r="B409" s="197" t="str">
        <f>IFERROR(__xludf.DUMMYFUNCTION("""COMPUTED_VALUE"""),"Senatorial")</f>
        <v>Senatorial</v>
      </c>
      <c r="C409" s="197">
        <f t="shared" si="1"/>
        <v>1</v>
      </c>
      <c r="D409" s="20" t="s">
        <v>2832</v>
      </c>
      <c r="E409" s="20">
        <v>1.0</v>
      </c>
    </row>
    <row r="410">
      <c r="A410" s="196"/>
      <c r="B410" s="197" t="str">
        <f>IFERROR(__xludf.DUMMYFUNCTION("""COMPUTED_VALUE"""),"Phalanx")</f>
        <v>Phalanx</v>
      </c>
      <c r="C410" s="197">
        <f t="shared" si="1"/>
        <v>1</v>
      </c>
      <c r="D410" s="20" t="s">
        <v>2833</v>
      </c>
      <c r="E410" s="20">
        <v>1.0</v>
      </c>
    </row>
    <row r="411">
      <c r="A411" s="196"/>
      <c r="B411" s="197" t="str">
        <f>IFERROR(__xludf.DUMMYFUNCTION("""COMPUTED_VALUE"""),"Ferromancer")</f>
        <v>Ferromancer</v>
      </c>
      <c r="C411" s="197">
        <f t="shared" si="1"/>
        <v>1</v>
      </c>
      <c r="D411" s="20" t="s">
        <v>2834</v>
      </c>
      <c r="E411" s="20">
        <v>1.0</v>
      </c>
    </row>
    <row r="412">
      <c r="A412" s="196" t="str">
        <f>IFERROR(__xludf.DUMMYFUNCTION("""COMPUTED_VALUE"""),"Kois")</f>
        <v>Kois</v>
      </c>
      <c r="B412" s="197" t="str">
        <f>IFERROR(__xludf.DUMMYFUNCTION("""COMPUTED_VALUE"""),"Frontier")</f>
        <v>Frontier</v>
      </c>
      <c r="C412" s="197">
        <f t="shared" si="1"/>
        <v>1</v>
      </c>
      <c r="D412" s="20" t="s">
        <v>2835</v>
      </c>
      <c r="E412" s="20">
        <v>1.0</v>
      </c>
    </row>
    <row r="413">
      <c r="A413" s="196" t="str">
        <f>IFERROR(__xludf.DUMMYFUNCTION("""COMPUTED_VALUE"""),"of")</f>
        <v>of</v>
      </c>
      <c r="B413" s="197" t="str">
        <f>IFERROR(__xludf.DUMMYFUNCTION("""COMPUTED_VALUE"""),"Centurion")</f>
        <v>Centurion</v>
      </c>
      <c r="C413" s="197">
        <f t="shared" si="1"/>
        <v>1</v>
      </c>
      <c r="D413" s="20" t="s">
        <v>2836</v>
      </c>
      <c r="E413" s="20">
        <v>1.0</v>
      </c>
    </row>
    <row r="414">
      <c r="A414" s="196" t="str">
        <f>IFERROR(__xludf.DUMMYFUNCTION("""COMPUTED_VALUE"""),"Duality")</f>
        <v>Duality</v>
      </c>
      <c r="B414" s="197" t="str">
        <f>IFERROR(__xludf.DUMMYFUNCTION("""COMPUTED_VALUE"""),"Saboteur")</f>
        <v>Saboteur</v>
      </c>
      <c r="C414" s="197">
        <f t="shared" si="1"/>
        <v>1</v>
      </c>
      <c r="D414" s="20" t="s">
        <v>2837</v>
      </c>
      <c r="E414" s="20">
        <v>1.0</v>
      </c>
    </row>
    <row r="415">
      <c r="A415" s="196"/>
      <c r="B415" s="197" t="str">
        <f>IFERROR(__xludf.DUMMYFUNCTION("""COMPUTED_VALUE"""),"Rustblood")</f>
        <v>Rustblood</v>
      </c>
      <c r="C415" s="197">
        <f t="shared" si="1"/>
        <v>1</v>
      </c>
      <c r="D415" s="20" t="s">
        <v>2838</v>
      </c>
      <c r="E415" s="20">
        <v>1.0</v>
      </c>
    </row>
    <row r="416">
      <c r="A416" s="196"/>
      <c r="B416" s="197" t="str">
        <f>IFERROR(__xludf.DUMMYFUNCTION("""COMPUTED_VALUE"""),"Fairgrove")</f>
        <v>Fairgrove</v>
      </c>
      <c r="C416" s="197">
        <f t="shared" si="1"/>
        <v>1</v>
      </c>
      <c r="D416" s="20" t="s">
        <v>2839</v>
      </c>
      <c r="E416" s="20">
        <v>1.0</v>
      </c>
    </row>
    <row r="417">
      <c r="A417" s="196" t="str">
        <f>IFERROR(__xludf.DUMMYFUNCTION("""COMPUTED_VALUE"""),"Ivoryscar")</f>
        <v>Ivoryscar</v>
      </c>
      <c r="B417" s="197" t="str">
        <f>IFERROR(__xludf.DUMMYFUNCTION("""COMPUTED_VALUE"""),"Dryad")</f>
        <v>Dryad</v>
      </c>
      <c r="C417" s="197">
        <f t="shared" si="1"/>
        <v>1</v>
      </c>
      <c r="D417" s="20" t="s">
        <v>2840</v>
      </c>
      <c r="E417" s="20">
        <v>1.0</v>
      </c>
    </row>
    <row r="418">
      <c r="A418" s="196" t="str">
        <f>IFERROR(__xludf.DUMMYFUNCTION("""COMPUTED_VALUE"""),"Eclipsion")</f>
        <v>Eclipsion</v>
      </c>
      <c r="B418" s="197" t="str">
        <f>IFERROR(__xludf.DUMMYFUNCTION("""COMPUTED_VALUE"""),"Fairy")</f>
        <v>Fairy</v>
      </c>
      <c r="C418" s="197">
        <f t="shared" si="1"/>
        <v>1</v>
      </c>
      <c r="D418" s="20" t="s">
        <v>1500</v>
      </c>
      <c r="E418" s="20">
        <v>1.0</v>
      </c>
    </row>
    <row r="419">
      <c r="A419" s="196"/>
      <c r="B419" s="197" t="str">
        <f>IFERROR(__xludf.DUMMYFUNCTION("""COMPUTED_VALUE"""),"Fountain")</f>
        <v>Fountain</v>
      </c>
      <c r="C419" s="197">
        <f t="shared" si="1"/>
        <v>1</v>
      </c>
      <c r="D419" s="20" t="s">
        <v>2841</v>
      </c>
      <c r="E419" s="20">
        <v>1.0</v>
      </c>
    </row>
    <row r="420">
      <c r="A420" s="196"/>
      <c r="B420" s="197" t="str">
        <f>IFERROR(__xludf.DUMMYFUNCTION("""COMPUTED_VALUE"""),"Harvest")</f>
        <v>Harvest</v>
      </c>
      <c r="C420" s="197">
        <f t="shared" si="1"/>
        <v>1</v>
      </c>
      <c r="D420" s="20" t="s">
        <v>2842</v>
      </c>
      <c r="E420" s="20">
        <v>1.0</v>
      </c>
    </row>
    <row r="421">
      <c r="A421" s="196"/>
      <c r="B421" s="197" t="str">
        <f>IFERROR(__xludf.DUMMYFUNCTION("""COMPUTED_VALUE"""),"Sanctifier")</f>
        <v>Sanctifier</v>
      </c>
      <c r="C421" s="197">
        <f t="shared" si="1"/>
        <v>1</v>
      </c>
      <c r="D421" s="20" t="s">
        <v>2843</v>
      </c>
      <c r="E421" s="20">
        <v>1.0</v>
      </c>
    </row>
    <row r="422">
      <c r="A422" s="196" t="str">
        <f>IFERROR(__xludf.DUMMYFUNCTION("""COMPUTED_VALUE"""),"Fallen")</f>
        <v>Fallen</v>
      </c>
      <c r="B422" s="197" t="str">
        <f>IFERROR(__xludf.DUMMYFUNCTION("""COMPUTED_VALUE"""),"Goliath")</f>
        <v>Goliath</v>
      </c>
      <c r="C422" s="197">
        <f t="shared" si="1"/>
        <v>1</v>
      </c>
      <c r="D422" s="20" t="s">
        <v>2844</v>
      </c>
      <c r="E422" s="20">
        <v>1.0</v>
      </c>
    </row>
    <row r="423">
      <c r="A423" s="196" t="str">
        <f>IFERROR(__xludf.DUMMYFUNCTION("""COMPUTED_VALUE"""),"Angel")</f>
        <v>Angel</v>
      </c>
      <c r="B423" s="197" t="str">
        <f>IFERROR(__xludf.DUMMYFUNCTION("""COMPUTED_VALUE"""),"Green")</f>
        <v>Green</v>
      </c>
      <c r="C423" s="197">
        <f t="shared" si="1"/>
        <v>2</v>
      </c>
      <c r="D423" s="20" t="s">
        <v>2845</v>
      </c>
      <c r="E423" s="20">
        <v>1.0</v>
      </c>
    </row>
    <row r="424">
      <c r="A424" s="196"/>
      <c r="B424" s="197" t="str">
        <f>IFERROR(__xludf.DUMMYFUNCTION("""COMPUTED_VALUE"""),"Grizzly")</f>
        <v>Grizzly</v>
      </c>
      <c r="C424" s="197">
        <f t="shared" si="1"/>
        <v>1</v>
      </c>
      <c r="D424" s="20" t="s">
        <v>1523</v>
      </c>
      <c r="E424" s="20">
        <v>1.0</v>
      </c>
    </row>
    <row r="425">
      <c r="A425" s="196"/>
      <c r="B425" s="197" t="str">
        <f>IFERROR(__xludf.DUMMYFUNCTION("""COMPUTED_VALUE"""),"Trap")</f>
        <v>Trap</v>
      </c>
      <c r="C425" s="197">
        <f t="shared" si="1"/>
        <v>1</v>
      </c>
      <c r="D425" s="20" t="s">
        <v>2846</v>
      </c>
      <c r="E425" s="20">
        <v>1.0</v>
      </c>
    </row>
    <row r="426">
      <c r="A426" s="196"/>
      <c r="B426" s="197" t="str">
        <f>IFERROR(__xludf.DUMMYFUNCTION("""COMPUTED_VALUE"""),"Volatile")</f>
        <v>Volatile</v>
      </c>
      <c r="C426" s="197">
        <f t="shared" si="1"/>
        <v>1</v>
      </c>
      <c r="D426" s="20" t="s">
        <v>2847</v>
      </c>
      <c r="E426" s="20">
        <v>1.0</v>
      </c>
    </row>
    <row r="427">
      <c r="A427" s="196" t="str">
        <f>IFERROR(__xludf.DUMMYFUNCTION("""COMPUTED_VALUE"""),"Diamond")</f>
        <v>Diamond</v>
      </c>
      <c r="B427" s="197" t="str">
        <f>IFERROR(__xludf.DUMMYFUNCTION("""COMPUTED_VALUE"""),"Battlemage")</f>
        <v>Battlemage</v>
      </c>
      <c r="C427" s="197">
        <f t="shared" si="1"/>
        <v>1</v>
      </c>
      <c r="D427" s="20" t="s">
        <v>2848</v>
      </c>
      <c r="E427" s="20">
        <v>1.0</v>
      </c>
    </row>
    <row r="428">
      <c r="A428" s="196" t="str">
        <f>IFERROR(__xludf.DUMMYFUNCTION("""COMPUTED_VALUE"""),"Phantom")</f>
        <v>Phantom</v>
      </c>
      <c r="B428" s="197" t="str">
        <f>IFERROR(__xludf.DUMMYFUNCTION("""COMPUTED_VALUE"""),"Ordinary")</f>
        <v>Ordinary</v>
      </c>
      <c r="C428" s="197">
        <f t="shared" si="1"/>
        <v>1</v>
      </c>
      <c r="D428" s="20" t="s">
        <v>2849</v>
      </c>
      <c r="E428" s="20">
        <v>1.0</v>
      </c>
    </row>
    <row r="429">
      <c r="A429" s="196"/>
      <c r="B429" s="197" t="str">
        <f>IFERROR(__xludf.DUMMYFUNCTION("""COMPUTED_VALUE"""),"Flower")</f>
        <v>Flower</v>
      </c>
      <c r="C429" s="197">
        <f t="shared" si="1"/>
        <v>1</v>
      </c>
      <c r="D429" s="20" t="s">
        <v>2850</v>
      </c>
      <c r="E429" s="20">
        <v>1.0</v>
      </c>
    </row>
    <row r="430">
      <c r="A430" s="196"/>
      <c r="B430" s="197" t="str">
        <f>IFERROR(__xludf.DUMMYFUNCTION("""COMPUTED_VALUE"""),"Pot")</f>
        <v>Pot</v>
      </c>
      <c r="C430" s="197">
        <f t="shared" si="1"/>
        <v>1</v>
      </c>
      <c r="D430" s="20" t="s">
        <v>2851</v>
      </c>
      <c r="E430" s="20">
        <v>1.0</v>
      </c>
    </row>
    <row r="431">
      <c r="A431" s="196"/>
      <c r="B431" s="197" t="str">
        <f>IFERROR(__xludf.DUMMYFUNCTION("""COMPUTED_VALUE"""),"Ancient")</f>
        <v>Ancient</v>
      </c>
      <c r="C431" s="197">
        <f t="shared" si="1"/>
        <v>3</v>
      </c>
      <c r="D431" s="20" t="s">
        <v>2852</v>
      </c>
      <c r="E431" s="20">
        <v>1.0</v>
      </c>
    </row>
    <row r="432">
      <c r="A432" s="196" t="str">
        <f>IFERROR(__xludf.DUMMYFUNCTION("""COMPUTED_VALUE"""),"Draconic")</f>
        <v>Draconic</v>
      </c>
      <c r="B432" s="197" t="str">
        <f>IFERROR(__xludf.DUMMYFUNCTION("""COMPUTED_VALUE"""),"Scholar")</f>
        <v>Scholar</v>
      </c>
      <c r="C432" s="197">
        <f t="shared" si="1"/>
        <v>1</v>
      </c>
      <c r="D432" s="20" t="s">
        <v>2853</v>
      </c>
      <c r="E432" s="20">
        <v>1.0</v>
      </c>
    </row>
    <row r="433">
      <c r="A433" s="196" t="str">
        <f>IFERROR(__xludf.DUMMYFUNCTION("""COMPUTED_VALUE"""),"Highpriest")</f>
        <v>Highpriest</v>
      </c>
      <c r="B433" s="197" t="str">
        <f>IFERROR(__xludf.DUMMYFUNCTION("""COMPUTED_VALUE"""),"Little")</f>
        <v>Little</v>
      </c>
      <c r="C433" s="197">
        <f t="shared" si="1"/>
        <v>1</v>
      </c>
      <c r="D433" s="20" t="s">
        <v>1557</v>
      </c>
      <c r="E433" s="20">
        <v>1.0</v>
      </c>
    </row>
    <row r="434">
      <c r="A434" s="196"/>
      <c r="B434" s="197" t="str">
        <f>IFERROR(__xludf.DUMMYFUNCTION("""COMPUTED_VALUE"""),"Lamb")</f>
        <v>Lamb</v>
      </c>
      <c r="C434" s="197">
        <f t="shared" si="1"/>
        <v>1</v>
      </c>
      <c r="D434" s="20" t="s">
        <v>2854</v>
      </c>
      <c r="E434" s="20">
        <v>1.0</v>
      </c>
    </row>
    <row r="435">
      <c r="A435" s="196"/>
      <c r="B435" s="197" t="str">
        <f>IFERROR(__xludf.DUMMYFUNCTION("""COMPUTED_VALUE"""),"Weaponized")</f>
        <v>Weaponized</v>
      </c>
      <c r="C435" s="197">
        <f t="shared" si="1"/>
        <v>1</v>
      </c>
      <c r="D435" s="20" t="s">
        <v>2855</v>
      </c>
      <c r="E435" s="20">
        <v>1.0</v>
      </c>
    </row>
    <row r="436">
      <c r="A436" s="196"/>
      <c r="B436" s="197" t="str">
        <f>IFERROR(__xludf.DUMMYFUNCTION("""COMPUTED_VALUE"""),"Pest")</f>
        <v>Pest</v>
      </c>
      <c r="C436" s="197">
        <f t="shared" si="1"/>
        <v>1</v>
      </c>
      <c r="D436" s="20" t="s">
        <v>2856</v>
      </c>
      <c r="E436" s="20">
        <v>1.0</v>
      </c>
    </row>
    <row r="437">
      <c r="A437" s="196" t="str">
        <f>IFERROR(__xludf.DUMMYFUNCTION("""COMPUTED_VALUE"""),"Cavern")</f>
        <v>Cavern</v>
      </c>
      <c r="B437" s="197" t="str">
        <f>IFERROR(__xludf.DUMMYFUNCTION("""COMPUTED_VALUE"""),"Beastcaster")</f>
        <v>Beastcaster</v>
      </c>
      <c r="C437" s="197">
        <f t="shared" si="1"/>
        <v>1</v>
      </c>
      <c r="D437" s="20" t="s">
        <v>1586</v>
      </c>
      <c r="E437" s="20">
        <v>1.0</v>
      </c>
    </row>
    <row r="438">
      <c r="A438" s="196" t="str">
        <f>IFERROR(__xludf.DUMMYFUNCTION("""COMPUTED_VALUE"""),"Lindwurm")</f>
        <v>Lindwurm</v>
      </c>
      <c r="B438" s="197" t="str">
        <f>IFERROR(__xludf.DUMMYFUNCTION("""COMPUTED_VALUE"""),"Trained")</f>
        <v>Trained</v>
      </c>
      <c r="C438" s="197">
        <f t="shared" si="1"/>
        <v>1</v>
      </c>
      <c r="D438" s="20" t="s">
        <v>2857</v>
      </c>
      <c r="E438" s="20">
        <v>1.0</v>
      </c>
    </row>
    <row r="439">
      <c r="A439" s="196"/>
      <c r="B439" s="197" t="str">
        <f>IFERROR(__xludf.DUMMYFUNCTION("""COMPUTED_VALUE"""),"War")</f>
        <v>War</v>
      </c>
      <c r="C439" s="197">
        <f t="shared" si="1"/>
        <v>1</v>
      </c>
      <c r="D439" s="20" t="s">
        <v>2858</v>
      </c>
      <c r="E439" s="20">
        <v>1.0</v>
      </c>
    </row>
    <row r="440">
      <c r="A440" s="196"/>
      <c r="B440" s="197" t="str">
        <f>IFERROR(__xludf.DUMMYFUNCTION("""COMPUTED_VALUE"""),"Elephant")</f>
        <v>Elephant</v>
      </c>
      <c r="C440" s="197">
        <f t="shared" si="1"/>
        <v>1</v>
      </c>
      <c r="D440" s="20" t="s">
        <v>2859</v>
      </c>
      <c r="E440" s="20">
        <v>1.0</v>
      </c>
    </row>
    <row r="441">
      <c r="A441" s="196"/>
      <c r="B441" s="197" t="str">
        <f>IFERROR(__xludf.DUMMYFUNCTION("""COMPUTED_VALUE"""),"Starborne")</f>
        <v>Starborne</v>
      </c>
      <c r="C441" s="197">
        <f t="shared" si="1"/>
        <v>1</v>
      </c>
      <c r="D441" s="20" t="s">
        <v>2860</v>
      </c>
      <c r="E441" s="20">
        <v>1.0</v>
      </c>
    </row>
    <row r="442">
      <c r="A442" s="196" t="str">
        <f>IFERROR(__xludf.DUMMYFUNCTION("""COMPUTED_VALUE"""),"Cheerful")</f>
        <v>Cheerful</v>
      </c>
      <c r="B442" s="197" t="str">
        <f>IFERROR(__xludf.DUMMYFUNCTION("""COMPUTED_VALUE"""),"Kyudo")</f>
        <v>Kyudo</v>
      </c>
      <c r="C442" s="197">
        <f t="shared" si="1"/>
        <v>1</v>
      </c>
      <c r="D442" s="20" t="s">
        <v>2861</v>
      </c>
      <c r="E442" s="20">
        <v>1.0</v>
      </c>
    </row>
    <row r="443">
      <c r="A443" s="196" t="str">
        <f>IFERROR(__xludf.DUMMYFUNCTION("""COMPUTED_VALUE"""),"Pixies")</f>
        <v>Pixies</v>
      </c>
      <c r="B443" s="197" t="str">
        <f>IFERROR(__xludf.DUMMYFUNCTION("""COMPUTED_VALUE"""),"Chalice")</f>
        <v>Chalice</v>
      </c>
      <c r="C443" s="197">
        <f t="shared" si="1"/>
        <v>1</v>
      </c>
      <c r="D443" s="20" t="s">
        <v>2862</v>
      </c>
      <c r="E443" s="20">
        <v>1.0</v>
      </c>
    </row>
    <row r="444">
      <c r="A444" s="196"/>
      <c r="B444" s="197" t="str">
        <f>IFERROR(__xludf.DUMMYFUNCTION("""COMPUTED_VALUE"""),"Bloodbrewer")</f>
        <v>Bloodbrewer</v>
      </c>
      <c r="C444" s="197">
        <f t="shared" si="1"/>
        <v>1</v>
      </c>
      <c r="D444" s="20" t="s">
        <v>2863</v>
      </c>
      <c r="E444" s="20">
        <v>1.0</v>
      </c>
    </row>
    <row r="445">
      <c r="A445" s="196"/>
      <c r="B445" s="197" t="str">
        <f>IFERROR(__xludf.DUMMYFUNCTION("""COMPUTED_VALUE"""),"Packhunting")</f>
        <v>Packhunting</v>
      </c>
      <c r="C445" s="197">
        <f t="shared" si="1"/>
        <v>1</v>
      </c>
      <c r="D445" s="20" t="s">
        <v>2864</v>
      </c>
      <c r="E445" s="20">
        <v>1.0</v>
      </c>
    </row>
    <row r="446">
      <c r="A446" s="196"/>
      <c r="B446" s="197" t="str">
        <f>IFERROR(__xludf.DUMMYFUNCTION("""COMPUTED_VALUE"""),"Crystalbeast")</f>
        <v>Crystalbeast</v>
      </c>
      <c r="C446" s="197">
        <f t="shared" si="1"/>
        <v>1</v>
      </c>
      <c r="D446" s="20" t="s">
        <v>2865</v>
      </c>
      <c r="E446" s="20">
        <v>1.0</v>
      </c>
    </row>
    <row r="447">
      <c r="A447" s="196" t="str">
        <f>IFERROR(__xludf.DUMMYFUNCTION("""COMPUTED_VALUE"""),"Cinderguard")</f>
        <v>Cinderguard</v>
      </c>
      <c r="B447" s="197" t="str">
        <f>IFERROR(__xludf.DUMMYFUNCTION("""COMPUTED_VALUE"""),"Pebble")</f>
        <v>Pebble</v>
      </c>
      <c r="C447" s="197">
        <f t="shared" si="1"/>
        <v>1</v>
      </c>
      <c r="D447" s="20" t="s">
        <v>2866</v>
      </c>
      <c r="E447" s="20">
        <v>1.0</v>
      </c>
    </row>
    <row r="448">
      <c r="A448" s="196" t="str">
        <f>IFERROR(__xludf.DUMMYFUNCTION("""COMPUTED_VALUE"""),"Scribe")</f>
        <v>Scribe</v>
      </c>
      <c r="B448" s="197" t="str">
        <f>IFERROR(__xludf.DUMMYFUNCTION("""COMPUTED_VALUE"""),"Gekko")</f>
        <v>Gekko</v>
      </c>
      <c r="C448" s="197">
        <f t="shared" si="1"/>
        <v>1</v>
      </c>
      <c r="D448" s="20" t="s">
        <v>2867</v>
      </c>
      <c r="E448" s="20">
        <v>1.0</v>
      </c>
    </row>
    <row r="449">
      <c r="A449" s="196"/>
      <c r="B449" s="197" t="str">
        <f>IFERROR(__xludf.DUMMYFUNCTION("""COMPUTED_VALUE"""),"Platinum")</f>
        <v>Platinum</v>
      </c>
      <c r="C449" s="197">
        <f t="shared" si="1"/>
        <v>1</v>
      </c>
      <c r="D449" s="20" t="s">
        <v>2868</v>
      </c>
      <c r="E449" s="20">
        <v>1.0</v>
      </c>
    </row>
    <row r="450">
      <c r="A450" s="196"/>
      <c r="B450" s="197" t="str">
        <f>IFERROR(__xludf.DUMMYFUNCTION("""COMPUTED_VALUE"""),"Ladybug")</f>
        <v>Ladybug</v>
      </c>
      <c r="C450" s="197">
        <f t="shared" si="1"/>
        <v>1</v>
      </c>
      <c r="D450" s="20" t="s">
        <v>2869</v>
      </c>
      <c r="E450" s="20">
        <v>1.0</v>
      </c>
    </row>
    <row r="451">
      <c r="A451" s="196"/>
      <c r="B451" s="197" t="str">
        <f>IFERROR(__xludf.DUMMYFUNCTION("""COMPUTED_VALUE"""),"Necromancer")</f>
        <v>Necromancer</v>
      </c>
      <c r="C451" s="197">
        <f t="shared" si="1"/>
        <v>1</v>
      </c>
      <c r="D451" s="20" t="s">
        <v>2870</v>
      </c>
      <c r="E451" s="20">
        <v>1.0</v>
      </c>
    </row>
    <row r="452">
      <c r="A452" s="196" t="str">
        <f>IFERROR(__xludf.DUMMYFUNCTION("""COMPUTED_VALUE"""),"Daredevil")</f>
        <v>Daredevil</v>
      </c>
      <c r="B452" s="197" t="str">
        <f>IFERROR(__xludf.DUMMYFUNCTION("""COMPUTED_VALUE"""),"Pollen")</f>
        <v>Pollen</v>
      </c>
      <c r="C452" s="197">
        <f t="shared" si="1"/>
        <v>1</v>
      </c>
      <c r="D452" s="20" t="s">
        <v>2871</v>
      </c>
      <c r="E452" s="20">
        <v>1.0</v>
      </c>
    </row>
    <row r="453">
      <c r="A453" s="196" t="str">
        <f>IFERROR(__xludf.DUMMYFUNCTION("""COMPUTED_VALUE"""),"Duo")</f>
        <v>Duo</v>
      </c>
      <c r="B453" s="197" t="str">
        <f>IFERROR(__xludf.DUMMYFUNCTION("""COMPUTED_VALUE"""),"Buzz")</f>
        <v>Buzz</v>
      </c>
      <c r="C453" s="197">
        <f t="shared" si="1"/>
        <v>1</v>
      </c>
      <c r="D453" s="20" t="s">
        <v>2872</v>
      </c>
      <c r="E453" s="20">
        <v>1.0</v>
      </c>
    </row>
    <row r="454">
      <c r="A454" s="196"/>
      <c r="B454" s="197" t="str">
        <f>IFERROR(__xludf.DUMMYFUNCTION("""COMPUTED_VALUE"""),"Primal")</f>
        <v>Primal</v>
      </c>
      <c r="C454" s="197">
        <f t="shared" si="1"/>
        <v>1</v>
      </c>
      <c r="D454" s="20" t="s">
        <v>2873</v>
      </c>
      <c r="E454" s="20">
        <v>1.0</v>
      </c>
    </row>
    <row r="455">
      <c r="A455" s="196"/>
      <c r="B455" s="197" t="str">
        <f>IFERROR(__xludf.DUMMYFUNCTION("""COMPUTED_VALUE"""),"Horde")</f>
        <v>Horde</v>
      </c>
      <c r="C455" s="197">
        <f t="shared" si="1"/>
        <v>1</v>
      </c>
      <c r="D455" s="20" t="s">
        <v>2874</v>
      </c>
      <c r="E455" s="20">
        <v>1.0</v>
      </c>
    </row>
    <row r="456">
      <c r="A456" s="196"/>
      <c r="B456" s="197" t="str">
        <f>IFERROR(__xludf.DUMMYFUNCTION("""COMPUTED_VALUE"""),"Prowling")</f>
        <v>Prowling</v>
      </c>
      <c r="C456" s="197">
        <f t="shared" si="1"/>
        <v>1</v>
      </c>
      <c r="D456" s="20" t="s">
        <v>2875</v>
      </c>
      <c r="E456" s="20">
        <v>1.0</v>
      </c>
    </row>
    <row r="457">
      <c r="A457" s="196" t="str">
        <f>IFERROR(__xludf.DUMMYFUNCTION("""COMPUTED_VALUE"""),"Echo")</f>
        <v>Echo</v>
      </c>
      <c r="B457" s="197" t="str">
        <f>IFERROR(__xludf.DUMMYFUNCTION("""COMPUTED_VALUE"""),"Puma")</f>
        <v>Puma</v>
      </c>
      <c r="C457" s="197">
        <f t="shared" si="1"/>
        <v>1</v>
      </c>
      <c r="D457" s="20" t="s">
        <v>1654</v>
      </c>
      <c r="E457" s="20">
        <v>1.0</v>
      </c>
    </row>
    <row r="458">
      <c r="A458" s="196" t="str">
        <f>IFERROR(__xludf.DUMMYFUNCTION("""COMPUTED_VALUE"""),"Beetle")</f>
        <v>Beetle</v>
      </c>
      <c r="B458" s="197" t="str">
        <f>IFERROR(__xludf.DUMMYFUNCTION("""COMPUTED_VALUE"""),"Crystal")</f>
        <v>Crystal</v>
      </c>
      <c r="C458" s="197">
        <f t="shared" si="1"/>
        <v>2</v>
      </c>
      <c r="D458" s="20" t="s">
        <v>2876</v>
      </c>
      <c r="E458" s="20">
        <v>1.0</v>
      </c>
    </row>
    <row r="459">
      <c r="A459" s="196"/>
      <c r="B459" s="197" t="str">
        <f>IFERROR(__xludf.DUMMYFUNCTION("""COMPUTED_VALUE"""),"Catacombs")</f>
        <v>Catacombs</v>
      </c>
      <c r="C459" s="197">
        <f t="shared" si="1"/>
        <v>1</v>
      </c>
      <c r="D459" s="20" t="s">
        <v>2877</v>
      </c>
      <c r="E459" s="20">
        <v>1.0</v>
      </c>
    </row>
    <row r="460">
      <c r="A460" s="196"/>
      <c r="B460" s="197" t="str">
        <f>IFERROR(__xludf.DUMMYFUNCTION("""COMPUTED_VALUE"""),"Aristocrat")</f>
        <v>Aristocrat</v>
      </c>
      <c r="C460" s="197">
        <f t="shared" si="1"/>
        <v>1</v>
      </c>
      <c r="D460" s="20" t="s">
        <v>2878</v>
      </c>
      <c r="E460" s="20">
        <v>1.0</v>
      </c>
    </row>
    <row r="461">
      <c r="A461" s="196"/>
      <c r="B461" s="197" t="str">
        <f>IFERROR(__xludf.DUMMYFUNCTION("""COMPUTED_VALUE"""),"Roar")</f>
        <v>Roar</v>
      </c>
      <c r="C461" s="197">
        <f t="shared" si="1"/>
        <v>1</v>
      </c>
      <c r="D461" s="20" t="s">
        <v>2879</v>
      </c>
      <c r="E461" s="20">
        <v>1.0</v>
      </c>
    </row>
    <row r="462">
      <c r="A462" s="196" t="str">
        <f>IFERROR(__xludf.DUMMYFUNCTION("""COMPUTED_VALUE"""),"Ember")</f>
        <v>Ember</v>
      </c>
      <c r="B462" s="197" t="str">
        <f>IFERROR(__xludf.DUMMYFUNCTION("""COMPUTED_VALUE"""),"from")</f>
        <v>from</v>
      </c>
      <c r="C462" s="197">
        <f t="shared" si="1"/>
        <v>2</v>
      </c>
      <c r="D462" s="20" t="s">
        <v>2880</v>
      </c>
      <c r="E462" s="20">
        <v>1.0</v>
      </c>
    </row>
    <row r="463">
      <c r="A463" s="196" t="str">
        <f>IFERROR(__xludf.DUMMYFUNCTION("""COMPUTED_VALUE"""),"Whelp")</f>
        <v>Whelp</v>
      </c>
      <c r="B463" s="197" t="str">
        <f>IFERROR(__xludf.DUMMYFUNCTION("""COMPUTED_VALUE"""),"Past")</f>
        <v>Past</v>
      </c>
      <c r="C463" s="197">
        <f t="shared" si="1"/>
        <v>1</v>
      </c>
      <c r="D463" s="20" t="s">
        <v>2881</v>
      </c>
      <c r="E463" s="20">
        <v>1.0</v>
      </c>
    </row>
    <row r="464">
      <c r="A464" s="196"/>
      <c r="B464" s="197" t="str">
        <f>IFERROR(__xludf.DUMMYFUNCTION("""COMPUTED_VALUE"""),"Rootseed")</f>
        <v>Rootseed</v>
      </c>
      <c r="C464" s="197">
        <f t="shared" si="1"/>
        <v>1</v>
      </c>
      <c r="D464" s="20" t="s">
        <v>2882</v>
      </c>
      <c r="E464" s="20">
        <v>1.0</v>
      </c>
    </row>
    <row r="465">
      <c r="A465" s="196"/>
      <c r="B465" s="197" t="str">
        <f>IFERROR(__xludf.DUMMYFUNCTION("""COMPUTED_VALUE"""),"Snapscale")</f>
        <v>Snapscale</v>
      </c>
      <c r="C465" s="197">
        <f t="shared" si="1"/>
        <v>1</v>
      </c>
      <c r="D465" s="20" t="s">
        <v>2883</v>
      </c>
      <c r="E465" s="20">
        <v>1.0</v>
      </c>
    </row>
    <row r="466">
      <c r="A466" s="196"/>
      <c r="B466" s="197" t="str">
        <f>IFERROR(__xludf.DUMMYFUNCTION("""COMPUTED_VALUE"""),"Alpha")</f>
        <v>Alpha</v>
      </c>
      <c r="C466" s="197">
        <f t="shared" si="1"/>
        <v>1</v>
      </c>
      <c r="D466" s="20" t="s">
        <v>2884</v>
      </c>
      <c r="E466" s="20">
        <v>1.0</v>
      </c>
    </row>
    <row r="467">
      <c r="A467" s="196" t="str">
        <f>IFERROR(__xludf.DUMMYFUNCTION("""COMPUTED_VALUE"""),"Floating")</f>
        <v>Floating</v>
      </c>
      <c r="B467" s="197" t="str">
        <f>IFERROR(__xludf.DUMMYFUNCTION("""COMPUTED_VALUE"""),"Stampede")</f>
        <v>Stampede</v>
      </c>
      <c r="C467" s="197">
        <f t="shared" si="1"/>
        <v>1</v>
      </c>
      <c r="D467" s="20" t="s">
        <v>2885</v>
      </c>
      <c r="E467" s="20">
        <v>1.0</v>
      </c>
    </row>
    <row r="468">
      <c r="A468" s="196" t="str">
        <f>IFERROR(__xludf.DUMMYFUNCTION("""COMPUTED_VALUE"""),"Djinn")</f>
        <v>Djinn</v>
      </c>
      <c r="B468" s="197" t="str">
        <f>IFERROR(__xludf.DUMMYFUNCTION("""COMPUTED_VALUE"""),"Amethyst")</f>
        <v>Amethyst</v>
      </c>
      <c r="C468" s="197">
        <f t="shared" si="1"/>
        <v>1</v>
      </c>
      <c r="D468" s="20" t="s">
        <v>2886</v>
      </c>
      <c r="E468" s="20">
        <v>1.0</v>
      </c>
    </row>
    <row r="469">
      <c r="A469" s="196"/>
      <c r="B469" s="197" t="str">
        <f>IFERROR(__xludf.DUMMYFUNCTION("""COMPUTED_VALUE"""),"Argosaurus")</f>
        <v>Argosaurus</v>
      </c>
      <c r="C469" s="197">
        <f t="shared" si="1"/>
        <v>1</v>
      </c>
      <c r="D469" s="20" t="s">
        <v>2887</v>
      </c>
      <c r="E469" s="20">
        <v>1.0</v>
      </c>
    </row>
    <row r="470">
      <c r="A470" s="196"/>
      <c r="B470" s="197" t="str">
        <f>IFERROR(__xludf.DUMMYFUNCTION("""COMPUTED_VALUE"""),"Astral")</f>
        <v>Astral</v>
      </c>
      <c r="C470" s="197">
        <f t="shared" si="1"/>
        <v>1</v>
      </c>
      <c r="D470" s="20" t="s">
        <v>2888</v>
      </c>
      <c r="E470" s="20">
        <v>1.0</v>
      </c>
    </row>
    <row r="471">
      <c r="A471" s="196"/>
      <c r="B471" s="197" t="str">
        <f>IFERROR(__xludf.DUMMYFUNCTION("""COMPUTED_VALUE"""),"Unicorn")</f>
        <v>Unicorn</v>
      </c>
      <c r="C471" s="197">
        <f t="shared" si="1"/>
        <v>1</v>
      </c>
      <c r="D471" s="20" t="s">
        <v>1711</v>
      </c>
      <c r="E471" s="20">
        <v>1.0</v>
      </c>
    </row>
    <row r="472">
      <c r="A472" s="196" t="str">
        <f>IFERROR(__xludf.DUMMYFUNCTION("""COMPUTED_VALUE"""),"Dewdrop")</f>
        <v>Dewdrop</v>
      </c>
      <c r="B472" s="197" t="str">
        <f>IFERROR(__xludf.DUMMYFUNCTION("""COMPUTED_VALUE"""),"Spectra")</f>
        <v>Spectra</v>
      </c>
      <c r="C472" s="197">
        <f t="shared" si="1"/>
        <v>1</v>
      </c>
      <c r="D472" s="20" t="s">
        <v>2889</v>
      </c>
      <c r="E472" s="20">
        <v>1.0</v>
      </c>
    </row>
    <row r="473">
      <c r="A473" s="196" t="str">
        <f>IFERROR(__xludf.DUMMYFUNCTION("""COMPUTED_VALUE"""),"Sprite")</f>
        <v>Sprite</v>
      </c>
      <c r="B473" s="197" t="str">
        <f>IFERROR(__xludf.DUMMYFUNCTION("""COMPUTED_VALUE"""),"Stick")</f>
        <v>Stick</v>
      </c>
      <c r="C473" s="197">
        <f t="shared" si="1"/>
        <v>1</v>
      </c>
      <c r="D473" s="20" t="s">
        <v>2890</v>
      </c>
      <c r="E473" s="20">
        <v>1.0</v>
      </c>
    </row>
    <row r="474">
      <c r="A474" s="196"/>
      <c r="B474" s="197" t="str">
        <f>IFERROR(__xludf.DUMMYFUNCTION("""COMPUTED_VALUE"""),"Calming")</f>
        <v>Calming</v>
      </c>
      <c r="C474" s="197">
        <f t="shared" si="1"/>
        <v>1</v>
      </c>
      <c r="D474" s="20" t="s">
        <v>2891</v>
      </c>
      <c r="E474" s="20">
        <v>1.0</v>
      </c>
    </row>
    <row r="475">
      <c r="A475" s="196"/>
      <c r="B475" s="197" t="str">
        <f>IFERROR(__xludf.DUMMYFUNCTION("""COMPUTED_VALUE"""),"Apparition")</f>
        <v>Apparition</v>
      </c>
      <c r="C475" s="197">
        <f t="shared" si="1"/>
        <v>1</v>
      </c>
      <c r="D475" s="20" t="s">
        <v>2892</v>
      </c>
      <c r="E475" s="20">
        <v>1.0</v>
      </c>
    </row>
    <row r="476">
      <c r="A476" s="196"/>
      <c r="B476" s="197" t="str">
        <f>IFERROR(__xludf.DUMMYFUNCTION("""COMPUTED_VALUE"""),"Sylvan")</f>
        <v>Sylvan</v>
      </c>
      <c r="C476" s="197">
        <f t="shared" si="1"/>
        <v>1</v>
      </c>
      <c r="D476" s="20" t="s">
        <v>2893</v>
      </c>
      <c r="E476" s="20">
        <v>1.0</v>
      </c>
    </row>
    <row r="477">
      <c r="A477" s="196" t="str">
        <f>IFERROR(__xludf.DUMMYFUNCTION("""COMPUTED_VALUE"""),"Dragon")</f>
        <v>Dragon</v>
      </c>
      <c r="B477" s="197" t="str">
        <f>IFERROR(__xludf.DUMMYFUNCTION("""COMPUTED_VALUE"""),"Gamekeeper")</f>
        <v>Gamekeeper</v>
      </c>
      <c r="C477" s="197">
        <f t="shared" si="1"/>
        <v>1</v>
      </c>
      <c r="D477" s="20" t="s">
        <v>2894</v>
      </c>
      <c r="E477" s="20">
        <v>1.0</v>
      </c>
    </row>
    <row r="478">
      <c r="A478" s="196" t="str">
        <f>IFERROR(__xludf.DUMMYFUNCTION("""COMPUTED_VALUE"""),"Egg")</f>
        <v>Egg</v>
      </c>
      <c r="B478" s="197" t="str">
        <f>IFERROR(__xludf.DUMMYFUNCTION("""COMPUTED_VALUE"""),"Tainted")</f>
        <v>Tainted</v>
      </c>
      <c r="C478" s="197">
        <f t="shared" si="1"/>
        <v>3</v>
      </c>
      <c r="D478" s="20" t="s">
        <v>2895</v>
      </c>
      <c r="E478" s="20">
        <v>1.0</v>
      </c>
    </row>
    <row r="479">
      <c r="A479" s="196"/>
      <c r="B479" s="197" t="str">
        <f>IFERROR(__xludf.DUMMYFUNCTION("""COMPUTED_VALUE"""),"Jade")</f>
        <v>Jade</v>
      </c>
      <c r="C479" s="197">
        <f t="shared" si="1"/>
        <v>3</v>
      </c>
      <c r="D479" s="20" t="s">
        <v>2896</v>
      </c>
      <c r="E479" s="20">
        <v>1.0</v>
      </c>
    </row>
    <row r="480">
      <c r="A480" s="196"/>
      <c r="B480" s="197" t="str">
        <f>IFERROR(__xludf.DUMMYFUNCTION("""COMPUTED_VALUE"""),"Monstrosity")</f>
        <v>Monstrosity</v>
      </c>
      <c r="C480" s="197">
        <f t="shared" si="1"/>
        <v>1</v>
      </c>
      <c r="D480" s="20" t="s">
        <v>2897</v>
      </c>
      <c r="E480" s="20">
        <v>1.0</v>
      </c>
    </row>
    <row r="481">
      <c r="A481" s="196"/>
      <c r="B481" s="197" t="str">
        <f>IFERROR(__xludf.DUMMYFUNCTION("""COMPUTED_VALUE"""),"Mycomancer")</f>
        <v>Mycomancer</v>
      </c>
      <c r="C481" s="197">
        <f t="shared" si="1"/>
        <v>1</v>
      </c>
      <c r="D481" s="20" t="s">
        <v>2898</v>
      </c>
      <c r="E481" s="20">
        <v>1.0</v>
      </c>
    </row>
    <row r="482">
      <c r="A482" s="196" t="str">
        <f>IFERROR(__xludf.DUMMYFUNCTION("""COMPUTED_VALUE"""),"Dustdance")</f>
        <v>Dustdance</v>
      </c>
      <c r="B482" s="197" t="str">
        <f>IFERROR(__xludf.DUMMYFUNCTION("""COMPUTED_VALUE"""),"Matriarch")</f>
        <v>Matriarch</v>
      </c>
      <c r="C482" s="197">
        <f t="shared" si="1"/>
        <v>2</v>
      </c>
      <c r="D482" s="20" t="s">
        <v>2899</v>
      </c>
      <c r="E482" s="20">
        <v>1.0</v>
      </c>
    </row>
    <row r="483">
      <c r="A483" s="196" t="str">
        <f>IFERROR(__xludf.DUMMYFUNCTION("""COMPUTED_VALUE"""),"Efreet")</f>
        <v>Efreet</v>
      </c>
      <c r="B483" s="197" t="str">
        <f>IFERROR(__xludf.DUMMYFUNCTION("""COMPUTED_VALUE"""),"Trickster")</f>
        <v>Trickster</v>
      </c>
      <c r="C483" s="197">
        <f t="shared" si="1"/>
        <v>2</v>
      </c>
      <c r="D483" s="20" t="s">
        <v>2900</v>
      </c>
      <c r="E483" s="20">
        <v>1.0</v>
      </c>
    </row>
    <row r="484">
      <c r="A484" s="196"/>
      <c r="B484" s="197" t="str">
        <f>IFERROR(__xludf.DUMMYFUNCTION("""COMPUTED_VALUE"""),"Venomleaf")</f>
        <v>Venomleaf</v>
      </c>
      <c r="C484" s="197">
        <f t="shared" si="1"/>
        <v>1</v>
      </c>
      <c r="D484" s="20" t="s">
        <v>2901</v>
      </c>
      <c r="E484" s="20">
        <v>1.0</v>
      </c>
    </row>
    <row r="485">
      <c r="A485" s="196"/>
      <c r="B485" s="197" t="str">
        <f>IFERROR(__xludf.DUMMYFUNCTION("""COMPUTED_VALUE"""),"Croaker")</f>
        <v>Croaker</v>
      </c>
      <c r="C485" s="197">
        <f t="shared" si="1"/>
        <v>1</v>
      </c>
      <c r="D485" s="20" t="s">
        <v>2902</v>
      </c>
      <c r="E485" s="20">
        <v>1.0</v>
      </c>
    </row>
    <row r="486">
      <c r="A486" s="196"/>
      <c r="B486" s="197" t="str">
        <f>IFERROR(__xludf.DUMMYFUNCTION("""COMPUTED_VALUE"""),"Darkwood")</f>
        <v>Darkwood</v>
      </c>
      <c r="C486" s="197">
        <f t="shared" si="1"/>
        <v>1</v>
      </c>
      <c r="D486" s="20" t="s">
        <v>2903</v>
      </c>
      <c r="E486" s="20">
        <v>1.0</v>
      </c>
    </row>
    <row r="487">
      <c r="A487" s="196" t="str">
        <f>IFERROR(__xludf.DUMMYFUNCTION("""COMPUTED_VALUE"""),"Hermit")</f>
        <v>Hermit</v>
      </c>
      <c r="B487" s="197" t="str">
        <f>IFERROR(__xludf.DUMMYFUNCTION("""COMPUTED_VALUE"""),"Tracker")</f>
        <v>Tracker</v>
      </c>
      <c r="C487" s="197">
        <f t="shared" si="1"/>
        <v>1</v>
      </c>
      <c r="D487" s="20" t="s">
        <v>2904</v>
      </c>
      <c r="E487" s="20">
        <v>1.0</v>
      </c>
    </row>
    <row r="488">
      <c r="A488" s="196" t="str">
        <f>IFERROR(__xludf.DUMMYFUNCTION("""COMPUTED_VALUE"""),"of")</f>
        <v>of</v>
      </c>
      <c r="B488" s="197" t="str">
        <f>IFERROR(__xludf.DUMMYFUNCTION("""COMPUTED_VALUE"""),"Verdant")</f>
        <v>Verdant</v>
      </c>
      <c r="C488" s="197">
        <f t="shared" si="1"/>
        <v>1</v>
      </c>
      <c r="D488" s="20" t="s">
        <v>2905</v>
      </c>
      <c r="E488" s="20">
        <v>1.0</v>
      </c>
    </row>
    <row r="489">
      <c r="A489" s="196" t="str">
        <f>IFERROR(__xludf.DUMMYFUNCTION("""COMPUTED_VALUE"""),"the")</f>
        <v>the</v>
      </c>
      <c r="B489" s="197" t="str">
        <f>IFERROR(__xludf.DUMMYFUNCTION("""COMPUTED_VALUE"""),"Sakura")</f>
        <v>Sakura</v>
      </c>
      <c r="C489" s="197">
        <f t="shared" si="1"/>
        <v>1</v>
      </c>
      <c r="D489" s="20" t="s">
        <v>2906</v>
      </c>
      <c r="E489" s="20">
        <v>1.0</v>
      </c>
    </row>
    <row r="490">
      <c r="A490" s="196" t="str">
        <f>IFERROR(__xludf.DUMMYFUNCTION("""COMPUTED_VALUE"""),"Horizon")</f>
        <v>Horizon</v>
      </c>
      <c r="B490" s="197" t="str">
        <f>IFERROR(__xludf.DUMMYFUNCTION("""COMPUTED_VALUE"""),"Forgotten")</f>
        <v>Forgotten</v>
      </c>
      <c r="C490" s="197">
        <f t="shared" si="1"/>
        <v>1</v>
      </c>
      <c r="D490" s="20" t="s">
        <v>2907</v>
      </c>
      <c r="E490" s="20">
        <v>1.0</v>
      </c>
    </row>
    <row r="491">
      <c r="A491" s="196"/>
      <c r="B491" s="197" t="str">
        <f>IFERROR(__xludf.DUMMYFUNCTION("""COMPUTED_VALUE"""),"Locust")</f>
        <v>Locust</v>
      </c>
      <c r="C491" s="197">
        <f t="shared" si="1"/>
        <v>1</v>
      </c>
      <c r="D491" s="20" t="s">
        <v>2908</v>
      </c>
      <c r="E491" s="20">
        <v>1.0</v>
      </c>
    </row>
    <row r="492">
      <c r="A492" s="196" t="str">
        <f>IFERROR(__xludf.DUMMYFUNCTION("""COMPUTED_VALUE"""),"Roughlands")</f>
        <v>Roughlands</v>
      </c>
      <c r="B492" s="197" t="str">
        <f>IFERROR(__xludf.DUMMYFUNCTION("""COMPUTED_VALUE"""),"Swarm")</f>
        <v>Swarm</v>
      </c>
      <c r="C492" s="197">
        <f t="shared" si="1"/>
        <v>1</v>
      </c>
      <c r="D492" s="20" t="s">
        <v>2909</v>
      </c>
      <c r="E492" s="20">
        <v>1.0</v>
      </c>
    </row>
    <row r="493">
      <c r="A493" s="196" t="str">
        <f>IFERROR(__xludf.DUMMYFUNCTION("""COMPUTED_VALUE"""),"Scourge")</f>
        <v>Scourge</v>
      </c>
      <c r="B493" s="197" t="str">
        <f>IFERROR(__xludf.DUMMYFUNCTION("""COMPUTED_VALUE"""),"Emerald")</f>
        <v>Emerald</v>
      </c>
      <c r="C493" s="197">
        <f t="shared" si="1"/>
        <v>1</v>
      </c>
      <c r="D493" s="20" t="s">
        <v>2910</v>
      </c>
      <c r="E493" s="20">
        <v>1.0</v>
      </c>
    </row>
    <row r="494">
      <c r="A494" s="196"/>
      <c r="B494" s="197" t="str">
        <f>IFERROR(__xludf.DUMMYFUNCTION("""COMPUTED_VALUE"""),"Fang")</f>
        <v>Fang</v>
      </c>
      <c r="C494" s="197">
        <f t="shared" si="1"/>
        <v>1</v>
      </c>
      <c r="D494" s="20" t="s">
        <v>2911</v>
      </c>
      <c r="E494" s="20">
        <v>1.0</v>
      </c>
    </row>
    <row r="495">
      <c r="A495" s="196"/>
      <c r="B495" s="197" t="str">
        <f>IFERROR(__xludf.DUMMYFUNCTION("""COMPUTED_VALUE"""),"Cobra")</f>
        <v>Cobra</v>
      </c>
      <c r="C495" s="197">
        <f t="shared" si="1"/>
        <v>1</v>
      </c>
      <c r="D495" s="20" t="s">
        <v>2912</v>
      </c>
      <c r="E495" s="20">
        <v>1.0</v>
      </c>
    </row>
    <row r="496">
      <c r="A496" s="196"/>
      <c r="B496" s="197" t="str">
        <f>IFERROR(__xludf.DUMMYFUNCTION("""COMPUTED_VALUE"""),"Entwining")</f>
        <v>Entwining</v>
      </c>
      <c r="C496" s="197">
        <f t="shared" si="1"/>
        <v>1</v>
      </c>
      <c r="D496" s="20" t="s">
        <v>2913</v>
      </c>
      <c r="E496" s="20">
        <v>1.0</v>
      </c>
    </row>
    <row r="497">
      <c r="A497" s="196" t="str">
        <f>IFERROR(__xludf.DUMMYFUNCTION("""COMPUTED_VALUE"""),"Mirrorworld")</f>
        <v>Mirrorworld</v>
      </c>
      <c r="B497" s="197" t="str">
        <f>IFERROR(__xludf.DUMMYFUNCTION("""COMPUTED_VALUE"""),"Creeper")</f>
        <v>Creeper</v>
      </c>
      <c r="C497" s="197">
        <f t="shared" si="1"/>
        <v>2</v>
      </c>
      <c r="D497" s="20" t="s">
        <v>2914</v>
      </c>
      <c r="E497" s="20">
        <v>1.0</v>
      </c>
    </row>
    <row r="498">
      <c r="A498" s="196" t="str">
        <f>IFERROR(__xludf.DUMMYFUNCTION("""COMPUTED_VALUE"""),"Bloodseeker")</f>
        <v>Bloodseeker</v>
      </c>
      <c r="B498" s="197" t="str">
        <f>IFERROR(__xludf.DUMMYFUNCTION("""COMPUTED_VALUE"""),"Jeweled")</f>
        <v>Jeweled</v>
      </c>
      <c r="C498" s="197">
        <f t="shared" si="1"/>
        <v>1</v>
      </c>
      <c r="D498" s="20" t="s">
        <v>2915</v>
      </c>
      <c r="E498" s="20">
        <v>1.0</v>
      </c>
    </row>
    <row r="499">
      <c r="A499" s="196"/>
      <c r="B499" s="197" t="str">
        <f>IFERROR(__xludf.DUMMYFUNCTION("""COMPUTED_VALUE"""),"Triceratops")</f>
        <v>Triceratops</v>
      </c>
      <c r="C499" s="197">
        <f t="shared" si="1"/>
        <v>1</v>
      </c>
      <c r="D499" s="20" t="s">
        <v>2916</v>
      </c>
      <c r="E499" s="20">
        <v>1.0</v>
      </c>
    </row>
    <row r="500">
      <c r="A500" s="196"/>
      <c r="B500" s="197" t="str">
        <f>IFERROR(__xludf.DUMMYFUNCTION("""COMPUTED_VALUE"""),"Jolly")</f>
        <v>Jolly</v>
      </c>
      <c r="C500" s="197">
        <f t="shared" si="1"/>
        <v>1</v>
      </c>
      <c r="D500" s="20" t="s">
        <v>2917</v>
      </c>
      <c r="E500" s="20">
        <v>1.0</v>
      </c>
    </row>
    <row r="501">
      <c r="A501" s="196"/>
      <c r="B501" s="197" t="str">
        <f>IFERROR(__xludf.DUMMYFUNCTION("""COMPUTED_VALUE"""),"Tamarin")</f>
        <v>Tamarin</v>
      </c>
      <c r="C501" s="197">
        <f t="shared" si="1"/>
        <v>1</v>
      </c>
      <c r="D501" s="20" t="s">
        <v>2918</v>
      </c>
      <c r="E501" s="20">
        <v>1.0</v>
      </c>
    </row>
    <row r="502">
      <c r="A502" s="196" t="str">
        <f>IFERROR(__xludf.DUMMYFUNCTION("""COMPUTED_VALUE"""),"Mountain")</f>
        <v>Mountain</v>
      </c>
      <c r="B502" s="197" t="str">
        <f>IFERROR(__xludf.DUMMYFUNCTION("""COMPUTED_VALUE"""),"Leech")</f>
        <v>Leech</v>
      </c>
      <c r="C502" s="197">
        <f t="shared" si="1"/>
        <v>1</v>
      </c>
      <c r="D502" s="20" t="s">
        <v>2919</v>
      </c>
      <c r="E502" s="20">
        <v>1.0</v>
      </c>
    </row>
    <row r="503">
      <c r="A503" s="196" t="str">
        <f>IFERROR(__xludf.DUMMYFUNCTION("""COMPUTED_VALUE"""),"Sage")</f>
        <v>Sage</v>
      </c>
      <c r="B503" s="197" t="str">
        <f>IFERROR(__xludf.DUMMYFUNCTION("""COMPUTED_VALUE"""),"Dragonfly")</f>
        <v>Dragonfly</v>
      </c>
      <c r="C503" s="197">
        <f t="shared" si="1"/>
        <v>1</v>
      </c>
      <c r="D503" s="20" t="s">
        <v>2920</v>
      </c>
      <c r="E503" s="20">
        <v>1.0</v>
      </c>
    </row>
    <row r="504">
      <c r="A504" s="196"/>
      <c r="B504" s="197" t="str">
        <f>IFERROR(__xludf.DUMMYFUNCTION("""COMPUTED_VALUE"""),"Nurseplant")</f>
        <v>Nurseplant</v>
      </c>
      <c r="C504" s="197">
        <f t="shared" si="1"/>
        <v>1</v>
      </c>
      <c r="D504" s="20" t="s">
        <v>2921</v>
      </c>
      <c r="E504" s="20">
        <v>1.0</v>
      </c>
    </row>
    <row r="505">
      <c r="A505" s="196"/>
      <c r="B505" s="197" t="str">
        <f>IFERROR(__xludf.DUMMYFUNCTION("""COMPUTED_VALUE"""),"Bloodthrone")</f>
        <v>Bloodthrone</v>
      </c>
      <c r="C505" s="197">
        <f t="shared" si="1"/>
        <v>3</v>
      </c>
      <c r="D505" s="20" t="s">
        <v>2922</v>
      </c>
      <c r="E505" s="20">
        <v>1.0</v>
      </c>
    </row>
    <row r="506">
      <c r="A506" s="196"/>
      <c r="B506" s="197" t="str">
        <f>IFERROR(__xludf.DUMMYFUNCTION("""COMPUTED_VALUE"""),"Nurturing")</f>
        <v>Nurturing</v>
      </c>
      <c r="C506" s="197">
        <f t="shared" si="1"/>
        <v>1</v>
      </c>
      <c r="D506" s="20" t="s">
        <v>2923</v>
      </c>
      <c r="E506" s="20">
        <v>1.0</v>
      </c>
    </row>
    <row r="507">
      <c r="A507" s="196" t="str">
        <f>IFERROR(__xludf.DUMMYFUNCTION("""COMPUTED_VALUE"""),"Nimbus")</f>
        <v>Nimbus</v>
      </c>
      <c r="B507" s="197" t="str">
        <f>IFERROR(__xludf.DUMMYFUNCTION("""COMPUTED_VALUE"""),"Rootsaurus")</f>
        <v>Rootsaurus</v>
      </c>
      <c r="C507" s="197">
        <f t="shared" si="1"/>
        <v>1</v>
      </c>
      <c r="D507" s="20" t="s">
        <v>2924</v>
      </c>
      <c r="E507" s="20">
        <v>1.0</v>
      </c>
    </row>
    <row r="508">
      <c r="A508" s="196" t="str">
        <f>IFERROR(__xludf.DUMMYFUNCTION("""COMPUTED_VALUE"""),"Claw")</f>
        <v>Claw</v>
      </c>
      <c r="B508" s="197" t="str">
        <f>IFERROR(__xludf.DUMMYFUNCTION("""COMPUTED_VALUE"""),"Carnage")</f>
        <v>Carnage</v>
      </c>
      <c r="C508" s="197">
        <f t="shared" si="1"/>
        <v>1</v>
      </c>
      <c r="D508" s="20" t="s">
        <v>2925</v>
      </c>
      <c r="E508" s="20">
        <v>1.0</v>
      </c>
    </row>
    <row r="509">
      <c r="A509" s="196"/>
      <c r="B509" s="197" t="str">
        <f>IFERROR(__xludf.DUMMYFUNCTION("""COMPUTED_VALUE"""),"Hornet")</f>
        <v>Hornet</v>
      </c>
      <c r="C509" s="197">
        <f t="shared" si="1"/>
        <v>1</v>
      </c>
      <c r="D509" s="20" t="s">
        <v>2926</v>
      </c>
      <c r="E509" s="20">
        <v>1.0</v>
      </c>
    </row>
    <row r="510">
      <c r="A510" s="196"/>
      <c r="B510" s="197" t="str">
        <f>IFERROR(__xludf.DUMMYFUNCTION("""COMPUTED_VALUE"""),"Champion")</f>
        <v>Champion</v>
      </c>
      <c r="C510" s="197">
        <f t="shared" si="1"/>
        <v>1</v>
      </c>
      <c r="D510" s="20" t="s">
        <v>2927</v>
      </c>
      <c r="E510" s="20">
        <v>1.0</v>
      </c>
    </row>
    <row r="511">
      <c r="A511" s="196"/>
      <c r="B511" s="197" t="str">
        <f>IFERROR(__xludf.DUMMYFUNCTION("""COMPUTED_VALUE"""),"Hell")</f>
        <v>Hell</v>
      </c>
      <c r="C511" s="197">
        <f t="shared" si="1"/>
        <v>1</v>
      </c>
      <c r="D511" s="20" t="s">
        <v>2928</v>
      </c>
      <c r="E511" s="20">
        <v>1.0</v>
      </c>
    </row>
    <row r="512">
      <c r="A512" s="196" t="str">
        <f>IFERROR(__xludf.DUMMYFUNCTION("""COMPUTED_VALUE"""),"Omen")</f>
        <v>Omen</v>
      </c>
      <c r="B512" s="197" t="str">
        <f>IFERROR(__xludf.DUMMYFUNCTION("""COMPUTED_VALUE"""),"Colorgorger")</f>
        <v>Colorgorger</v>
      </c>
      <c r="C512" s="197">
        <f t="shared" si="1"/>
        <v>1</v>
      </c>
      <c r="D512" s="20" t="s">
        <v>2929</v>
      </c>
      <c r="E512" s="20">
        <v>1.0</v>
      </c>
    </row>
    <row r="513">
      <c r="A513" s="196" t="str">
        <f>IFERROR(__xludf.DUMMYFUNCTION("""COMPUTED_VALUE"""),"Firefly")</f>
        <v>Firefly</v>
      </c>
      <c r="B513" s="197" t="str">
        <f>IFERROR(__xludf.DUMMYFUNCTION("""COMPUTED_VALUE"""),"Dark")</f>
        <v>Dark</v>
      </c>
      <c r="C513" s="197">
        <f t="shared" si="1"/>
        <v>1</v>
      </c>
      <c r="D513" s="20" t="s">
        <v>2930</v>
      </c>
      <c r="E513" s="20">
        <v>1.0</v>
      </c>
    </row>
    <row r="514">
      <c r="A514" s="196"/>
      <c r="B514" s="197" t="str">
        <f>IFERROR(__xludf.DUMMYFUNCTION("""COMPUTED_VALUE"""),"Spoon")</f>
        <v>Spoon</v>
      </c>
      <c r="C514" s="197">
        <f t="shared" si="1"/>
        <v>1</v>
      </c>
      <c r="D514" s="20" t="s">
        <v>2931</v>
      </c>
      <c r="E514" s="20">
        <v>1.0</v>
      </c>
    </row>
    <row r="515">
      <c r="A515" s="196"/>
      <c r="B515" s="197" t="str">
        <f>IFERROR(__xludf.DUMMYFUNCTION("""COMPUTED_VALUE"""),"Dawnbreak")</f>
        <v>Dawnbreak</v>
      </c>
      <c r="C515" s="197">
        <f t="shared" si="1"/>
        <v>1</v>
      </c>
      <c r="D515" s="20" t="s">
        <v>2932</v>
      </c>
      <c r="E515" s="20">
        <v>1.0</v>
      </c>
    </row>
    <row r="516">
      <c r="A516" s="196"/>
      <c r="B516" s="197" t="str">
        <f>IFERROR(__xludf.DUMMYFUNCTION("""COMPUTED_VALUE"""),"Wendigo")</f>
        <v>Wendigo</v>
      </c>
      <c r="C516" s="197">
        <f t="shared" si="1"/>
        <v>1</v>
      </c>
      <c r="D516" s="20" t="s">
        <v>2933</v>
      </c>
      <c r="E516" s="20">
        <v>1.0</v>
      </c>
    </row>
    <row r="517">
      <c r="A517" s="196" t="str">
        <f>IFERROR(__xludf.DUMMYFUNCTION("""COMPUTED_VALUE"""),"Pixie")</f>
        <v>Pixie</v>
      </c>
      <c r="B517" s="197" t="str">
        <f>IFERROR(__xludf.DUMMYFUNCTION("""COMPUTED_VALUE"""),"Depthdragger")</f>
        <v>Depthdragger</v>
      </c>
      <c r="C517" s="197">
        <f t="shared" si="1"/>
        <v>1</v>
      </c>
      <c r="D517" s="20" t="s">
        <v>1876</v>
      </c>
      <c r="E517" s="20">
        <v>1.0</v>
      </c>
    </row>
    <row r="518">
      <c r="A518" s="196" t="str">
        <f>IFERROR(__xludf.DUMMYFUNCTION("""COMPUTED_VALUE"""),"Summoner")</f>
        <v>Summoner</v>
      </c>
      <c r="B518" s="197" t="str">
        <f>IFERROR(__xludf.DUMMYFUNCTION("""COMPUTED_VALUE"""),"Discarded")</f>
        <v>Discarded</v>
      </c>
      <c r="C518" s="197">
        <f t="shared" si="1"/>
        <v>1</v>
      </c>
      <c r="D518" s="20" t="s">
        <v>2934</v>
      </c>
      <c r="E518" s="20">
        <v>1.0</v>
      </c>
    </row>
    <row r="519">
      <c r="A519" s="196"/>
      <c r="B519" s="197" t="str">
        <f>IFERROR(__xludf.DUMMYFUNCTION("""COMPUTED_VALUE"""),"Abomination")</f>
        <v>Abomination</v>
      </c>
      <c r="C519" s="197">
        <f t="shared" si="1"/>
        <v>2</v>
      </c>
      <c r="D519" s="20" t="s">
        <v>2935</v>
      </c>
      <c r="E519" s="20">
        <v>1.0</v>
      </c>
    </row>
    <row r="520">
      <c r="A520" s="196"/>
      <c r="B520" s="197" t="str">
        <f>IFERROR(__xludf.DUMMYFUNCTION("""COMPUTED_VALUE"""),"Doomgaze")</f>
        <v>Doomgaze</v>
      </c>
      <c r="C520" s="197">
        <f t="shared" si="1"/>
        <v>1</v>
      </c>
      <c r="D520" s="20" t="s">
        <v>2936</v>
      </c>
      <c r="E520" s="20">
        <v>1.0</v>
      </c>
    </row>
    <row r="521">
      <c r="A521" s="196"/>
      <c r="B521" s="197" t="str">
        <f>IFERROR(__xludf.DUMMYFUNCTION("""COMPUTED_VALUE"""),"Dread")</f>
        <v>Dread</v>
      </c>
      <c r="C521" s="197">
        <f t="shared" si="1"/>
        <v>2</v>
      </c>
      <c r="D521" s="20" t="s">
        <v>2937</v>
      </c>
      <c r="E521" s="20">
        <v>1.0</v>
      </c>
    </row>
    <row r="522">
      <c r="A522" s="196" t="str">
        <f>IFERROR(__xludf.DUMMYFUNCTION("""COMPUTED_VALUE"""),"Pyretic")</f>
        <v>Pyretic</v>
      </c>
      <c r="B522" s="197" t="str">
        <f>IFERROR(__xludf.DUMMYFUNCTION("""COMPUTED_VALUE"""),"Cryptlord")</f>
        <v>Cryptlord</v>
      </c>
      <c r="C522" s="197">
        <f t="shared" si="1"/>
        <v>1</v>
      </c>
      <c r="D522" s="20" t="s">
        <v>2938</v>
      </c>
      <c r="E522" s="20">
        <v>1.0</v>
      </c>
    </row>
    <row r="523">
      <c r="A523" s="196" t="str">
        <f>IFERROR(__xludf.DUMMYFUNCTION("""COMPUTED_VALUE"""),"Pet")</f>
        <v>Pet</v>
      </c>
      <c r="B523" s="197" t="str">
        <f>IFERROR(__xludf.DUMMYFUNCTION("""COMPUTED_VALUE"""),"Nutrient")</f>
        <v>Nutrient</v>
      </c>
      <c r="C523" s="197">
        <f t="shared" si="1"/>
        <v>1</v>
      </c>
      <c r="D523" s="20" t="s">
        <v>2939</v>
      </c>
      <c r="E523" s="20">
        <v>1.0</v>
      </c>
    </row>
    <row r="524">
      <c r="A524" s="196"/>
      <c r="B524" s="197" t="str">
        <f>IFERROR(__xludf.DUMMYFUNCTION("""COMPUTED_VALUE"""),"Nexus")</f>
        <v>Nexus</v>
      </c>
      <c r="C524" s="197">
        <f t="shared" si="1"/>
        <v>2</v>
      </c>
      <c r="D524" s="20" t="s">
        <v>1910</v>
      </c>
      <c r="E524" s="20">
        <v>1.0</v>
      </c>
    </row>
    <row r="525">
      <c r="A525" s="196"/>
      <c r="B525" s="197" t="str">
        <f>IFERROR(__xludf.DUMMYFUNCTION("""COMPUTED_VALUE"""),"Fatepeek")</f>
        <v>Fatepeek</v>
      </c>
      <c r="C525" s="197">
        <f t="shared" si="1"/>
        <v>1</v>
      </c>
      <c r="D525" s="20" t="s">
        <v>2940</v>
      </c>
      <c r="E525" s="20">
        <v>1.0</v>
      </c>
    </row>
    <row r="526">
      <c r="A526" s="196"/>
      <c r="B526" s="197" t="str">
        <f>IFERROR(__xludf.DUMMYFUNCTION("""COMPUTED_VALUE"""),"Imp")</f>
        <v>Imp</v>
      </c>
      <c r="C526" s="197">
        <f t="shared" si="1"/>
        <v>2</v>
      </c>
      <c r="D526" s="20" t="s">
        <v>2941</v>
      </c>
      <c r="E526" s="20">
        <v>1.0</v>
      </c>
    </row>
    <row r="527">
      <c r="A527" s="196" t="str">
        <f>IFERROR(__xludf.DUMMYFUNCTION("""COMPUTED_VALUE"""),"Shifting")</f>
        <v>Shifting</v>
      </c>
      <c r="B527" s="197" t="str">
        <f>IFERROR(__xludf.DUMMYFUNCTION("""COMPUTED_VALUE"""),"Eyed")</f>
        <v>Eyed</v>
      </c>
      <c r="C527" s="197">
        <f t="shared" si="1"/>
        <v>1</v>
      </c>
      <c r="D527" s="20" t="s">
        <v>2942</v>
      </c>
      <c r="E527" s="20">
        <v>1.0</v>
      </c>
    </row>
    <row r="528">
      <c r="A528" s="196" t="str">
        <f>IFERROR(__xludf.DUMMYFUNCTION("""COMPUTED_VALUE"""),"Sands")</f>
        <v>Sands</v>
      </c>
      <c r="B528" s="197" t="str">
        <f>IFERROR(__xludf.DUMMYFUNCTION("""COMPUTED_VALUE"""),"Plunderpillar")</f>
        <v>Plunderpillar</v>
      </c>
      <c r="C528" s="197">
        <f t="shared" si="1"/>
        <v>1</v>
      </c>
      <c r="D528" s="20" t="s">
        <v>2943</v>
      </c>
      <c r="E528" s="20">
        <v>1.0</v>
      </c>
    </row>
    <row r="529">
      <c r="A529" s="196"/>
      <c r="B529" s="197" t="str">
        <f>IFERROR(__xludf.DUMMYFUNCTION("""COMPUTED_VALUE"""),"Raptor")</f>
        <v>Raptor</v>
      </c>
      <c r="C529" s="197">
        <f t="shared" si="1"/>
        <v>1</v>
      </c>
      <c r="D529" s="20" t="s">
        <v>1922</v>
      </c>
      <c r="E529" s="20">
        <v>1.0</v>
      </c>
    </row>
    <row r="530">
      <c r="A530" s="196"/>
      <c r="B530" s="197" t="str">
        <f>IFERROR(__xludf.DUMMYFUNCTION("""COMPUTED_VALUE"""),"Pack")</f>
        <v>Pack</v>
      </c>
      <c r="C530" s="197">
        <f t="shared" si="1"/>
        <v>1</v>
      </c>
      <c r="D530" s="20" t="s">
        <v>2944</v>
      </c>
      <c r="E530" s="20">
        <v>1.0</v>
      </c>
    </row>
    <row r="531">
      <c r="A531" s="196"/>
      <c r="B531" s="197" t="str">
        <f>IFERROR(__xludf.DUMMYFUNCTION("""COMPUTED_VALUE"""),"Saurian")</f>
        <v>Saurian</v>
      </c>
      <c r="C531" s="197">
        <f t="shared" si="1"/>
        <v>1</v>
      </c>
      <c r="D531" s="20" t="s">
        <v>2945</v>
      </c>
      <c r="E531" s="20">
        <v>1.0</v>
      </c>
    </row>
    <row r="532">
      <c r="A532" s="196" t="str">
        <f>IFERROR(__xludf.DUMMYFUNCTION("""COMPUTED_VALUE"""),"Torii")</f>
        <v>Torii</v>
      </c>
      <c r="B532" s="197" t="str">
        <f>IFERROR(__xludf.DUMMYFUNCTION("""COMPUTED_VALUE"""),"Wraith")</f>
        <v>Wraith</v>
      </c>
      <c r="C532" s="197">
        <f t="shared" si="1"/>
        <v>1</v>
      </c>
      <c r="D532" s="20" t="s">
        <v>2946</v>
      </c>
      <c r="E532" s="20">
        <v>1.0</v>
      </c>
    </row>
    <row r="533">
      <c r="A533" s="196" t="str">
        <f>IFERROR(__xludf.DUMMYFUNCTION("""COMPUTED_VALUE"""),"Spirit")</f>
        <v>Spirit</v>
      </c>
      <c r="B533" s="197" t="str">
        <f>IFERROR(__xludf.DUMMYFUNCTION("""COMPUTED_VALUE"""),"Gravebound")</f>
        <v>Gravebound</v>
      </c>
      <c r="C533" s="197">
        <f t="shared" si="1"/>
        <v>1</v>
      </c>
      <c r="D533" s="20" t="s">
        <v>2947</v>
      </c>
      <c r="E533" s="20">
        <v>1.0</v>
      </c>
    </row>
    <row r="534">
      <c r="A534" s="196"/>
      <c r="B534" s="197" t="str">
        <f>IFERROR(__xludf.DUMMYFUNCTION("""COMPUTED_VALUE"""),"Ghoul")</f>
        <v>Ghoul</v>
      </c>
      <c r="C534" s="197">
        <f t="shared" si="1"/>
        <v>1</v>
      </c>
      <c r="D534" s="20" t="s">
        <v>2948</v>
      </c>
      <c r="E534" s="20">
        <v>1.0</v>
      </c>
    </row>
    <row r="535">
      <c r="A535" s="196"/>
      <c r="B535" s="197" t="str">
        <f>IFERROR(__xludf.DUMMYFUNCTION("""COMPUTED_VALUE"""),"Graverobber")</f>
        <v>Graverobber</v>
      </c>
      <c r="C535" s="197">
        <f t="shared" si="1"/>
        <v>1</v>
      </c>
      <c r="D535" s="20" t="s">
        <v>2949</v>
      </c>
      <c r="E535" s="20">
        <v>1.0</v>
      </c>
    </row>
    <row r="536">
      <c r="A536" s="196"/>
      <c r="B536" s="197" t="str">
        <f>IFERROR(__xludf.DUMMYFUNCTION("""COMPUTED_VALUE"""),"Greedspawn")</f>
        <v>Greedspawn</v>
      </c>
      <c r="C536" s="197">
        <f t="shared" si="1"/>
        <v>1</v>
      </c>
      <c r="D536" s="20" t="s">
        <v>1953</v>
      </c>
      <c r="E536" s="20">
        <v>1.0</v>
      </c>
    </row>
    <row r="537">
      <c r="A537" s="196" t="str">
        <f>IFERROR(__xludf.DUMMYFUNCTION("""COMPUTED_VALUE"""),"Red")</f>
        <v>Red</v>
      </c>
      <c r="B537" s="197" t="str">
        <f>IFERROR(__xludf.DUMMYFUNCTION("""COMPUTED_VALUE"""),"Grim")</f>
        <v>Grim</v>
      </c>
      <c r="C537" s="197">
        <f t="shared" si="1"/>
        <v>1</v>
      </c>
      <c r="D537" s="20" t="s">
        <v>2950</v>
      </c>
      <c r="E537" s="20">
        <v>1.0</v>
      </c>
    </row>
    <row r="538">
      <c r="A538" s="196" t="str">
        <f>IFERROR(__xludf.DUMMYFUNCTION("""COMPUTED_VALUE"""),"Crusader")</f>
        <v>Crusader</v>
      </c>
      <c r="B538" s="197" t="str">
        <f>IFERROR(__xludf.DUMMYFUNCTION("""COMPUTED_VALUE"""),"Shadowpounce")</f>
        <v>Shadowpounce</v>
      </c>
      <c r="C538" s="197">
        <f t="shared" si="1"/>
        <v>1</v>
      </c>
      <c r="D538" s="20" t="s">
        <v>2951</v>
      </c>
      <c r="E538" s="20">
        <v>1.0</v>
      </c>
    </row>
    <row r="539">
      <c r="A539" s="196"/>
      <c r="B539" s="197" t="str">
        <f>IFERROR(__xludf.DUMMYFUNCTION("""COMPUTED_VALUE"""),"Panther")</f>
        <v>Panther</v>
      </c>
      <c r="C539" s="197">
        <f t="shared" si="1"/>
        <v>1</v>
      </c>
      <c r="D539" s="20" t="s">
        <v>2952</v>
      </c>
      <c r="E539" s="20">
        <v>1.0</v>
      </c>
    </row>
    <row r="540">
      <c r="A540" s="196"/>
      <c r="B540" s="197" t="str">
        <f>IFERROR(__xludf.DUMMYFUNCTION("""COMPUTED_VALUE"""),"Shardtooth")</f>
        <v>Shardtooth</v>
      </c>
      <c r="C540" s="197">
        <f t="shared" si="1"/>
        <v>1</v>
      </c>
      <c r="D540" s="20" t="s">
        <v>2953</v>
      </c>
      <c r="E540" s="20">
        <v>1.0</v>
      </c>
    </row>
    <row r="541">
      <c r="A541" s="196"/>
      <c r="B541" s="197" t="str">
        <f>IFERROR(__xludf.DUMMYFUNCTION("""COMPUTED_VALUE"""),"Hungry")</f>
        <v>Hungry</v>
      </c>
      <c r="C541" s="197">
        <f t="shared" si="1"/>
        <v>1</v>
      </c>
      <c r="D541" s="20" t="s">
        <v>2954</v>
      </c>
      <c r="E541" s="20">
        <v>1.0</v>
      </c>
    </row>
    <row r="542">
      <c r="A542" s="196" t="str">
        <f>IFERROR(__xludf.DUMMYFUNCTION("""COMPUTED_VALUE"""),"Windkite")</f>
        <v>Windkite</v>
      </c>
      <c r="B542" s="197" t="str">
        <f>IFERROR(__xludf.DUMMYFUNCTION("""COMPUTED_VALUE"""),"Shambler")</f>
        <v>Shambler</v>
      </c>
      <c r="C542" s="197">
        <f t="shared" si="1"/>
        <v>1</v>
      </c>
      <c r="D542" s="20" t="s">
        <v>2955</v>
      </c>
      <c r="E542" s="20">
        <v>1.0</v>
      </c>
    </row>
    <row r="543">
      <c r="A543" s="196" t="str">
        <f>IFERROR(__xludf.DUMMYFUNCTION("""COMPUTED_VALUE"""),"Acolyte")</f>
        <v>Acolyte</v>
      </c>
      <c r="B543" s="197" t="str">
        <f>IFERROR(__xludf.DUMMYFUNCTION("""COMPUTED_VALUE"""),"Sunflower")</f>
        <v>Sunflower</v>
      </c>
      <c r="C543" s="197">
        <f t="shared" si="1"/>
        <v>1</v>
      </c>
      <c r="D543" s="20" t="s">
        <v>1974</v>
      </c>
      <c r="E543" s="20">
        <v>1.0</v>
      </c>
    </row>
    <row r="544">
      <c r="A544" s="196"/>
      <c r="B544" s="197" t="str">
        <f>IFERROR(__xludf.DUMMYFUNCTION("""COMPUTED_VALUE"""),"Tiger")</f>
        <v>Tiger</v>
      </c>
      <c r="C544" s="197">
        <f t="shared" si="1"/>
        <v>1</v>
      </c>
      <c r="D544" s="20" t="s">
        <v>1978</v>
      </c>
      <c r="E544" s="20">
        <v>1.0</v>
      </c>
    </row>
    <row r="545">
      <c r="A545" s="196"/>
      <c r="B545" s="197" t="str">
        <f>IFERROR(__xludf.DUMMYFUNCTION("""COMPUTED_VALUE"""),"Meekbone")</f>
        <v>Meekbone</v>
      </c>
      <c r="C545" s="197">
        <f t="shared" si="1"/>
        <v>1</v>
      </c>
      <c r="D545" s="20" t="s">
        <v>2956</v>
      </c>
      <c r="E545" s="20">
        <v>1.0</v>
      </c>
    </row>
    <row r="546">
      <c r="A546" s="196"/>
      <c r="B546" s="197" t="str">
        <f>IFERROR(__xludf.DUMMYFUNCTION("""COMPUTED_VALUE"""),"Soldier")</f>
        <v>Soldier</v>
      </c>
      <c r="C546" s="197">
        <f t="shared" si="1"/>
        <v>1</v>
      </c>
      <c r="D546" s="20" t="s">
        <v>2957</v>
      </c>
      <c r="E546" s="20">
        <v>1.0</v>
      </c>
    </row>
    <row r="547">
      <c r="A547" s="196" t="str">
        <f>IFERROR(__xludf.DUMMYFUNCTION("""COMPUTED_VALUE"""),"Blood")</f>
        <v>Blood</v>
      </c>
      <c r="B547" s="197" t="str">
        <f>IFERROR(__xludf.DUMMYFUNCTION("""COMPUTED_VALUE"""),"Monarch")</f>
        <v>Monarch</v>
      </c>
      <c r="C547" s="197">
        <f t="shared" si="1"/>
        <v>1</v>
      </c>
      <c r="D547" s="20" t="s">
        <v>2958</v>
      </c>
      <c r="E547" s="20">
        <v>1.0</v>
      </c>
    </row>
    <row r="548">
      <c r="A548" s="196" t="str">
        <f>IFERROR(__xludf.DUMMYFUNCTION("""COMPUTED_VALUE"""),"Moon")</f>
        <v>Moon</v>
      </c>
      <c r="B548" s="197" t="str">
        <f>IFERROR(__xludf.DUMMYFUNCTION("""COMPUTED_VALUE"""),"Shadows")</f>
        <v>Shadows</v>
      </c>
      <c r="C548" s="197">
        <f t="shared" si="1"/>
        <v>1</v>
      </c>
      <c r="D548" s="20" t="s">
        <v>1987</v>
      </c>
      <c r="E548" s="20">
        <v>1.0</v>
      </c>
    </row>
    <row r="549">
      <c r="A549" s="196" t="str">
        <f>IFERROR(__xludf.DUMMYFUNCTION("""COMPUTED_VALUE"""),"Scarab")</f>
        <v>Scarab</v>
      </c>
      <c r="B549" s="197" t="str">
        <f>IFERROR(__xludf.DUMMYFUNCTION("""COMPUTED_VALUE"""),"Venus")</f>
        <v>Venus</v>
      </c>
      <c r="C549" s="197">
        <f t="shared" si="1"/>
        <v>1</v>
      </c>
      <c r="D549" s="20" t="s">
        <v>2959</v>
      </c>
      <c r="E549" s="20">
        <v>1.0</v>
      </c>
    </row>
    <row r="550">
      <c r="A550" s="196"/>
      <c r="B550" s="197" t="str">
        <f>IFERROR(__xludf.DUMMYFUNCTION("""COMPUTED_VALUE"""),"Flytrap")</f>
        <v>Flytrap</v>
      </c>
      <c r="C550" s="197">
        <f t="shared" si="1"/>
        <v>1</v>
      </c>
      <c r="D550" s="20" t="s">
        <v>2960</v>
      </c>
      <c r="E550" s="20">
        <v>1.0</v>
      </c>
    </row>
    <row r="551">
      <c r="A551" s="196"/>
      <c r="B551" s="197" t="str">
        <f>IFERROR(__xludf.DUMMYFUNCTION("""COMPUTED_VALUE"""),"Arcane")</f>
        <v>Arcane</v>
      </c>
      <c r="C551" s="197">
        <f t="shared" si="1"/>
        <v>1</v>
      </c>
      <c r="D551" s="20" t="s">
        <v>2961</v>
      </c>
      <c r="E551" s="20">
        <v>1.0</v>
      </c>
    </row>
    <row r="552">
      <c r="A552" s="196" t="str">
        <f>IFERROR(__xludf.DUMMYFUNCTION("""COMPUTED_VALUE"""),"Sand")</f>
        <v>Sand</v>
      </c>
      <c r="B552" s="197" t="str">
        <f>IFERROR(__xludf.DUMMYFUNCTION("""COMPUTED_VALUE"""),"Gorgosaur")</f>
        <v>Gorgosaur</v>
      </c>
      <c r="C552" s="197">
        <f t="shared" si="1"/>
        <v>1</v>
      </c>
      <c r="D552" s="20" t="s">
        <v>2962</v>
      </c>
      <c r="E552" s="20">
        <v>1.0</v>
      </c>
    </row>
    <row r="553">
      <c r="A553" s="196" t="str">
        <f>IFERROR(__xludf.DUMMYFUNCTION("""COMPUTED_VALUE"""),"Witch")</f>
        <v>Witch</v>
      </c>
      <c r="B553" s="197" t="str">
        <f>IFERROR(__xludf.DUMMYFUNCTION("""COMPUTED_VALUE"""),"Bloodclaw")</f>
        <v>Bloodclaw</v>
      </c>
      <c r="C553" s="197">
        <f t="shared" si="1"/>
        <v>1</v>
      </c>
      <c r="D553" s="20" t="s">
        <v>2963</v>
      </c>
      <c r="E553" s="20">
        <v>1.0</v>
      </c>
    </row>
    <row r="554">
      <c r="A554" s="196"/>
      <c r="B554" s="197" t="str">
        <f>IFERROR(__xludf.DUMMYFUNCTION("""COMPUTED_VALUE"""),"Duke")</f>
        <v>Duke</v>
      </c>
      <c r="C554" s="197">
        <f t="shared" si="1"/>
        <v>1</v>
      </c>
      <c r="D554" s="20" t="s">
        <v>2964</v>
      </c>
      <c r="E554" s="20">
        <v>1.0</v>
      </c>
    </row>
    <row r="555">
      <c r="A555" s="196"/>
      <c r="B555" s="197" t="str">
        <f>IFERROR(__xludf.DUMMYFUNCTION("""COMPUTED_VALUE"""),"Grove")</f>
        <v>Grove</v>
      </c>
      <c r="C555" s="197">
        <f t="shared" si="1"/>
        <v>2</v>
      </c>
      <c r="D555" s="20" t="s">
        <v>2965</v>
      </c>
      <c r="E555" s="20">
        <v>1.0</v>
      </c>
    </row>
    <row r="556">
      <c r="A556" s="196"/>
      <c r="B556" s="197" t="str">
        <f>IFERROR(__xludf.DUMMYFUNCTION("""COMPUTED_VALUE"""),"Omenshadow")</f>
        <v>Omenshadow</v>
      </c>
      <c r="C556" s="197">
        <f t="shared" si="1"/>
        <v>1</v>
      </c>
      <c r="D556" s="20" t="s">
        <v>2966</v>
      </c>
      <c r="E556" s="20">
        <v>1.0</v>
      </c>
    </row>
    <row r="557">
      <c r="A557" s="196" t="str">
        <f>IFERROR(__xludf.DUMMYFUNCTION("""COMPUTED_VALUE"""),"Shardhorde")</f>
        <v>Shardhorde</v>
      </c>
      <c r="B557" s="197" t="str">
        <f>IFERROR(__xludf.DUMMYFUNCTION("""COMPUTED_VALUE"""),"Mantis")</f>
        <v>Mantis</v>
      </c>
      <c r="C557" s="197">
        <f t="shared" si="1"/>
        <v>1</v>
      </c>
      <c r="D557" s="20" t="s">
        <v>2967</v>
      </c>
      <c r="E557" s="20">
        <v>1.0</v>
      </c>
    </row>
    <row r="558">
      <c r="A558" s="196" t="str">
        <f>IFERROR(__xludf.DUMMYFUNCTION("""COMPUTED_VALUE"""),"Galewhelp")</f>
        <v>Galewhelp</v>
      </c>
      <c r="B558" s="197" t="str">
        <f>IFERROR(__xludf.DUMMYFUNCTION("""COMPUTED_VALUE"""),"Queen")</f>
        <v>Queen</v>
      </c>
      <c r="C558" s="197">
        <f t="shared" si="1"/>
        <v>2</v>
      </c>
      <c r="D558" s="20" t="s">
        <v>2968</v>
      </c>
      <c r="E558" s="20">
        <v>1.0</v>
      </c>
    </row>
    <row r="559">
      <c r="A559" s="196"/>
      <c r="B559" s="197" t="str">
        <f>IFERROR(__xludf.DUMMYFUNCTION("""COMPUTED_VALUE"""),"Purple")</f>
        <v>Purple</v>
      </c>
      <c r="C559" s="197">
        <f t="shared" si="1"/>
        <v>2</v>
      </c>
      <c r="D559" s="20" t="s">
        <v>2969</v>
      </c>
      <c r="E559" s="20">
        <v>1.0</v>
      </c>
    </row>
    <row r="560">
      <c r="A560" s="196"/>
      <c r="B560" s="197" t="str">
        <f>IFERROR(__xludf.DUMMYFUNCTION("""COMPUTED_VALUE"""),"Reborn")</f>
        <v>Reborn</v>
      </c>
      <c r="C560" s="197">
        <f t="shared" si="1"/>
        <v>1</v>
      </c>
      <c r="D560" s="20" t="s">
        <v>2970</v>
      </c>
      <c r="E560" s="20">
        <v>1.0</v>
      </c>
    </row>
    <row r="561">
      <c r="A561" s="196"/>
      <c r="B561" s="197" t="str">
        <f>IFERROR(__xludf.DUMMYFUNCTION("""COMPUTED_VALUE"""),"Stargazer")</f>
        <v>Stargazer</v>
      </c>
      <c r="C561" s="197">
        <f t="shared" si="1"/>
        <v>1</v>
      </c>
      <c r="D561" s="20" t="s">
        <v>2013</v>
      </c>
      <c r="E561" s="20">
        <v>1.0</v>
      </c>
    </row>
    <row r="562">
      <c r="A562" s="196" t="str">
        <f>IFERROR(__xludf.DUMMYFUNCTION("""COMPUTED_VALUE"""),"Amberlock")</f>
        <v>Amberlock</v>
      </c>
      <c r="B562" s="197" t="str">
        <f>IFERROR(__xludf.DUMMYFUNCTION("""COMPUTED_VALUE"""),"Relentless")</f>
        <v>Relentless</v>
      </c>
      <c r="C562" s="197">
        <f t="shared" si="1"/>
        <v>1</v>
      </c>
      <c r="D562" s="20" t="s">
        <v>2971</v>
      </c>
      <c r="E562" s="20">
        <v>1.0</v>
      </c>
    </row>
    <row r="563">
      <c r="A563" s="196" t="str">
        <f>IFERROR(__xludf.DUMMYFUNCTION("""COMPUTED_VALUE"""),"Dragonling")</f>
        <v>Dragonling</v>
      </c>
      <c r="B563" s="197" t="str">
        <f>IFERROR(__xludf.DUMMYFUNCTION("""COMPUTED_VALUE"""),"Runic")</f>
        <v>Runic</v>
      </c>
      <c r="C563" s="197">
        <f t="shared" si="1"/>
        <v>1</v>
      </c>
      <c r="D563" s="20" t="s">
        <v>2019</v>
      </c>
      <c r="E563" s="20">
        <v>1.0</v>
      </c>
    </row>
    <row r="564">
      <c r="A564" s="196"/>
      <c r="B564" s="197" t="str">
        <f>IFERROR(__xludf.DUMMYFUNCTION("""COMPUTED_VALUE"""),"Arachnid")</f>
        <v>Arachnid</v>
      </c>
      <c r="C564" s="197">
        <f t="shared" si="1"/>
        <v>1</v>
      </c>
      <c r="D564" s="20" t="s">
        <v>2972</v>
      </c>
      <c r="E564" s="20">
        <v>1.0</v>
      </c>
    </row>
    <row r="565">
      <c r="A565" s="196"/>
      <c r="B565" s="197" t="str">
        <f>IFERROR(__xludf.DUMMYFUNCTION("""COMPUTED_VALUE"""),"Teapot")</f>
        <v>Teapot</v>
      </c>
      <c r="C565" s="197">
        <f t="shared" si="1"/>
        <v>1</v>
      </c>
      <c r="D565" s="20" t="s">
        <v>2973</v>
      </c>
      <c r="E565" s="20">
        <v>1.0</v>
      </c>
    </row>
    <row r="566">
      <c r="A566" s="196"/>
      <c r="B566" s="197" t="str">
        <f>IFERROR(__xludf.DUMMYFUNCTION("""COMPUTED_VALUE"""),"Sun")</f>
        <v>Sun</v>
      </c>
      <c r="C566" s="197">
        <f t="shared" si="1"/>
        <v>1</v>
      </c>
      <c r="D566" s="20" t="s">
        <v>2974</v>
      </c>
      <c r="E566" s="20">
        <v>1.0</v>
      </c>
    </row>
    <row r="567">
      <c r="A567" s="196" t="str">
        <f>IFERROR(__xludf.DUMMYFUNCTION("""COMPUTED_VALUE"""),"Dragonfire")</f>
        <v>Dragonfire</v>
      </c>
      <c r="B567" s="197" t="str">
        <f>IFERROR(__xludf.DUMMYFUNCTION("""COMPUTED_VALUE"""),"Saurus")</f>
        <v>Saurus</v>
      </c>
      <c r="C567" s="197">
        <f t="shared" si="1"/>
        <v>1</v>
      </c>
      <c r="D567" s="20" t="s">
        <v>2975</v>
      </c>
      <c r="E567" s="20">
        <v>1.0</v>
      </c>
    </row>
    <row r="568">
      <c r="A568" s="196" t="str">
        <f>IFERROR(__xludf.DUMMYFUNCTION("""COMPUTED_VALUE"""),"Warlock")</f>
        <v>Warlock</v>
      </c>
      <c r="B568" s="197" t="str">
        <f>IFERROR(__xludf.DUMMYFUNCTION("""COMPUTED_VALUE"""),"Sandsilk")</f>
        <v>Sandsilk</v>
      </c>
      <c r="C568" s="197">
        <f t="shared" si="1"/>
        <v>1</v>
      </c>
      <c r="D568" s="20" t="s">
        <v>2976</v>
      </c>
      <c r="E568" s="20">
        <v>1.0</v>
      </c>
    </row>
    <row r="569">
      <c r="A569" s="196"/>
      <c r="B569" s="197" t="str">
        <f>IFERROR(__xludf.DUMMYFUNCTION("""COMPUTED_VALUE"""),"Fox")</f>
        <v>Fox</v>
      </c>
      <c r="C569" s="197">
        <f t="shared" si="1"/>
        <v>1</v>
      </c>
      <c r="D569" s="20" t="s">
        <v>2977</v>
      </c>
      <c r="E569" s="20">
        <v>1.0</v>
      </c>
    </row>
    <row r="570">
      <c r="A570" s="196"/>
      <c r="B570" s="197" t="str">
        <f>IFERROR(__xludf.DUMMYFUNCTION("""COMPUTED_VALUE"""),"Living")</f>
        <v>Living</v>
      </c>
      <c r="C570" s="197">
        <f t="shared" si="1"/>
        <v>1</v>
      </c>
      <c r="D570" s="20" t="s">
        <v>2978</v>
      </c>
      <c r="E570" s="20">
        <v>1.0</v>
      </c>
    </row>
    <row r="571">
      <c r="A571" s="196"/>
      <c r="B571" s="197" t="str">
        <f>IFERROR(__xludf.DUMMYFUNCTION("""COMPUTED_VALUE"""),"Thicket")</f>
        <v>Thicket</v>
      </c>
      <c r="C571" s="197">
        <f t="shared" si="1"/>
        <v>1</v>
      </c>
      <c r="D571" s="20" t="s">
        <v>2979</v>
      </c>
      <c r="E571" s="20">
        <v>1.0</v>
      </c>
    </row>
    <row r="572">
      <c r="A572" s="196" t="str">
        <f>IFERROR(__xludf.DUMMYFUNCTION("""COMPUTED_VALUE"""),"Dragonwind")</f>
        <v>Dragonwind</v>
      </c>
      <c r="B572" s="197" t="str">
        <f>IFERROR(__xludf.DUMMYFUNCTION("""COMPUTED_VALUE"""),"Shrouded")</f>
        <v>Shrouded</v>
      </c>
      <c r="C572" s="197">
        <f t="shared" si="1"/>
        <v>1</v>
      </c>
      <c r="D572" s="20" t="s">
        <v>2980</v>
      </c>
      <c r="E572" s="20">
        <v>1.0</v>
      </c>
    </row>
    <row r="573">
      <c r="A573" s="196" t="str">
        <f>IFERROR(__xludf.DUMMYFUNCTION("""COMPUTED_VALUE"""),"Harbinger")</f>
        <v>Harbinger</v>
      </c>
      <c r="B573" s="197" t="str">
        <f>IFERROR(__xludf.DUMMYFUNCTION("""COMPUTED_VALUE"""),"Advocate")</f>
        <v>Advocate</v>
      </c>
      <c r="C573" s="197">
        <f t="shared" si="1"/>
        <v>1</v>
      </c>
      <c r="D573" s="20" t="s">
        <v>2981</v>
      </c>
      <c r="E573" s="20">
        <v>1.0</v>
      </c>
    </row>
    <row r="574">
      <c r="A574" s="196"/>
      <c r="B574" s="197" t="str">
        <f>IFERROR(__xludf.DUMMYFUNCTION("""COMPUTED_VALUE"""),"Fiend")</f>
        <v>Fiend</v>
      </c>
      <c r="C574" s="197">
        <f t="shared" si="1"/>
        <v>1</v>
      </c>
      <c r="D574" s="20" t="s">
        <v>2982</v>
      </c>
      <c r="E574" s="20">
        <v>1.0</v>
      </c>
    </row>
    <row r="575">
      <c r="A575" s="196"/>
      <c r="B575" s="197" t="str">
        <f>IFERROR(__xludf.DUMMYFUNCTION("""COMPUTED_VALUE"""),"Invigorating")</f>
        <v>Invigorating</v>
      </c>
      <c r="C575" s="197">
        <f t="shared" si="1"/>
        <v>1</v>
      </c>
      <c r="D575" s="20" t="s">
        <v>2983</v>
      </c>
      <c r="E575" s="20">
        <v>1.0</v>
      </c>
    </row>
    <row r="576">
      <c r="A576" s="196"/>
      <c r="B576" s="197" t="str">
        <f>IFERROR(__xludf.DUMMYFUNCTION("""COMPUTED_VALUE"""),"Lotus")</f>
        <v>Lotus</v>
      </c>
      <c r="C576" s="197">
        <f t="shared" si="1"/>
        <v>1</v>
      </c>
      <c r="D576" s="20" t="s">
        <v>2984</v>
      </c>
      <c r="E576" s="20">
        <v>1.0</v>
      </c>
    </row>
    <row r="577">
      <c r="A577" s="196" t="str">
        <f>IFERROR(__xludf.DUMMYFUNCTION("""COMPUTED_VALUE"""),"Sparkwielder")</f>
        <v>Sparkwielder</v>
      </c>
      <c r="B577" s="197" t="str">
        <f>IFERROR(__xludf.DUMMYFUNCTION("""COMPUTED_VALUE"""),"Bloom")</f>
        <v>Bloom</v>
      </c>
      <c r="C577" s="197">
        <f t="shared" si="1"/>
        <v>1</v>
      </c>
      <c r="D577" s="20" t="s">
        <v>2985</v>
      </c>
      <c r="E577" s="20">
        <v>1.0</v>
      </c>
    </row>
    <row r="578">
      <c r="A578" s="196"/>
      <c r="B578" s="197" t="str">
        <f>IFERROR(__xludf.DUMMYFUNCTION("""COMPUTED_VALUE"""),"Photosynthaurus")</f>
        <v>Photosynthaurus</v>
      </c>
      <c r="C578" s="197">
        <f t="shared" si="1"/>
        <v>1</v>
      </c>
      <c r="D578" s="20" t="s">
        <v>2986</v>
      </c>
      <c r="E578" s="20">
        <v>1.0</v>
      </c>
    </row>
    <row r="579">
      <c r="A579" s="196"/>
      <c r="B579" s="197" t="str">
        <f>IFERROR(__xludf.DUMMYFUNCTION("""COMPUTED_VALUE"""),"Southern")</f>
        <v>Southern</v>
      </c>
      <c r="C579" s="197">
        <f t="shared" si="1"/>
        <v>1</v>
      </c>
      <c r="D579" s="20" t="s">
        <v>2987</v>
      </c>
      <c r="E579" s="20">
        <v>1.0</v>
      </c>
    </row>
    <row r="580">
      <c r="A580" s="196"/>
      <c r="B580" s="197" t="str">
        <f>IFERROR(__xludf.DUMMYFUNCTION("""COMPUTED_VALUE"""),"Reach")</f>
        <v>Reach</v>
      </c>
      <c r="C580" s="197">
        <f t="shared" si="1"/>
        <v>1</v>
      </c>
      <c r="D580" s="20" t="s">
        <v>2988</v>
      </c>
      <c r="E580" s="20">
        <v>1.0</v>
      </c>
    </row>
    <row r="581">
      <c r="A581" s="196"/>
      <c r="B581" s="197" t="str">
        <f>IFERROR(__xludf.DUMMYFUNCTION("""COMPUTED_VALUE"""),"Bulwark")</f>
        <v>Bulwark</v>
      </c>
      <c r="C581" s="197">
        <f t="shared" si="1"/>
        <v>1</v>
      </c>
      <c r="D581" s="20" t="s">
        <v>2989</v>
      </c>
      <c r="E581" s="20">
        <v>1.0</v>
      </c>
    </row>
    <row r="582">
      <c r="A582" s="196" t="str">
        <f>IFERROR(__xludf.DUMMYFUNCTION("""COMPUTED_VALUE"""),"Gashopper")</f>
        <v>Gashopper</v>
      </c>
      <c r="B582" s="197" t="str">
        <f>IFERROR(__xludf.DUMMYFUNCTION("""COMPUTED_VALUE"""),"Thoughtfeaster")</f>
        <v>Thoughtfeaster</v>
      </c>
      <c r="C582" s="197">
        <f t="shared" si="1"/>
        <v>1</v>
      </c>
      <c r="D582" s="20" t="s">
        <v>2990</v>
      </c>
      <c r="E582" s="20">
        <v>1.0</v>
      </c>
    </row>
    <row r="583">
      <c r="A583" s="196"/>
      <c r="B583" s="197" t="str">
        <f>IFERROR(__xludf.DUMMYFUNCTION("""COMPUTED_VALUE"""),"Tombstone")</f>
        <v>Tombstone</v>
      </c>
      <c r="C583" s="197">
        <f t="shared" si="1"/>
        <v>1</v>
      </c>
      <c r="D583" s="20" t="s">
        <v>2062</v>
      </c>
      <c r="E583" s="20">
        <v>1.0</v>
      </c>
    </row>
    <row r="584">
      <c r="A584" s="196"/>
      <c r="B584" s="197" t="str">
        <f>IFERROR(__xludf.DUMMYFUNCTION("""COMPUTED_VALUE"""),"Umbral")</f>
        <v>Umbral</v>
      </c>
      <c r="C584" s="197">
        <f t="shared" si="1"/>
        <v>1</v>
      </c>
      <c r="D584" s="20" t="s">
        <v>2991</v>
      </c>
      <c r="E584" s="20">
        <v>1.0</v>
      </c>
    </row>
    <row r="585">
      <c r="A585" s="196"/>
      <c r="B585" s="197" t="str">
        <f>IFERROR(__xludf.DUMMYFUNCTION("""COMPUTED_VALUE"""),"Voidkiss")</f>
        <v>Voidkiss</v>
      </c>
      <c r="C585" s="197">
        <f t="shared" si="1"/>
        <v>1</v>
      </c>
      <c r="D585" s="20" t="s">
        <v>2992</v>
      </c>
      <c r="E585" s="20">
        <v>1.0</v>
      </c>
    </row>
    <row r="586">
      <c r="A586" s="196"/>
      <c r="B586" s="197" t="str">
        <f>IFERROR(__xludf.DUMMYFUNCTION("""COMPUTED_VALUE"""),"Siren")</f>
        <v>Siren</v>
      </c>
      <c r="C586" s="197">
        <f t="shared" si="1"/>
        <v>1</v>
      </c>
      <c r="D586" s="20" t="s">
        <v>2993</v>
      </c>
      <c r="E586" s="20">
        <v>1.0</v>
      </c>
    </row>
    <row r="587">
      <c r="A587" s="196" t="str">
        <f>IFERROR(__xludf.DUMMYFUNCTION("""COMPUTED_VALUE"""),"Hailbringer")</f>
        <v>Hailbringer</v>
      </c>
      <c r="B587" s="197" t="str">
        <f>IFERROR(__xludf.DUMMYFUNCTION("""COMPUTED_VALUE"""),"Rootstrosity")</f>
        <v>Rootstrosity</v>
      </c>
      <c r="C587" s="197">
        <f t="shared" si="1"/>
        <v>1</v>
      </c>
      <c r="D587" s="20" t="s">
        <v>2066</v>
      </c>
      <c r="E587" s="20">
        <v>1.0</v>
      </c>
    </row>
    <row r="588">
      <c r="A588" s="196"/>
      <c r="B588" s="197" t="str">
        <f>IFERROR(__xludf.DUMMYFUNCTION("""COMPUTED_VALUE"""),"Voodoo")</f>
        <v>Voodoo</v>
      </c>
      <c r="C588" s="197">
        <f t="shared" si="1"/>
        <v>1</v>
      </c>
      <c r="D588" s="20" t="s">
        <v>2994</v>
      </c>
      <c r="E588" s="20">
        <v>1.0</v>
      </c>
    </row>
    <row r="589">
      <c r="A589" s="196"/>
      <c r="B589" s="197" t="str">
        <f>IFERROR(__xludf.DUMMYFUNCTION("""COMPUTED_VALUE"""),"Doctor")</f>
        <v>Doctor</v>
      </c>
      <c r="C589" s="197">
        <f t="shared" si="1"/>
        <v>1</v>
      </c>
      <c r="D589" s="20" t="s">
        <v>2995</v>
      </c>
      <c r="E589" s="20">
        <v>1.0</v>
      </c>
    </row>
    <row r="590">
      <c r="A590" s="196"/>
      <c r="B590" s="197" t="str">
        <f>IFERROR(__xludf.DUMMYFUNCTION("""COMPUTED_VALUE"""),"Whispering")</f>
        <v>Whispering</v>
      </c>
      <c r="C590" s="197">
        <f t="shared" si="1"/>
        <v>1</v>
      </c>
      <c r="D590" s="20" t="s">
        <v>2996</v>
      </c>
      <c r="E590" s="20">
        <v>1.0</v>
      </c>
    </row>
    <row r="591">
      <c r="A591" s="196"/>
      <c r="B591" s="197" t="str">
        <f>IFERROR(__xludf.DUMMYFUNCTION("""COMPUTED_VALUE"""),"Tome")</f>
        <v>Tome</v>
      </c>
      <c r="C591" s="197">
        <f t="shared" si="1"/>
        <v>1</v>
      </c>
      <c r="D591" s="20" t="s">
        <v>2997</v>
      </c>
      <c r="E591" s="20">
        <v>1.0</v>
      </c>
    </row>
    <row r="592">
      <c r="A592" s="196" t="str">
        <f>IFERROR(__xludf.DUMMYFUNCTION("""COMPUTED_VALUE"""),"Stormlash")</f>
        <v>Stormlash</v>
      </c>
      <c r="B592" s="197" t="str">
        <f>IFERROR(__xludf.DUMMYFUNCTION("""COMPUTED_VALUE"""),"Choking")</f>
        <v>Choking</v>
      </c>
      <c r="C592" s="197">
        <f t="shared" si="1"/>
        <v>1</v>
      </c>
      <c r="D592" s="20" t="s">
        <v>2080</v>
      </c>
      <c r="E592" s="20">
        <v>1.0</v>
      </c>
    </row>
    <row r="593">
      <c r="A593" s="196"/>
      <c r="B593" s="197" t="str">
        <f>IFERROR(__xludf.DUMMYFUNCTION("""COMPUTED_VALUE"""),"Vines")</f>
        <v>Vines</v>
      </c>
      <c r="C593" s="197">
        <f t="shared" si="1"/>
        <v>1</v>
      </c>
      <c r="D593" s="20" t="s">
        <v>2998</v>
      </c>
      <c r="E593" s="20">
        <v>1.0</v>
      </c>
    </row>
    <row r="594">
      <c r="A594" s="196"/>
      <c r="B594" s="197" t="str">
        <f>IFERROR(__xludf.DUMMYFUNCTION("""COMPUTED_VALUE"""),"Heathborn")</f>
        <v>Heathborn</v>
      </c>
      <c r="C594" s="197">
        <f t="shared" si="1"/>
        <v>1</v>
      </c>
      <c r="D594" s="20" t="s">
        <v>2999</v>
      </c>
      <c r="E594" s="20">
        <v>1.0</v>
      </c>
    </row>
    <row r="595">
      <c r="A595" s="196"/>
      <c r="B595" s="197" t="str">
        <f>IFERROR(__xludf.DUMMYFUNCTION("""COMPUTED_VALUE"""),"Protector")</f>
        <v>Protector</v>
      </c>
      <c r="C595" s="197">
        <f t="shared" si="1"/>
        <v>1</v>
      </c>
      <c r="D595" s="20" t="s">
        <v>3000</v>
      </c>
      <c r="E595" s="20">
        <v>1.0</v>
      </c>
    </row>
    <row r="596">
      <c r="A596" s="196"/>
      <c r="B596" s="197" t="str">
        <f>IFERROR(__xludf.DUMMYFUNCTION("""COMPUTED_VALUE"""),"Wastelands")</f>
        <v>Wastelands</v>
      </c>
      <c r="C596" s="197">
        <f t="shared" si="1"/>
        <v>1</v>
      </c>
      <c r="D596" s="20" t="s">
        <v>3001</v>
      </c>
      <c r="E596" s="20">
        <v>1.0</v>
      </c>
    </row>
    <row r="597">
      <c r="A597" s="196" t="str">
        <f>IFERROR(__xludf.DUMMYFUNCTION("""COMPUTED_VALUE"""),"Stormworn")</f>
        <v>Stormworn</v>
      </c>
      <c r="B597" s="197" t="str">
        <f>IFERROR(__xludf.DUMMYFUNCTION("""COMPUTED_VALUE"""),"Crystalbane")</f>
        <v>Crystalbane</v>
      </c>
      <c r="C597" s="197">
        <f t="shared" si="1"/>
        <v>1</v>
      </c>
      <c r="D597" s="20" t="s">
        <v>3002</v>
      </c>
      <c r="E597" s="20">
        <v>1.0</v>
      </c>
    </row>
    <row r="598">
      <c r="A598" s="196" t="str">
        <f>IFERROR(__xludf.DUMMYFUNCTION("""COMPUTED_VALUE"""),"Horn")</f>
        <v>Horn</v>
      </c>
      <c r="B598" s="197" t="str">
        <f>IFERROR(__xludf.DUMMYFUNCTION("""COMPUTED_VALUE"""),"Glutton")</f>
        <v>Glutton</v>
      </c>
      <c r="C598" s="197">
        <f t="shared" si="1"/>
        <v>1</v>
      </c>
      <c r="D598" s="20" t="s">
        <v>3003</v>
      </c>
      <c r="E598" s="20">
        <v>1.0</v>
      </c>
    </row>
    <row r="599">
      <c r="A599" s="196"/>
      <c r="B599" s="197" t="str">
        <f>IFERROR(__xludf.DUMMYFUNCTION("""COMPUTED_VALUE"""),"Crystalline")</f>
        <v>Crystalline</v>
      </c>
      <c r="C599" s="197">
        <f t="shared" si="1"/>
        <v>1</v>
      </c>
      <c r="D599" s="20" t="s">
        <v>3004</v>
      </c>
      <c r="E599" s="20">
        <v>1.0</v>
      </c>
    </row>
    <row r="600">
      <c r="A600" s="196"/>
      <c r="B600" s="197" t="str">
        <f>IFERROR(__xludf.DUMMYFUNCTION("""COMPUTED_VALUE"""),"Parasite")</f>
        <v>Parasite</v>
      </c>
      <c r="C600" s="197">
        <f t="shared" si="1"/>
        <v>1</v>
      </c>
      <c r="D600" s="20" t="s">
        <v>3005</v>
      </c>
      <c r="E600" s="20">
        <v>1.0</v>
      </c>
    </row>
    <row r="601">
      <c r="A601" s="196"/>
      <c r="B601" s="197" t="str">
        <f>IFERROR(__xludf.DUMMYFUNCTION("""COMPUTED_VALUE"""),"Fortune's")</f>
        <v>Fortune's</v>
      </c>
      <c r="C601" s="197">
        <f t="shared" si="1"/>
        <v>1</v>
      </c>
      <c r="D601" s="20" t="s">
        <v>3006</v>
      </c>
      <c r="E601" s="20">
        <v>1.0</v>
      </c>
    </row>
    <row r="602">
      <c r="A602" s="196" t="str">
        <f>IFERROR(__xludf.DUMMYFUNCTION("""COMPUTED_VALUE"""),"Glinteye")</f>
        <v>Glinteye</v>
      </c>
      <c r="B602" s="197" t="str">
        <f>IFERROR(__xludf.DUMMYFUNCTION("""COMPUTED_VALUE"""),"Favorite")</f>
        <v>Favorite</v>
      </c>
      <c r="C602" s="197">
        <f t="shared" si="1"/>
        <v>1</v>
      </c>
      <c r="D602" s="20" t="s">
        <v>3007</v>
      </c>
      <c r="E602" s="20">
        <v>1.0</v>
      </c>
    </row>
    <row r="603">
      <c r="A603" s="196" t="str">
        <f>IFERROR(__xludf.DUMMYFUNCTION("""COMPUTED_VALUE"""),"Hoarder")</f>
        <v>Hoarder</v>
      </c>
      <c r="B603" s="197" t="str">
        <f>IFERROR(__xludf.DUMMYFUNCTION("""COMPUTED_VALUE"""),"Gigantic")</f>
        <v>Gigantic</v>
      </c>
      <c r="C603" s="197">
        <f t="shared" si="1"/>
        <v>1</v>
      </c>
      <c r="D603" s="20" t="s">
        <v>3008</v>
      </c>
      <c r="E603" s="20">
        <v>1.0</v>
      </c>
    </row>
    <row r="604">
      <c r="A604" s="196"/>
      <c r="B604" s="197" t="str">
        <f>IFERROR(__xludf.DUMMYFUNCTION("""COMPUTED_VALUE"""),"Terrormaw")</f>
        <v>Terrormaw</v>
      </c>
      <c r="C604" s="197">
        <f t="shared" si="1"/>
        <v>1</v>
      </c>
      <c r="D604" s="20" t="s">
        <v>3009</v>
      </c>
      <c r="E604" s="20">
        <v>1.0</v>
      </c>
    </row>
    <row r="605">
      <c r="A605" s="196"/>
      <c r="B605" s="197" t="str">
        <f>IFERROR(__xludf.DUMMYFUNCTION("""COMPUTED_VALUE"""),"Null")</f>
        <v>Null</v>
      </c>
      <c r="C605" s="197">
        <f t="shared" si="1"/>
        <v>1</v>
      </c>
      <c r="D605" s="20" t="s">
        <v>3010</v>
      </c>
      <c r="E605" s="20">
        <v>1.0</v>
      </c>
    </row>
    <row r="606">
      <c r="A606" s="196"/>
      <c r="B606" s="197" t="str">
        <f>IFERROR(__xludf.DUMMYFUNCTION("""COMPUTED_VALUE"""),"Ghost")</f>
        <v>Ghost</v>
      </c>
      <c r="C606" s="197">
        <f t="shared" si="1"/>
        <v>1</v>
      </c>
      <c r="D606" s="20" t="s">
        <v>3011</v>
      </c>
      <c r="E606" s="20">
        <v>1.0</v>
      </c>
    </row>
    <row r="607">
      <c r="A607" s="196" t="str">
        <f>IFERROR(__xludf.DUMMYFUNCTION("""COMPUTED_VALUE"""),"The")</f>
        <v>The</v>
      </c>
      <c r="B607" s="197" t="str">
        <f>IFERROR(__xludf.DUMMYFUNCTION("""COMPUTED_VALUE"""),"Bear")</f>
        <v>Bear</v>
      </c>
      <c r="C607" s="197">
        <f t="shared" si="1"/>
        <v>1</v>
      </c>
      <c r="D607" s="20" t="s">
        <v>3012</v>
      </c>
      <c r="E607" s="20">
        <v>1.0</v>
      </c>
    </row>
    <row r="608">
      <c r="A608" s="196" t="str">
        <f>IFERROR(__xludf.DUMMYFUNCTION("""COMPUTED_VALUE"""),"Culling")</f>
        <v>Culling</v>
      </c>
      <c r="B608" s="197" t="str">
        <f>IFERROR(__xludf.DUMMYFUNCTION("""COMPUTED_VALUE"""),"Cub")</f>
        <v>Cub</v>
      </c>
      <c r="C608" s="197">
        <f t="shared" si="1"/>
        <v>1</v>
      </c>
      <c r="D608" s="20" t="s">
        <v>3013</v>
      </c>
      <c r="E608" s="20">
        <v>1.0</v>
      </c>
    </row>
    <row r="609">
      <c r="A609" s="196" t="str">
        <f>IFERROR(__xludf.DUMMYFUNCTION("""COMPUTED_VALUE"""),"Claw")</f>
        <v>Claw</v>
      </c>
      <c r="B609" s="197" t="str">
        <f>IFERROR(__xludf.DUMMYFUNCTION("""COMPUTED_VALUE"""),"Necroconut")</f>
        <v>Necroconut</v>
      </c>
      <c r="C609" s="197">
        <f t="shared" si="1"/>
        <v>1</v>
      </c>
      <c r="D609" s="20" t="s">
        <v>3014</v>
      </c>
      <c r="E609" s="20">
        <v>1.0</v>
      </c>
    </row>
    <row r="610">
      <c r="A610" s="196"/>
      <c r="B610" s="197" t="str">
        <f>IFERROR(__xludf.DUMMYFUNCTION("""COMPUTED_VALUE"""),"Crab")</f>
        <v>Crab</v>
      </c>
      <c r="C610" s="197">
        <f t="shared" si="1"/>
        <v>1</v>
      </c>
      <c r="D610" s="20" t="s">
        <v>3015</v>
      </c>
      <c r="E610" s="20">
        <v>1.0</v>
      </c>
    </row>
    <row r="611">
      <c r="A611" s="196"/>
      <c r="B611" s="197" t="str">
        <f>IFERROR(__xludf.DUMMYFUNCTION("""COMPUTED_VALUE"""),"Rotting")</f>
        <v>Rotting</v>
      </c>
      <c r="C611" s="197">
        <f t="shared" si="1"/>
        <v>1</v>
      </c>
      <c r="D611" s="20" t="s">
        <v>3016</v>
      </c>
      <c r="E611" s="20">
        <v>1.0</v>
      </c>
    </row>
    <row r="612">
      <c r="A612" s="196" t="str">
        <f>IFERROR(__xludf.DUMMYFUNCTION("""COMPUTED_VALUE"""),"Thunderfox")</f>
        <v>Thunderfox</v>
      </c>
      <c r="B612" s="197" t="str">
        <f>IFERROR(__xludf.DUMMYFUNCTION("""COMPUTED_VALUE"""),"Alicorn")</f>
        <v>Alicorn</v>
      </c>
      <c r="C612" s="197">
        <f t="shared" si="1"/>
        <v>1</v>
      </c>
      <c r="D612" s="20" t="s">
        <v>3017</v>
      </c>
      <c r="E612" s="20">
        <v>1.0</v>
      </c>
    </row>
    <row r="613">
      <c r="A613" s="196"/>
      <c r="B613" s="197" t="str">
        <f>IFERROR(__xludf.DUMMYFUNCTION("""COMPUTED_VALUE"""),"Initiate")</f>
        <v>Initiate</v>
      </c>
      <c r="C613" s="197">
        <f t="shared" si="1"/>
        <v>1</v>
      </c>
      <c r="D613" s="20" t="s">
        <v>3018</v>
      </c>
      <c r="E613" s="20">
        <v>1.0</v>
      </c>
    </row>
    <row r="614">
      <c r="A614" s="196"/>
      <c r="B614" s="197" t="str">
        <f>IFERROR(__xludf.DUMMYFUNCTION("""COMPUTED_VALUE"""),"Cryptroach")</f>
        <v>Cryptroach</v>
      </c>
      <c r="C614" s="197">
        <f t="shared" si="1"/>
        <v>1</v>
      </c>
      <c r="D614" s="20" t="s">
        <v>3019</v>
      </c>
      <c r="E614" s="20">
        <v>1.0</v>
      </c>
    </row>
    <row r="615">
      <c r="A615" s="196"/>
      <c r="B615" s="197" t="str">
        <f>IFERROR(__xludf.DUMMYFUNCTION("""COMPUTED_VALUE"""),"Abyssal")</f>
        <v>Abyssal</v>
      </c>
      <c r="C615" s="197">
        <f t="shared" si="1"/>
        <v>1</v>
      </c>
      <c r="D615" s="20" t="s">
        <v>3020</v>
      </c>
      <c r="E615" s="20">
        <v>1.0</v>
      </c>
    </row>
    <row r="616">
      <c r="A616" s="196"/>
      <c r="B616" s="197" t="str">
        <f>IFERROR(__xludf.DUMMYFUNCTION("""COMPUTED_VALUE"""),"Silencer")</f>
        <v>Silencer</v>
      </c>
      <c r="C616" s="197">
        <f t="shared" si="1"/>
        <v>1</v>
      </c>
      <c r="D616" s="20" t="s">
        <v>3021</v>
      </c>
      <c r="E616" s="20">
        <v>1.0</v>
      </c>
    </row>
    <row r="617">
      <c r="A617" s="196" t="str">
        <f>IFERROR(__xludf.DUMMYFUNCTION("""COMPUTED_VALUE"""),"Raijin's")</f>
        <v>Raijin's</v>
      </c>
      <c r="B617" s="197" t="str">
        <f>IFERROR(__xludf.DUMMYFUNCTION("""COMPUTED_VALUE"""),"Blightcoven")</f>
        <v>Blightcoven</v>
      </c>
      <c r="C617" s="197">
        <f t="shared" si="1"/>
        <v>1</v>
      </c>
      <c r="D617" s="20" t="s">
        <v>3022</v>
      </c>
      <c r="E617" s="20">
        <v>1.0</v>
      </c>
    </row>
    <row r="618">
      <c r="A618" s="196" t="str">
        <f>IFERROR(__xludf.DUMMYFUNCTION("""COMPUTED_VALUE"""),"Familiar")</f>
        <v>Familiar</v>
      </c>
      <c r="B618" s="197" t="str">
        <f>IFERROR(__xludf.DUMMYFUNCTION("""COMPUTED_VALUE"""),"Puppeteer")</f>
        <v>Puppeteer</v>
      </c>
      <c r="C618" s="197">
        <f t="shared" si="1"/>
        <v>1</v>
      </c>
      <c r="D618" s="20" t="s">
        <v>3023</v>
      </c>
      <c r="E618" s="20">
        <v>1.0</v>
      </c>
    </row>
    <row r="619">
      <c r="A619" s="196"/>
      <c r="B619" s="197" t="str">
        <f>IFERROR(__xludf.DUMMYFUNCTION("""COMPUTED_VALUE"""),"Ambassador")</f>
        <v>Ambassador</v>
      </c>
      <c r="C619" s="197">
        <f t="shared" si="1"/>
        <v>1</v>
      </c>
      <c r="D619" s="20" t="s">
        <v>2130</v>
      </c>
      <c r="E619" s="20">
        <v>1.0</v>
      </c>
    </row>
    <row r="620">
      <c r="A620" s="196"/>
      <c r="B620" s="197" t="str">
        <f>IFERROR(__xludf.DUMMYFUNCTION("""COMPUTED_VALUE"""),"Emissary")</f>
        <v>Emissary</v>
      </c>
      <c r="C620" s="197">
        <f t="shared" si="1"/>
        <v>1</v>
      </c>
      <c r="D620" s="20" t="s">
        <v>3024</v>
      </c>
      <c r="E620" s="20">
        <v>1.0</v>
      </c>
    </row>
    <row r="621">
      <c r="A621" s="196"/>
      <c r="B621" s="197" t="str">
        <f>IFERROR(__xludf.DUMMYFUNCTION("""COMPUTED_VALUE"""),"Darkness")</f>
        <v>Darkness</v>
      </c>
      <c r="C621" s="197">
        <f t="shared" si="1"/>
        <v>1</v>
      </c>
      <c r="D621" s="20" t="s">
        <v>3025</v>
      </c>
      <c r="E621" s="20">
        <v>1.0</v>
      </c>
    </row>
    <row r="622">
      <c r="A622" s="196" t="str">
        <f>IFERROR(__xludf.DUMMYFUNCTION("""COMPUTED_VALUE"""),"Twin")</f>
        <v>Twin</v>
      </c>
      <c r="B622" s="197" t="str">
        <f>IFERROR(__xludf.DUMMYFUNCTION("""COMPUTED_VALUE"""),"Chronicler")</f>
        <v>Chronicler</v>
      </c>
      <c r="C622" s="197">
        <f t="shared" si="1"/>
        <v>1</v>
      </c>
      <c r="D622" s="20" t="s">
        <v>3026</v>
      </c>
      <c r="E622" s="20">
        <v>1.0</v>
      </c>
    </row>
    <row r="623">
      <c r="A623" s="196" t="str">
        <f>IFERROR(__xludf.DUMMYFUNCTION("""COMPUTED_VALUE"""),"Thundertail")</f>
        <v>Thundertail</v>
      </c>
      <c r="B623" s="197" t="str">
        <f>IFERROR(__xludf.DUMMYFUNCTION("""COMPUTED_VALUE"""),"Serenader")</f>
        <v>Serenader</v>
      </c>
      <c r="C623" s="197">
        <f t="shared" si="1"/>
        <v>1</v>
      </c>
      <c r="D623" s="20" t="s">
        <v>3027</v>
      </c>
      <c r="E623" s="20">
        <v>1.0</v>
      </c>
    </row>
    <row r="624">
      <c r="A624" s="196"/>
      <c r="B624" s="197" t="str">
        <f>IFERROR(__xludf.DUMMYFUNCTION("""COMPUTED_VALUE"""),"Foul")</f>
        <v>Foul</v>
      </c>
      <c r="C624" s="197">
        <f t="shared" si="1"/>
        <v>1</v>
      </c>
      <c r="D624" s="20" t="s">
        <v>3028</v>
      </c>
      <c r="E624" s="20">
        <v>1.0</v>
      </c>
    </row>
    <row r="625">
      <c r="A625" s="196"/>
      <c r="B625" s="197" t="str">
        <f>IFERROR(__xludf.DUMMYFUNCTION("""COMPUTED_VALUE"""),"Corruptor")</f>
        <v>Corruptor</v>
      </c>
      <c r="C625" s="197">
        <f t="shared" si="1"/>
        <v>1</v>
      </c>
      <c r="D625" s="20" t="s">
        <v>3029</v>
      </c>
      <c r="E625" s="20">
        <v>1.0</v>
      </c>
    </row>
    <row r="626">
      <c r="A626" s="196"/>
      <c r="B626" s="197" t="str">
        <f>IFERROR(__xludf.DUMMYFUNCTION("""COMPUTED_VALUE"""),"Ghoulflesh")</f>
        <v>Ghoulflesh</v>
      </c>
      <c r="C626" s="197">
        <f t="shared" si="1"/>
        <v>1</v>
      </c>
      <c r="D626" s="20" t="s">
        <v>3030</v>
      </c>
      <c r="E626" s="20">
        <v>1.0</v>
      </c>
    </row>
    <row r="627">
      <c r="A627" s="196" t="str">
        <f>IFERROR(__xludf.DUMMYFUNCTION("""COMPUTED_VALUE"""),"Vengeful")</f>
        <v>Vengeful</v>
      </c>
      <c r="B627" s="197" t="str">
        <f>IFERROR(__xludf.DUMMYFUNCTION("""COMPUTED_VALUE"""),"Devourer")</f>
        <v>Devourer</v>
      </c>
      <c r="C627" s="197">
        <f t="shared" si="1"/>
        <v>1</v>
      </c>
      <c r="D627" s="20" t="s">
        <v>3031</v>
      </c>
      <c r="E627" s="20">
        <v>1.0</v>
      </c>
    </row>
    <row r="628">
      <c r="A628" s="196" t="str">
        <f>IFERROR(__xludf.DUMMYFUNCTION("""COMPUTED_VALUE"""),"Gust")</f>
        <v>Gust</v>
      </c>
      <c r="B628" s="197" t="str">
        <f>IFERROR(__xludf.DUMMYFUNCTION("""COMPUTED_VALUE"""),"Grinning")</f>
        <v>Grinning</v>
      </c>
      <c r="C628" s="197">
        <f t="shared" si="1"/>
        <v>1</v>
      </c>
      <c r="D628" s="20" t="s">
        <v>3032</v>
      </c>
      <c r="E628" s="20">
        <v>1.0</v>
      </c>
    </row>
    <row r="629">
      <c r="A629" s="196"/>
      <c r="B629" s="197" t="str">
        <f>IFERROR(__xludf.DUMMYFUNCTION("""COMPUTED_VALUE"""),"Amphora")</f>
        <v>Amphora</v>
      </c>
      <c r="C629" s="197">
        <f t="shared" si="1"/>
        <v>1</v>
      </c>
      <c r="D629" s="20" t="s">
        <v>3033</v>
      </c>
      <c r="E629" s="20">
        <v>1.0</v>
      </c>
    </row>
    <row r="630">
      <c r="A630" s="196"/>
      <c r="B630" s="197" t="str">
        <f>IFERROR(__xludf.DUMMYFUNCTION("""COMPUTED_VALUE"""),"Intrusive")</f>
        <v>Intrusive</v>
      </c>
      <c r="C630" s="197">
        <f t="shared" si="1"/>
        <v>1</v>
      </c>
      <c r="D630" s="20" t="s">
        <v>3034</v>
      </c>
      <c r="E630" s="20">
        <v>1.0</v>
      </c>
    </row>
    <row r="631">
      <c r="A631" s="196"/>
      <c r="B631" s="197" t="str">
        <f>IFERROR(__xludf.DUMMYFUNCTION("""COMPUTED_VALUE"""),"Advisor")</f>
        <v>Advisor</v>
      </c>
      <c r="C631" s="197">
        <f t="shared" si="1"/>
        <v>1</v>
      </c>
      <c r="D631" s="20" t="s">
        <v>3035</v>
      </c>
      <c r="E631" s="20">
        <v>1.0</v>
      </c>
    </row>
    <row r="632">
      <c r="A632" s="196" t="str">
        <f>IFERROR(__xludf.DUMMYFUNCTION("""COMPUTED_VALUE"""),"Runecursed")</f>
        <v>Runecursed</v>
      </c>
      <c r="B632" s="197" t="str">
        <f>IFERROR(__xludf.DUMMYFUNCTION("""COMPUTED_VALUE"""),"Heaven")</f>
        <v>Heaven</v>
      </c>
      <c r="C632" s="197">
        <f t="shared" si="1"/>
        <v>1</v>
      </c>
      <c r="D632" s="20" t="s">
        <v>3036</v>
      </c>
      <c r="E632" s="20">
        <v>1.0</v>
      </c>
    </row>
    <row r="633">
      <c r="A633" s="196" t="str">
        <f>IFERROR(__xludf.DUMMYFUNCTION("""COMPUTED_VALUE"""),"Wyvern")</f>
        <v>Wyvern</v>
      </c>
      <c r="B633" s="197" t="str">
        <f>IFERROR(__xludf.DUMMYFUNCTION("""COMPUTED_VALUE"""),"Pestilence")</f>
        <v>Pestilence</v>
      </c>
      <c r="C633" s="197">
        <f t="shared" si="1"/>
        <v>1</v>
      </c>
      <c r="D633" s="20" t="s">
        <v>3037</v>
      </c>
      <c r="E633" s="20">
        <v>1.0</v>
      </c>
    </row>
    <row r="634">
      <c r="A634" s="196"/>
      <c r="B634" s="197" t="str">
        <f>IFERROR(__xludf.DUMMYFUNCTION("""COMPUTED_VALUE"""),"Haze")</f>
        <v>Haze</v>
      </c>
      <c r="C634" s="197">
        <f t="shared" si="1"/>
        <v>1</v>
      </c>
      <c r="D634" s="20" t="s">
        <v>3038</v>
      </c>
      <c r="E634" s="20">
        <v>1.0</v>
      </c>
    </row>
    <row r="635">
      <c r="A635" s="196"/>
      <c r="B635" s="197" t="str">
        <f>IFERROR(__xludf.DUMMYFUNCTION("""COMPUTED_VALUE"""),"Lamp")</f>
        <v>Lamp</v>
      </c>
      <c r="C635" s="197">
        <f t="shared" si="1"/>
        <v>1</v>
      </c>
      <c r="D635" s="20" t="s">
        <v>3039</v>
      </c>
      <c r="E635" s="20">
        <v>1.0</v>
      </c>
    </row>
    <row r="636">
      <c r="A636" s="196"/>
      <c r="B636" s="197" t="str">
        <f>IFERROR(__xludf.DUMMYFUNCTION("""COMPUTED_VALUE"""),"Oblivion")</f>
        <v>Oblivion</v>
      </c>
      <c r="C636" s="197">
        <f t="shared" si="1"/>
        <v>1</v>
      </c>
      <c r="D636" s="20" t="s">
        <v>3040</v>
      </c>
      <c r="E636" s="20">
        <v>1.0</v>
      </c>
    </row>
    <row r="637">
      <c r="A637" s="196" t="str">
        <f>IFERROR(__xludf.DUMMYFUNCTION("""COMPUTED_VALUE"""),"Skulloath")</f>
        <v>Skulloath</v>
      </c>
      <c r="B637" s="197" t="str">
        <f>IFERROR(__xludf.DUMMYFUNCTION("""COMPUTED_VALUE"""),"Rejuvenating")</f>
        <v>Rejuvenating</v>
      </c>
      <c r="C637" s="197">
        <f t="shared" si="1"/>
        <v>1</v>
      </c>
      <c r="D637" s="20" t="s">
        <v>3041</v>
      </c>
      <c r="E637" s="20">
        <v>1.0</v>
      </c>
    </row>
    <row r="638">
      <c r="A638" s="196" t="str">
        <f>IFERROR(__xludf.DUMMYFUNCTION("""COMPUTED_VALUE"""),"Lootclaimer")</f>
        <v>Lootclaimer</v>
      </c>
      <c r="B638" s="197" t="str">
        <f>IFERROR(__xludf.DUMMYFUNCTION("""COMPUTED_VALUE"""),"Blinking")</f>
        <v>Blinking</v>
      </c>
      <c r="C638" s="197">
        <f t="shared" si="1"/>
        <v>1</v>
      </c>
      <c r="D638" s="20" t="s">
        <v>3042</v>
      </c>
      <c r="E638" s="20">
        <v>1.0</v>
      </c>
    </row>
    <row r="639">
      <c r="A639" s="196"/>
      <c r="B639" s="197" t="str">
        <f>IFERROR(__xludf.DUMMYFUNCTION("""COMPUTED_VALUE"""),"Onyxion")</f>
        <v>Onyxion</v>
      </c>
      <c r="C639" s="197">
        <f t="shared" si="1"/>
        <v>1</v>
      </c>
      <c r="D639" s="20" t="s">
        <v>3043</v>
      </c>
      <c r="E639" s="20">
        <v>1.0</v>
      </c>
    </row>
    <row r="640">
      <c r="A640" s="196"/>
      <c r="B640" s="197" t="str">
        <f>IFERROR(__xludf.DUMMYFUNCTION("""COMPUTED_VALUE"""),"Thalis")</f>
        <v>Thalis</v>
      </c>
      <c r="C640" s="197">
        <f t="shared" si="1"/>
        <v>1</v>
      </c>
      <c r="D640" s="20" t="s">
        <v>3044</v>
      </c>
      <c r="E640" s="20">
        <v>1.0</v>
      </c>
    </row>
    <row r="641">
      <c r="A641" s="196"/>
      <c r="B641" s="197" t="str">
        <f>IFERROR(__xludf.DUMMYFUNCTION("""COMPUTED_VALUE"""),"Fuming")</f>
        <v>Fuming</v>
      </c>
      <c r="C641" s="197">
        <f t="shared" si="1"/>
        <v>1</v>
      </c>
      <c r="D641" s="20" t="s">
        <v>2186</v>
      </c>
      <c r="E641" s="20">
        <v>1.0</v>
      </c>
    </row>
    <row r="642">
      <c r="A642" s="196" t="str">
        <f>IFERROR(__xludf.DUMMYFUNCTION("""COMPUTED_VALUE"""),"Spell")</f>
        <v>Spell</v>
      </c>
      <c r="B642" s="197" t="str">
        <f>IFERROR(__xludf.DUMMYFUNCTION("""COMPUTED_VALUE"""),"Fukuisaur")</f>
        <v>Fukuisaur</v>
      </c>
      <c r="C642" s="197">
        <f t="shared" si="1"/>
        <v>1</v>
      </c>
      <c r="D642" s="20" t="s">
        <v>3045</v>
      </c>
      <c r="E642" s="20">
        <v>1.0</v>
      </c>
    </row>
    <row r="643">
      <c r="A643" s="196" t="str">
        <f>IFERROR(__xludf.DUMMYFUNCTION("""COMPUTED_VALUE"""),"Cat")</f>
        <v>Cat</v>
      </c>
      <c r="B643" s="197" t="str">
        <f>IFERROR(__xludf.DUMMYFUNCTION("""COMPUTED_VALUE"""),"Spreading")</f>
        <v>Spreading</v>
      </c>
      <c r="C643" s="197">
        <f t="shared" si="1"/>
        <v>1</v>
      </c>
      <c r="D643" s="20" t="s">
        <v>3046</v>
      </c>
      <c r="E643" s="20">
        <v>1.0</v>
      </c>
    </row>
    <row r="644">
      <c r="A644" s="196"/>
      <c r="B644" s="197" t="str">
        <f>IFERROR(__xludf.DUMMYFUNCTION("""COMPUTED_VALUE"""),"Spore")</f>
        <v>Spore</v>
      </c>
      <c r="C644" s="197">
        <f t="shared" si="1"/>
        <v>1</v>
      </c>
      <c r="D644" s="20" t="s">
        <v>3047</v>
      </c>
      <c r="E644" s="20">
        <v>1.0</v>
      </c>
    </row>
    <row r="645">
      <c r="A645" s="196"/>
      <c r="B645" s="197" t="str">
        <f>IFERROR(__xludf.DUMMYFUNCTION("""COMPUTED_VALUE"""),"Nightmare")</f>
        <v>Nightmare</v>
      </c>
      <c r="C645" s="197">
        <f t="shared" si="1"/>
        <v>2</v>
      </c>
      <c r="D645" s="20" t="s">
        <v>3048</v>
      </c>
      <c r="E645" s="20">
        <v>1.0</v>
      </c>
    </row>
    <row r="646">
      <c r="A646" s="196"/>
      <c r="B646" s="197" t="str">
        <f>IFERROR(__xludf.DUMMYFUNCTION("""COMPUTED_VALUE"""),"Chapel")</f>
        <v>Chapel</v>
      </c>
      <c r="C646" s="197">
        <f t="shared" si="1"/>
        <v>1</v>
      </c>
      <c r="D646" s="20" t="s">
        <v>3049</v>
      </c>
      <c r="E646" s="20">
        <v>1.0</v>
      </c>
    </row>
    <row r="647">
      <c r="A647" s="196" t="str">
        <f>IFERROR(__xludf.DUMMYFUNCTION("""COMPUTED_VALUE"""),"Vermillion")</f>
        <v>Vermillion</v>
      </c>
      <c r="B647" s="197" t="str">
        <f>IFERROR(__xludf.DUMMYFUNCTION("""COMPUTED_VALUE"""),"Watcher")</f>
        <v>Watcher</v>
      </c>
      <c r="C647" s="197">
        <f t="shared" si="1"/>
        <v>1</v>
      </c>
      <c r="D647" s="20" t="s">
        <v>3050</v>
      </c>
      <c r="E647" s="20">
        <v>1.0</v>
      </c>
    </row>
    <row r="648">
      <c r="A648" s="196" t="str">
        <f>IFERROR(__xludf.DUMMYFUNCTION("""COMPUTED_VALUE"""),"Firebird")</f>
        <v>Firebird</v>
      </c>
      <c r="B648" s="197" t="str">
        <f>IFERROR(__xludf.DUMMYFUNCTION("""COMPUTED_VALUE"""),"Luring")</f>
        <v>Luring</v>
      </c>
      <c r="C648" s="197">
        <f t="shared" si="1"/>
        <v>1</v>
      </c>
      <c r="D648" s="20" t="s">
        <v>3051</v>
      </c>
      <c r="E648" s="20">
        <v>1.0</v>
      </c>
    </row>
    <row r="649">
      <c r="A649" s="196"/>
      <c r="B649" s="197" t="str">
        <f>IFERROR(__xludf.DUMMYFUNCTION("""COMPUTED_VALUE"""),"Flametooth")</f>
        <v>Flametooth</v>
      </c>
      <c r="C649" s="197">
        <f t="shared" si="1"/>
        <v>1</v>
      </c>
      <c r="D649" s="20" t="s">
        <v>3052</v>
      </c>
      <c r="E649" s="20">
        <v>1.0</v>
      </c>
    </row>
    <row r="650">
      <c r="A650" s="196"/>
      <c r="B650" s="197" t="str">
        <f>IFERROR(__xludf.DUMMYFUNCTION("""COMPUTED_VALUE"""),"Shardsplosion")</f>
        <v>Shardsplosion</v>
      </c>
      <c r="C650" s="197">
        <f t="shared" si="1"/>
        <v>1</v>
      </c>
      <c r="D650" s="20" t="s">
        <v>3053</v>
      </c>
      <c r="E650" s="20">
        <v>1.0</v>
      </c>
    </row>
    <row r="651">
      <c r="A651" s="196"/>
      <c r="B651" s="197" t="str">
        <f>IFERROR(__xludf.DUMMYFUNCTION("""COMPUTED_VALUE"""),"Dragoncaller")</f>
        <v>Dragoncaller</v>
      </c>
      <c r="C651" s="197">
        <f t="shared" si="1"/>
        <v>1</v>
      </c>
      <c r="D651" s="20" t="s">
        <v>3054</v>
      </c>
      <c r="E651" s="20">
        <v>1.0</v>
      </c>
    </row>
    <row r="652">
      <c r="A652" s="196" t="str">
        <f>IFERROR(__xludf.DUMMYFUNCTION("""COMPUTED_VALUE"""),"Oasisdweller")</f>
        <v>Oasisdweller</v>
      </c>
      <c r="B652" s="197" t="str">
        <f>IFERROR(__xludf.DUMMYFUNCTION("""COMPUTED_VALUE"""),"Stalagmite")</f>
        <v>Stalagmite</v>
      </c>
      <c r="C652" s="197">
        <f t="shared" si="1"/>
        <v>1</v>
      </c>
      <c r="D652" s="20" t="s">
        <v>3055</v>
      </c>
      <c r="E652" s="20">
        <v>1.0</v>
      </c>
    </row>
    <row r="653">
      <c r="A653" s="196"/>
      <c r="B653" s="197" t="str">
        <f>IFERROR(__xludf.DUMMYFUNCTION("""COMPUTED_VALUE"""),"Mirage")</f>
        <v>Mirage</v>
      </c>
      <c r="C653" s="197">
        <f t="shared" si="1"/>
        <v>1</v>
      </c>
      <c r="D653" s="20" t="s">
        <v>3056</v>
      </c>
      <c r="E653" s="20">
        <v>1.0</v>
      </c>
    </row>
    <row r="654">
      <c r="A654" s="196"/>
      <c r="B654" s="197" t="str">
        <f>IFERROR(__xludf.DUMMYFUNCTION("""COMPUTED_VALUE"""),"Heavenbound")</f>
        <v>Heavenbound</v>
      </c>
      <c r="C654" s="197">
        <f t="shared" si="1"/>
        <v>1</v>
      </c>
      <c r="D654" s="20" t="s">
        <v>2217</v>
      </c>
      <c r="E654" s="20">
        <v>1.0</v>
      </c>
    </row>
    <row r="655">
      <c r="A655" s="196"/>
      <c r="B655" s="197" t="str">
        <f>IFERROR(__xludf.DUMMYFUNCTION("""COMPUTED_VALUE"""),"Heka-Mage")</f>
        <v>Heka-Mage</v>
      </c>
      <c r="C655" s="197">
        <f t="shared" si="1"/>
        <v>1</v>
      </c>
      <c r="D655" s="20" t="s">
        <v>2219</v>
      </c>
      <c r="E655" s="20">
        <v>1.0</v>
      </c>
    </row>
    <row r="656">
      <c r="A656" s="196"/>
      <c r="B656" s="197" t="str">
        <f>IFERROR(__xludf.DUMMYFUNCTION("""COMPUTED_VALUE"""),"Twilight")</f>
        <v>Twilight</v>
      </c>
      <c r="C656" s="197">
        <f t="shared" si="1"/>
        <v>2</v>
      </c>
      <c r="D656" s="20" t="s">
        <v>3057</v>
      </c>
      <c r="E656" s="20">
        <v>1.0</v>
      </c>
    </row>
    <row r="657">
      <c r="A657" s="196" t="str">
        <f>IFERROR(__xludf.DUMMYFUNCTION("""COMPUTED_VALUE"""),"Portalrunner")</f>
        <v>Portalrunner</v>
      </c>
      <c r="B657" s="197" t="str">
        <f>IFERROR(__xludf.DUMMYFUNCTION("""COMPUTED_VALUE"""),"Sorceress")</f>
        <v>Sorceress</v>
      </c>
      <c r="C657" s="197">
        <f t="shared" si="1"/>
        <v>1</v>
      </c>
      <c r="D657" s="20" t="s">
        <v>3058</v>
      </c>
      <c r="E657" s="20">
        <v>1.0</v>
      </c>
    </row>
    <row r="658">
      <c r="A658" s="196"/>
      <c r="B658" s="197" t="str">
        <f>IFERROR(__xludf.DUMMYFUNCTION("""COMPUTED_VALUE"""),"Twinfang")</f>
        <v>Twinfang</v>
      </c>
      <c r="C658" s="197">
        <f t="shared" si="1"/>
        <v>1</v>
      </c>
      <c r="D658" s="20" t="s">
        <v>3059</v>
      </c>
      <c r="E658" s="20">
        <v>1.0</v>
      </c>
    </row>
    <row r="659">
      <c r="A659" s="196"/>
      <c r="B659" s="197" t="str">
        <f>IFERROR(__xludf.DUMMYFUNCTION("""COMPUTED_VALUE"""),"Huntcaller")</f>
        <v>Huntcaller</v>
      </c>
      <c r="C659" s="197">
        <f t="shared" si="1"/>
        <v>1</v>
      </c>
      <c r="D659" s="20" t="s">
        <v>3060</v>
      </c>
      <c r="E659" s="20">
        <v>1.0</v>
      </c>
    </row>
    <row r="660">
      <c r="A660" s="196"/>
      <c r="B660" s="197" t="str">
        <f>IFERROR(__xludf.DUMMYFUNCTION("""COMPUTED_VALUE"""),"Vanguard")</f>
        <v>Vanguard</v>
      </c>
      <c r="C660" s="197">
        <f t="shared" si="1"/>
        <v>1</v>
      </c>
      <c r="D660" s="20" t="s">
        <v>3061</v>
      </c>
      <c r="E660" s="20">
        <v>1.0</v>
      </c>
    </row>
    <row r="661">
      <c r="A661" s="196"/>
      <c r="B661" s="197" t="str">
        <f>IFERROR(__xludf.DUMMYFUNCTION("""COMPUTED_VALUE"""),"#VALUE!")</f>
        <v>#VALUE!</v>
      </c>
      <c r="C661" s="197">
        <f t="shared" si="1"/>
        <v>1</v>
      </c>
      <c r="D661" s="20" t="s">
        <v>3062</v>
      </c>
      <c r="E661" s="20">
        <v>1.0</v>
      </c>
    </row>
    <row r="662">
      <c r="A662" s="196" t="str">
        <f>IFERROR(__xludf.DUMMYFUNCTION("""COMPUTED_VALUE"""),"Cinderguard")</f>
        <v>Cinderguard</v>
      </c>
      <c r="B662" s="197" t="str">
        <f>IFERROR(__xludf.DUMMYFUNCTION("""COMPUTED_VALUE"""),"Behemoth")</f>
        <v>Behemoth</v>
      </c>
      <c r="C662" s="197">
        <f t="shared" si="1"/>
        <v>2</v>
      </c>
      <c r="D662" s="20" t="s">
        <v>3063</v>
      </c>
      <c r="E662" s="20">
        <v>1.0</v>
      </c>
    </row>
    <row r="663">
      <c r="A663" s="196" t="str">
        <f>IFERROR(__xludf.DUMMYFUNCTION("""COMPUTED_VALUE"""),"Irregulars")</f>
        <v>Irregulars</v>
      </c>
      <c r="B663" s="197" t="str">
        <f>IFERROR(__xludf.DUMMYFUNCTION("""COMPUTED_VALUE"""),"Guider")</f>
        <v>Guider</v>
      </c>
      <c r="C663" s="197">
        <f t="shared" si="1"/>
        <v>1</v>
      </c>
      <c r="D663" s="20" t="s">
        <v>3064</v>
      </c>
      <c r="E663" s="20">
        <v>1.0</v>
      </c>
    </row>
    <row r="664">
      <c r="A664" s="196"/>
      <c r="B664" s="197" t="str">
        <f>IFERROR(__xludf.DUMMYFUNCTION("""COMPUTED_VALUE"""),"Yesterknight")</f>
        <v>Yesterknight</v>
      </c>
      <c r="C664" s="197">
        <f t="shared" si="1"/>
        <v>1</v>
      </c>
      <c r="D664" s="20" t="e">
        <v>#VALUE!</v>
      </c>
      <c r="E664" s="20">
        <v>1.0</v>
      </c>
    </row>
    <row r="665">
      <c r="A665" s="196"/>
      <c r="B665" s="197" t="str">
        <f>IFERROR(__xludf.DUMMYFUNCTION("""COMPUTED_VALUE"""),"Alchemist")</f>
        <v>Alchemist</v>
      </c>
      <c r="C665" s="197">
        <f t="shared" si="1"/>
        <v>1</v>
      </c>
      <c r="D665" s="20" t="s">
        <v>3065</v>
      </c>
      <c r="E665" s="20">
        <v>1.0</v>
      </c>
    </row>
    <row r="666">
      <c r="A666" s="196"/>
      <c r="B666" s="197" t="str">
        <f>IFERROR(__xludf.DUMMYFUNCTION("""COMPUTED_VALUE"""),"Mirrorkin")</f>
        <v>Mirrorkin</v>
      </c>
      <c r="C666" s="197">
        <f t="shared" si="1"/>
        <v>1</v>
      </c>
      <c r="D666" s="20" t="s">
        <v>3066</v>
      </c>
      <c r="E666" s="20">
        <v>1.0</v>
      </c>
    </row>
    <row r="667">
      <c r="A667" s="196" t="str">
        <f>IFERROR(__xludf.DUMMYFUNCTION("""COMPUTED_VALUE"""),"Steelclaw")</f>
        <v>Steelclaw</v>
      </c>
      <c r="B667" s="197" t="str">
        <f>IFERROR(__xludf.DUMMYFUNCTION("""COMPUTED_VALUE"""),"Ticking")</f>
        <v>Ticking</v>
      </c>
      <c r="C667" s="197">
        <f t="shared" si="1"/>
        <v>1</v>
      </c>
      <c r="D667" s="20" t="s">
        <v>3067</v>
      </c>
      <c r="E667" s="20">
        <v>1.0</v>
      </c>
    </row>
    <row r="668">
      <c r="A668" s="196" t="str">
        <f>IFERROR(__xludf.DUMMYFUNCTION("""COMPUTED_VALUE"""),"Veterans")</f>
        <v>Veterans</v>
      </c>
      <c r="B668" s="197" t="str">
        <f>IFERROR(__xludf.DUMMYFUNCTION("""COMPUTED_VALUE"""),"Tick")</f>
        <v>Tick</v>
      </c>
      <c r="C668" s="197">
        <f t="shared" si="1"/>
        <v>1</v>
      </c>
      <c r="D668" s="20" t="s">
        <v>2244</v>
      </c>
      <c r="E668" s="20">
        <v>1.0</v>
      </c>
    </row>
    <row r="669">
      <c r="A669" s="196"/>
      <c r="B669" s="197" t="str">
        <f>IFERROR(__xludf.DUMMYFUNCTION("""COMPUTED_VALUE"""),"Sucker")</f>
        <v>Sucker</v>
      </c>
      <c r="C669" s="197">
        <f t="shared" si="1"/>
        <v>5</v>
      </c>
      <c r="D669" s="20" t="s">
        <v>3068</v>
      </c>
      <c r="E669" s="20">
        <v>1.0</v>
      </c>
    </row>
    <row r="670">
      <c r="A670" s="196"/>
      <c r="B670" s="197" t="str">
        <f>IFERROR(__xludf.DUMMYFUNCTION("""COMPUTED_VALUE"""),"Conduit")</f>
        <v>Conduit</v>
      </c>
      <c r="C670" s="197">
        <f t="shared" si="1"/>
        <v>1</v>
      </c>
      <c r="D670" s="20" t="s">
        <v>3069</v>
      </c>
      <c r="E670" s="20">
        <v>1.0</v>
      </c>
    </row>
    <row r="671">
      <c r="A671" s="196"/>
      <c r="B671" s="197" t="str">
        <f>IFERROR(__xludf.DUMMYFUNCTION("""COMPUTED_VALUE"""),"Scale")</f>
        <v>Scale</v>
      </c>
      <c r="C671" s="197">
        <f t="shared" si="1"/>
        <v>1</v>
      </c>
      <c r="D671" s="20" t="s">
        <v>3070</v>
      </c>
      <c r="E671" s="20">
        <v>1.0</v>
      </c>
    </row>
    <row r="672">
      <c r="A672" s="196" t="str">
        <f>IFERROR(__xludf.DUMMYFUNCTION("""COMPUTED_VALUE"""),"Crazed")</f>
        <v>Crazed</v>
      </c>
      <c r="B672" s="197" t="str">
        <f>IFERROR(__xludf.DUMMYFUNCTION("""COMPUTED_VALUE"""),"Nethersilk")</f>
        <v>Nethersilk</v>
      </c>
      <c r="C672" s="197">
        <f t="shared" si="1"/>
        <v>1</v>
      </c>
      <c r="D672" s="20" t="s">
        <v>3071</v>
      </c>
      <c r="E672" s="20">
        <v>1.0</v>
      </c>
    </row>
    <row r="673">
      <c r="A673" s="196" t="str">
        <f>IFERROR(__xludf.DUMMYFUNCTION("""COMPUTED_VALUE"""),"Hermit")</f>
        <v>Hermit</v>
      </c>
      <c r="B673" s="197" t="str">
        <f>IFERROR(__xludf.DUMMYFUNCTION("""COMPUTED_VALUE"""),"Moth")</f>
        <v>Moth</v>
      </c>
      <c r="C673" s="197">
        <f t="shared" si="1"/>
        <v>1</v>
      </c>
      <c r="D673" s="20" t="s">
        <v>3072</v>
      </c>
      <c r="E673" s="20">
        <v>1.0</v>
      </c>
    </row>
    <row r="674">
      <c r="A674" s="196"/>
      <c r="B674" s="197" t="str">
        <f>IFERROR(__xludf.DUMMYFUNCTION("""COMPUTED_VALUE"""),"Penguin")</f>
        <v>Penguin</v>
      </c>
      <c r="C674" s="197">
        <f t="shared" si="1"/>
        <v>1</v>
      </c>
      <c r="D674" s="20" t="s">
        <v>3073</v>
      </c>
      <c r="E674" s="20">
        <v>1.0</v>
      </c>
    </row>
    <row r="675">
      <c r="A675" s="196"/>
      <c r="B675" s="197" t="str">
        <f>IFERROR(__xludf.DUMMYFUNCTION("""COMPUTED_VALUE"""),"Possessed")</f>
        <v>Possessed</v>
      </c>
      <c r="C675" s="197">
        <f t="shared" si="1"/>
        <v>1</v>
      </c>
      <c r="D675" s="20" t="s">
        <v>3074</v>
      </c>
      <c r="E675" s="20">
        <v>1.0</v>
      </c>
    </row>
    <row r="676">
      <c r="A676" s="196"/>
      <c r="B676" s="197" t="str">
        <f>IFERROR(__xludf.DUMMYFUNCTION("""COMPUTED_VALUE"""),"Vermin")</f>
        <v>Vermin</v>
      </c>
      <c r="C676" s="197">
        <f t="shared" si="1"/>
        <v>1</v>
      </c>
      <c r="D676" s="20" t="s">
        <v>3075</v>
      </c>
      <c r="E676" s="20">
        <v>1.0</v>
      </c>
    </row>
    <row r="677">
      <c r="A677" s="196" t="str">
        <f>IFERROR(__xludf.DUMMYFUNCTION("""COMPUTED_VALUE"""),"Galeweaver")</f>
        <v>Galeweaver</v>
      </c>
      <c r="B677" s="197" t="str">
        <f>IFERROR(__xludf.DUMMYFUNCTION("""COMPUTED_VALUE"""),"Brood")</f>
        <v>Brood</v>
      </c>
      <c r="C677" s="197">
        <f t="shared" si="1"/>
        <v>1</v>
      </c>
      <c r="D677" s="20" t="s">
        <v>3076</v>
      </c>
      <c r="E677" s="20">
        <v>1.0</v>
      </c>
    </row>
    <row r="678">
      <c r="A678" s="196"/>
      <c r="B678" s="197" t="str">
        <f>IFERROR(__xludf.DUMMYFUNCTION("""COMPUTED_VALUE"""),"Shadowsting")</f>
        <v>Shadowsting</v>
      </c>
      <c r="C678" s="197">
        <f t="shared" si="1"/>
        <v>1</v>
      </c>
      <c r="D678" s="20" t="s">
        <v>3077</v>
      </c>
      <c r="E678" s="20">
        <v>1.0</v>
      </c>
    </row>
    <row r="679">
      <c r="A679" s="196"/>
      <c r="B679" s="197" t="str">
        <f>IFERROR(__xludf.DUMMYFUNCTION("""COMPUTED_VALUE"""),"Shiverskull")</f>
        <v>Shiverskull</v>
      </c>
      <c r="C679" s="197">
        <f t="shared" si="1"/>
        <v>1</v>
      </c>
      <c r="D679" s="20" t="s">
        <v>3078</v>
      </c>
      <c r="E679" s="20">
        <v>1.0</v>
      </c>
    </row>
    <row r="680">
      <c r="A680" s="196"/>
      <c r="B680" s="197" t="str">
        <f>IFERROR(__xludf.DUMMYFUNCTION("""COMPUTED_VALUE"""),"Skull")</f>
        <v>Skull</v>
      </c>
      <c r="C680" s="197">
        <f t="shared" si="1"/>
        <v>1</v>
      </c>
      <c r="D680" s="20" t="s">
        <v>2280</v>
      </c>
      <c r="E680" s="20">
        <v>1.0</v>
      </c>
    </row>
    <row r="681">
      <c r="A681" s="196"/>
      <c r="B681" s="197" t="str">
        <f>IFERROR(__xludf.DUMMYFUNCTION("""COMPUTED_VALUE"""),"Crow")</f>
        <v>Crow</v>
      </c>
      <c r="C681" s="197">
        <f t="shared" si="1"/>
        <v>1</v>
      </c>
      <c r="D681" s="20" t="s">
        <v>3079</v>
      </c>
      <c r="E681" s="20">
        <v>1.0</v>
      </c>
    </row>
    <row r="682">
      <c r="A682" s="196" t="str">
        <f>IFERROR(__xludf.DUMMYFUNCTION("""COMPUTED_VALUE"""),"Lurking")</f>
        <v>Lurking</v>
      </c>
      <c r="B682" s="197" t="str">
        <f>IFERROR(__xludf.DUMMYFUNCTION("""COMPUTED_VALUE"""),"Symbiotic")</f>
        <v>Symbiotic</v>
      </c>
      <c r="C682" s="197">
        <f t="shared" si="1"/>
        <v>1</v>
      </c>
      <c r="D682" s="20" t="s">
        <v>3080</v>
      </c>
      <c r="E682" s="20">
        <v>1.0</v>
      </c>
    </row>
    <row r="683">
      <c r="A683" s="196" t="str">
        <f>IFERROR(__xludf.DUMMYFUNCTION("""COMPUTED_VALUE"""),"Canopystomper")</f>
        <v>Canopystomper</v>
      </c>
      <c r="B683" s="197" t="str">
        <f>IFERROR(__xludf.DUMMYFUNCTION("""COMPUTED_VALUE"""),"Crawler")</f>
        <v>Crawler</v>
      </c>
      <c r="C683" s="197">
        <f t="shared" si="1"/>
        <v>1</v>
      </c>
      <c r="D683" s="20" t="s">
        <v>3081</v>
      </c>
      <c r="E683" s="20">
        <v>1.0</v>
      </c>
    </row>
    <row r="684">
      <c r="A684" s="196"/>
      <c r="B684" s="197" t="str">
        <f>IFERROR(__xludf.DUMMYFUNCTION("""COMPUTED_VALUE"""),"Nightreaper")</f>
        <v>Nightreaper</v>
      </c>
      <c r="C684" s="197">
        <f t="shared" si="1"/>
        <v>1</v>
      </c>
      <c r="D684" s="20" t="s">
        <v>3082</v>
      </c>
      <c r="E684" s="20">
        <v>1.0</v>
      </c>
    </row>
    <row r="685">
      <c r="A685" s="196"/>
      <c r="B685" s="197" t="str">
        <f>IFERROR(__xludf.DUMMYFUNCTION("""COMPUTED_VALUE"""),"King")</f>
        <v>King</v>
      </c>
      <c r="C685" s="197">
        <f t="shared" si="1"/>
        <v>1</v>
      </c>
      <c r="D685" s="20" t="s">
        <v>2291</v>
      </c>
      <c r="E685" s="20">
        <v>1.0</v>
      </c>
    </row>
    <row r="686">
      <c r="A686" s="196"/>
      <c r="B686" s="197" t="str">
        <f>IFERROR(__xludf.DUMMYFUNCTION("""COMPUTED_VALUE"""),"Gorgon")</f>
        <v>Gorgon</v>
      </c>
      <c r="C686" s="197">
        <f t="shared" si="1"/>
        <v>1</v>
      </c>
      <c r="D686" s="20" t="s">
        <v>3083</v>
      </c>
      <c r="E686" s="20">
        <v>1.0</v>
      </c>
    </row>
    <row r="687">
      <c r="A687" s="196" t="str">
        <f>IFERROR(__xludf.DUMMYFUNCTION("""COMPUTED_VALUE"""),"Resourceful")</f>
        <v>Resourceful</v>
      </c>
      <c r="B687" s="197" t="str">
        <f>IFERROR(__xludf.DUMMYFUNCTION("""COMPUTED_VALUE"""),"Serpentress")</f>
        <v>Serpentress</v>
      </c>
      <c r="C687" s="197">
        <f t="shared" si="1"/>
        <v>1</v>
      </c>
      <c r="D687" s="20" t="s">
        <v>3084</v>
      </c>
      <c r="E687" s="20">
        <v>1.0</v>
      </c>
    </row>
    <row r="688">
      <c r="A688" s="196" t="str">
        <f>IFERROR(__xludf.DUMMYFUNCTION("""COMPUTED_VALUE"""),"Poacher")</f>
        <v>Poacher</v>
      </c>
      <c r="B688" s="197" t="str">
        <f>IFERROR(__xludf.DUMMYFUNCTION("""COMPUTED_VALUE"""),"Ill-Tempered")</f>
        <v>Ill-Tempered</v>
      </c>
      <c r="C688" s="197">
        <f t="shared" si="1"/>
        <v>1</v>
      </c>
      <c r="D688" s="20" t="s">
        <v>3085</v>
      </c>
      <c r="E688" s="20">
        <v>1.0</v>
      </c>
    </row>
    <row r="689">
      <c r="A689" s="196"/>
      <c r="B689" s="197" t="str">
        <f>IFERROR(__xludf.DUMMYFUNCTION("""COMPUTED_VALUE"""),"Nightbloom")</f>
        <v>Nightbloom</v>
      </c>
      <c r="C689" s="197">
        <f t="shared" si="1"/>
        <v>1</v>
      </c>
      <c r="D689" s="20" t="s">
        <v>3086</v>
      </c>
      <c r="E689" s="20">
        <v>1.0</v>
      </c>
    </row>
    <row r="690">
      <c r="A690" s="196"/>
      <c r="B690" s="197" t="str">
        <f>IFERROR(__xludf.DUMMYFUNCTION("""COMPUTED_VALUE"""),"Owl")</f>
        <v>Owl</v>
      </c>
      <c r="C690" s="197">
        <f t="shared" si="1"/>
        <v>1</v>
      </c>
      <c r="D690" s="20" t="s">
        <v>3087</v>
      </c>
      <c r="E690" s="20">
        <v>1.0</v>
      </c>
    </row>
    <row r="691">
      <c r="A691" s="196"/>
      <c r="B691" s="197" t="str">
        <f>IFERROR(__xludf.DUMMYFUNCTION("""COMPUTED_VALUE"""),"Shroom")</f>
        <v>Shroom</v>
      </c>
      <c r="C691" s="197">
        <f t="shared" si="1"/>
        <v>1</v>
      </c>
      <c r="D691" s="20" t="s">
        <v>3088</v>
      </c>
      <c r="E691" s="20">
        <v>1.0</v>
      </c>
    </row>
    <row r="692">
      <c r="A692" s="196" t="str">
        <f>IFERROR(__xludf.DUMMYFUNCTION("""COMPUTED_VALUE"""),"Infernoblight")</f>
        <v>Infernoblight</v>
      </c>
      <c r="B692" s="197" t="str">
        <f>IFERROR(__xludf.DUMMYFUNCTION("""COMPUTED_VALUE"""),"Hellblade")</f>
        <v>Hellblade</v>
      </c>
      <c r="C692" s="197">
        <f t="shared" si="1"/>
        <v>1</v>
      </c>
      <c r="D692" s="20" t="s">
        <v>3089</v>
      </c>
      <c r="E692" s="20">
        <v>1.0</v>
      </c>
    </row>
    <row r="693">
      <c r="A693" s="196"/>
      <c r="B693" s="197" t="str">
        <f>IFERROR(__xludf.DUMMYFUNCTION("""COMPUTED_VALUE"""),"Eclipse")</f>
        <v>Eclipse</v>
      </c>
      <c r="C693" s="197">
        <f t="shared" si="1"/>
        <v>1</v>
      </c>
      <c r="D693" s="20" t="s">
        <v>2305</v>
      </c>
      <c r="E693" s="20">
        <v>1.0</v>
      </c>
    </row>
    <row r="694">
      <c r="A694" s="196"/>
      <c r="B694" s="197" t="str">
        <f>IFERROR(__xludf.DUMMYFUNCTION("""COMPUTED_VALUE"""),"Scythe")</f>
        <v>Scythe</v>
      </c>
      <c r="C694" s="197">
        <f t="shared" si="1"/>
        <v>1</v>
      </c>
      <c r="D694" s="20" t="s">
        <v>3090</v>
      </c>
      <c r="E694" s="20">
        <v>1.0</v>
      </c>
    </row>
    <row r="695">
      <c r="A695" s="196"/>
      <c r="B695" s="197" t="str">
        <f>IFERROR(__xludf.DUMMYFUNCTION("""COMPUTED_VALUE"""),"Rotten")</f>
        <v>Rotten</v>
      </c>
      <c r="C695" s="197">
        <f t="shared" si="1"/>
        <v>1</v>
      </c>
      <c r="D695" s="20" t="s">
        <v>3091</v>
      </c>
      <c r="E695" s="20">
        <v>1.0</v>
      </c>
    </row>
    <row r="696">
      <c r="A696" s="196"/>
      <c r="B696" s="197" t="str">
        <f>IFERROR(__xludf.DUMMYFUNCTION("""COMPUTED_VALUE"""),"Stalker")</f>
        <v>Stalker</v>
      </c>
      <c r="C696" s="197">
        <f t="shared" si="1"/>
        <v>1</v>
      </c>
      <c r="D696" s="20" t="s">
        <v>3092</v>
      </c>
      <c r="E696" s="20">
        <v>1.0</v>
      </c>
    </row>
    <row r="697">
      <c r="A697" s="196" t="str">
        <f>IFERROR(__xludf.DUMMYFUNCTION("""COMPUTED_VALUE"""),"The")</f>
        <v>The</v>
      </c>
      <c r="B697" s="197" t="str">
        <f>IFERROR(__xludf.DUMMYFUNCTION("""COMPUTED_VALUE"""),"Wringing")</f>
        <v>Wringing</v>
      </c>
      <c r="C697" s="197">
        <f t="shared" si="1"/>
        <v>1</v>
      </c>
      <c r="D697" s="20" t="s">
        <v>3093</v>
      </c>
      <c r="E697" s="20">
        <v>1.0</v>
      </c>
    </row>
    <row r="698">
      <c r="A698" s="196" t="str">
        <f>IFERROR(__xludf.DUMMYFUNCTION("""COMPUTED_VALUE"""),"Skyshrieker")</f>
        <v>Skyshrieker</v>
      </c>
      <c r="B698" s="197" t="str">
        <f>IFERROR(__xludf.DUMMYFUNCTION("""COMPUTED_VALUE"""),"Clawing")</f>
        <v>Clawing</v>
      </c>
      <c r="C698" s="197">
        <f t="shared" si="1"/>
        <v>1</v>
      </c>
      <c r="D698" s="20" t="s">
        <v>3094</v>
      </c>
      <c r="E698" s="20">
        <v>1.0</v>
      </c>
    </row>
    <row r="699">
      <c r="A699" s="196"/>
      <c r="B699" s="197" t="str">
        <f>IFERROR(__xludf.DUMMYFUNCTION("""COMPUTED_VALUE"""),"Centipede")</f>
        <v>Centipede</v>
      </c>
      <c r="C699" s="197">
        <f t="shared" si="1"/>
        <v>1</v>
      </c>
      <c r="D699" s="20" t="s">
        <v>3095</v>
      </c>
      <c r="E699" s="20">
        <v>1.0</v>
      </c>
    </row>
    <row r="700">
      <c r="A700" s="196"/>
      <c r="B700" s="197" t="str">
        <f>IFERROR(__xludf.DUMMYFUNCTION("""COMPUTED_VALUE"""),"Voidsinger")</f>
        <v>Voidsinger</v>
      </c>
      <c r="C700" s="197">
        <f t="shared" si="1"/>
        <v>1</v>
      </c>
      <c r="D700" s="20" t="s">
        <v>3096</v>
      </c>
      <c r="E700" s="20">
        <v>1.0</v>
      </c>
    </row>
    <row r="701">
      <c r="A701" s="196"/>
      <c r="B701" s="197" t="str">
        <f>IFERROR(__xludf.DUMMYFUNCTION("""COMPUTED_VALUE"""),"Graverobbing")</f>
        <v>Graverobbing</v>
      </c>
      <c r="C701" s="197">
        <f t="shared" si="1"/>
        <v>1</v>
      </c>
      <c r="D701" s="20" t="s">
        <v>2330</v>
      </c>
      <c r="E701" s="20">
        <v>1.0</v>
      </c>
    </row>
    <row r="702">
      <c r="A702" s="196" t="str">
        <f>IFERROR(__xludf.DUMMYFUNCTION("""COMPUTED_VALUE"""),"Mistborn")</f>
        <v>Mistborn</v>
      </c>
      <c r="B702" s="197" t="str">
        <f>IFERROR(__xludf.DUMMYFUNCTION("""COMPUTED_VALUE"""),"Robot")</f>
        <v>Robot</v>
      </c>
      <c r="C702" s="197">
        <f t="shared" si="1"/>
        <v>1</v>
      </c>
      <c r="D702" s="20" t="s">
        <v>3097</v>
      </c>
      <c r="E702" s="20">
        <v>1.0</v>
      </c>
    </row>
    <row r="703">
      <c r="A703" s="196" t="str">
        <f>IFERROR(__xludf.DUMMYFUNCTION("""COMPUTED_VALUE"""),"Serpent")</f>
        <v>Serpent</v>
      </c>
      <c r="B703" s="197" t="str">
        <f>IFERROR(__xludf.DUMMYFUNCTION("""COMPUTED_VALUE"""),"Bandage")</f>
        <v>Bandage</v>
      </c>
      <c r="C703" s="197">
        <f t="shared" si="1"/>
        <v>1</v>
      </c>
      <c r="D703" s="20" t="s">
        <v>3098</v>
      </c>
      <c r="E703" s="20">
        <v>1.0</v>
      </c>
    </row>
    <row r="704">
      <c r="A704" s="196"/>
      <c r="B704" s="197" t="str">
        <f>IFERROR(__xludf.DUMMYFUNCTION("""COMPUTED_VALUE"""),"Deadfield")</f>
        <v>Deadfield</v>
      </c>
      <c r="C704" s="197">
        <f t="shared" si="1"/>
        <v>1</v>
      </c>
      <c r="D704" s="20" t="s">
        <v>3099</v>
      </c>
      <c r="E704" s="20">
        <v>1.0</v>
      </c>
    </row>
    <row r="705">
      <c r="A705" s="196"/>
      <c r="B705" s="197" t="str">
        <f>IFERROR(__xludf.DUMMYFUNCTION("""COMPUTED_VALUE"""),"Tiller")</f>
        <v>Tiller</v>
      </c>
      <c r="C705" s="197">
        <f t="shared" si="1"/>
        <v>1</v>
      </c>
      <c r="D705" s="20" t="s">
        <v>3100</v>
      </c>
      <c r="E705" s="20">
        <v>1.0</v>
      </c>
    </row>
    <row r="706">
      <c r="A706" s="196"/>
      <c r="B706" s="197" t="str">
        <f>IFERROR(__xludf.DUMMYFUNCTION("""COMPUTED_VALUE"""),"Frightweaver")</f>
        <v>Frightweaver</v>
      </c>
      <c r="C706" s="197">
        <f t="shared" si="1"/>
        <v>1</v>
      </c>
      <c r="D706" s="20" t="s">
        <v>3101</v>
      </c>
      <c r="E706" s="20">
        <v>1.0</v>
      </c>
    </row>
    <row r="707">
      <c r="A707" s="196" t="str">
        <f>IFERROR(__xludf.DUMMYFUNCTION("""COMPUTED_VALUE"""),"Bringer")</f>
        <v>Bringer</v>
      </c>
      <c r="B707" s="197" t="str">
        <f>IFERROR(__xludf.DUMMYFUNCTION("""COMPUTED_VALUE"""),"Mini")</f>
        <v>Mini</v>
      </c>
      <c r="C707" s="197">
        <f t="shared" si="1"/>
        <v>1</v>
      </c>
      <c r="D707" s="20" t="s">
        <v>2358</v>
      </c>
      <c r="E707" s="20">
        <v>1.0</v>
      </c>
    </row>
    <row r="708">
      <c r="A708" s="196" t="str">
        <f>IFERROR(__xludf.DUMMYFUNCTION("""COMPUTED_VALUE"""),"of")</f>
        <v>of</v>
      </c>
      <c r="B708" s="197" t="str">
        <f>IFERROR(__xludf.DUMMYFUNCTION("""COMPUTED_VALUE"""),"Clocktower")</f>
        <v>Clocktower</v>
      </c>
      <c r="C708" s="197">
        <f t="shared" si="1"/>
        <v>1</v>
      </c>
      <c r="D708" s="20" t="s">
        <v>3102</v>
      </c>
      <c r="E708" s="20">
        <v>1.0</v>
      </c>
    </row>
    <row r="709">
      <c r="A709" s="196" t="str">
        <f>IFERROR(__xludf.DUMMYFUNCTION("""COMPUTED_VALUE"""),"Bad")</f>
        <v>Bad</v>
      </c>
      <c r="B709" s="197" t="str">
        <f>IFERROR(__xludf.DUMMYFUNCTION("""COMPUTED_VALUE"""),"Drake")</f>
        <v>Drake</v>
      </c>
      <c r="C709" s="197">
        <f t="shared" si="1"/>
        <v>1</v>
      </c>
      <c r="D709" s="20" t="s">
        <v>3103</v>
      </c>
      <c r="E709" s="20">
        <v>1.0</v>
      </c>
    </row>
    <row r="710">
      <c r="A710" s="196" t="str">
        <f>IFERROR(__xludf.DUMMYFUNCTION("""COMPUTED_VALUE"""),"Omens")</f>
        <v>Omens</v>
      </c>
      <c r="B710" s="197" t="str">
        <f>IFERROR(__xludf.DUMMYFUNCTION("""COMPUTED_VALUE"""),"Roaming")</f>
        <v>Roaming</v>
      </c>
      <c r="C710" s="197">
        <f t="shared" si="1"/>
        <v>1</v>
      </c>
      <c r="D710" s="20" t="s">
        <v>3104</v>
      </c>
      <c r="E710" s="20">
        <v>1.0</v>
      </c>
    </row>
    <row r="711">
      <c r="A711" s="196"/>
      <c r="B711" s="197" t="str">
        <f>IFERROR(__xludf.DUMMYFUNCTION("""COMPUTED_VALUE"""),"Cherub")</f>
        <v>Cherub</v>
      </c>
      <c r="C711" s="197">
        <f t="shared" si="1"/>
        <v>1</v>
      </c>
      <c r="D711" s="20" t="s">
        <v>3105</v>
      </c>
      <c r="E711" s="20">
        <v>1.0</v>
      </c>
    </row>
    <row r="712">
      <c r="A712" s="196" t="str">
        <f>IFERROR(__xludf.DUMMYFUNCTION("""COMPUTED_VALUE"""),"Gaunt")</f>
        <v>Gaunt</v>
      </c>
      <c r="B712" s="197" t="str">
        <f>IFERROR(__xludf.DUMMYFUNCTION("""COMPUTED_VALUE"""),"Bessy")</f>
        <v>Bessy</v>
      </c>
      <c r="C712" s="197">
        <f t="shared" si="1"/>
        <v>1</v>
      </c>
      <c r="D712" s="20" t="s">
        <v>3106</v>
      </c>
      <c r="E712" s="20">
        <v>1.0</v>
      </c>
    </row>
    <row r="713">
      <c r="A713" s="196" t="str">
        <f>IFERROR(__xludf.DUMMYFUNCTION("""COMPUTED_VALUE"""),"Visitation")</f>
        <v>Visitation</v>
      </c>
      <c r="B713" s="197" t="str">
        <f>IFERROR(__xludf.DUMMYFUNCTION("""COMPUTED_VALUE"""),"Realmshifter")</f>
        <v>Realmshifter</v>
      </c>
      <c r="C713" s="197">
        <f t="shared" si="1"/>
        <v>1</v>
      </c>
      <c r="D713" s="20" t="s">
        <v>3107</v>
      </c>
      <c r="E713" s="20">
        <v>1.0</v>
      </c>
    </row>
    <row r="714">
      <c r="A714" s="196"/>
      <c r="B714" s="197" t="str">
        <f>IFERROR(__xludf.DUMMYFUNCTION("""COMPUTED_VALUE"""),"Shapeshifter")</f>
        <v>Shapeshifter</v>
      </c>
      <c r="C714" s="197">
        <f t="shared" si="1"/>
        <v>1</v>
      </c>
      <c r="D714" s="20" t="s">
        <v>2399</v>
      </c>
      <c r="E714" s="20">
        <v>1.0</v>
      </c>
    </row>
    <row r="715">
      <c r="A715" s="196"/>
      <c r="B715" s="197" t="str">
        <f>IFERROR(__xludf.DUMMYFUNCTION("""COMPUTED_VALUE"""),"Big")</f>
        <v>Big</v>
      </c>
      <c r="C715" s="197">
        <f t="shared" si="1"/>
        <v>1</v>
      </c>
      <c r="D715" s="20" t="s">
        <v>2406</v>
      </c>
      <c r="E715" s="20">
        <v>1.0</v>
      </c>
    </row>
    <row r="716">
      <c r="A716" s="196"/>
      <c r="B716" s="197" t="str">
        <f>IFERROR(__xludf.DUMMYFUNCTION("""COMPUTED_VALUE"""),"Dino")</f>
        <v>Dino</v>
      </c>
      <c r="C716" s="197">
        <f t="shared" si="1"/>
        <v>2</v>
      </c>
      <c r="D716" s="20" t="s">
        <v>3108</v>
      </c>
      <c r="E716" s="20">
        <v>1.0</v>
      </c>
    </row>
    <row r="717">
      <c r="A717" s="196" t="str">
        <f>IFERROR(__xludf.DUMMYFUNCTION("""COMPUTED_VALUE"""),"Lightning")</f>
        <v>Lightning</v>
      </c>
      <c r="B717" s="197" t="str">
        <f>IFERROR(__xludf.DUMMYFUNCTION("""COMPUTED_VALUE"""),"Boy")</f>
        <v>Boy</v>
      </c>
      <c r="C717" s="197">
        <f t="shared" si="1"/>
        <v>2</v>
      </c>
      <c r="D717" s="20" t="s">
        <v>3109</v>
      </c>
      <c r="E717" s="20">
        <v>1.0</v>
      </c>
    </row>
    <row r="718">
      <c r="A718" s="196" t="str">
        <f>IFERROR(__xludf.DUMMYFUNCTION("""COMPUTED_VALUE"""),"Manticore")</f>
        <v>Manticore</v>
      </c>
      <c r="B718" s="197" t="str">
        <f>IFERROR(__xludf.DUMMYFUNCTION("""COMPUTED_VALUE"""),"Middle")</f>
        <v>Middle</v>
      </c>
      <c r="C718" s="197">
        <f t="shared" si="1"/>
        <v>1</v>
      </c>
      <c r="D718" s="20"/>
      <c r="E718" s="20">
        <v>0.0</v>
      </c>
    </row>
    <row r="719">
      <c r="A719" s="196"/>
      <c r="B719" s="197"/>
      <c r="C719" s="197">
        <f t="shared" si="1"/>
        <v>0</v>
      </c>
      <c r="D719" s="20"/>
      <c r="E719" s="20">
        <v>0.0</v>
      </c>
    </row>
    <row r="720">
      <c r="A720" s="196"/>
      <c r="B720" s="197"/>
      <c r="C720" s="197">
        <f t="shared" si="1"/>
        <v>0</v>
      </c>
      <c r="D720" s="20"/>
      <c r="E720" s="20">
        <v>0.0</v>
      </c>
    </row>
    <row r="721">
      <c r="A721" s="196"/>
      <c r="B721" s="197"/>
      <c r="C721" s="197">
        <f t="shared" si="1"/>
        <v>0</v>
      </c>
      <c r="D721" s="20"/>
      <c r="E721" s="20">
        <v>0.0</v>
      </c>
    </row>
    <row r="722">
      <c r="A722" s="196" t="str">
        <f>IFERROR(__xludf.DUMMYFUNCTION("""COMPUTED_VALUE"""),"Featherfrost")</f>
        <v>Featherfrost</v>
      </c>
      <c r="B722" s="197"/>
      <c r="C722" s="197">
        <f t="shared" si="1"/>
        <v>0</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IFERROR(__xludf.DUMMYFUNCTION("""COMPUTED_VALUE"""),"Sovereign")</f>
        <v>Sovereign</v>
      </c>
      <c r="B762" s="197"/>
      <c r="C762" s="197">
        <f t="shared" si="1"/>
        <v>0</v>
      </c>
      <c r="D762" s="20"/>
      <c r="E762" s="20">
        <v>0.0</v>
      </c>
    </row>
    <row r="763">
      <c r="A763" s="196" t="str">
        <f>IFERROR(__xludf.DUMMYFUNCTION("""COMPUTED_VALUE"""),"Spellwyrm")</f>
        <v>Spellwyrm</v>
      </c>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IFERROR(__xludf.DUMMYFUNCTION("""COMPUTED_VALUE"""),"Crownfire")</f>
        <v>Crownfire</v>
      </c>
      <c r="B767" s="197"/>
      <c r="C767" s="197">
        <f t="shared" si="1"/>
        <v>0</v>
      </c>
      <c r="D767" s="20"/>
      <c r="E767" s="20">
        <v>0.0</v>
      </c>
    </row>
    <row r="768">
      <c r="A768" s="196" t="str">
        <f>IFERROR(__xludf.DUMMYFUNCTION("""COMPUTED_VALUE"""),"Empress")</f>
        <v>Empress</v>
      </c>
      <c r="B768" s="197"/>
      <c r="C768" s="197">
        <f t="shared" si="1"/>
        <v>0</v>
      </c>
      <c r="D768" s="20"/>
      <c r="E768" s="20">
        <v>0.0</v>
      </c>
    </row>
    <row r="769">
      <c r="A769" s="196"/>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3110</v>
      </c>
      <c r="K1" s="198" t="s">
        <v>3111</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2"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1642</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1644</v>
      </c>
      <c r="F245" s="34" t="s">
        <v>1645</v>
      </c>
      <c r="G245" s="34">
        <v>5.0</v>
      </c>
      <c r="H245" s="34" t="s">
        <v>1646</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1655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1661</v>
      </c>
      <c r="F247" s="34" t="s">
        <v>1662</v>
      </c>
      <c r="G247" s="34">
        <v>3.0</v>
      </c>
      <c r="H247" s="34" t="s">
        <v>1663</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1670</v>
      </c>
      <c r="E248" s="34" t="s">
        <v>1671</v>
      </c>
      <c r="F248" s="34" t="s">
        <v>1672</v>
      </c>
      <c r="G248" s="34">
        <v>3.0</v>
      </c>
      <c r="H248" s="34" t="s">
        <v>1673</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1681</v>
      </c>
      <c r="E249" s="34"/>
      <c r="F249" s="34" t="s">
        <v>1682</v>
      </c>
      <c r="G249" s="34">
        <v>2.0</v>
      </c>
      <c r="H249" s="34" t="s">
        <v>1683</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1691</v>
      </c>
      <c r="E250" s="34" t="s">
        <v>1692</v>
      </c>
      <c r="F250" s="34" t="s">
        <v>1693</v>
      </c>
      <c r="G250" s="34">
        <v>1.0</v>
      </c>
      <c r="H250" s="34" t="s">
        <v>1694</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1702</v>
      </c>
      <c r="E251" s="34" t="s">
        <v>1703</v>
      </c>
      <c r="F251" s="34" t="s">
        <v>943</v>
      </c>
      <c r="G251" s="34">
        <v>4.0</v>
      </c>
      <c r="H251" s="34" t="s">
        <v>1704</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1706</v>
      </c>
      <c r="F252" s="34" t="s">
        <v>1707</v>
      </c>
      <c r="G252" s="34">
        <v>5.0</v>
      </c>
      <c r="H252" s="34" t="s">
        <v>1704</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1709</v>
      </c>
      <c r="F253" s="34" t="s">
        <v>1710</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1712</v>
      </c>
      <c r="F254" s="34" t="s">
        <v>1713</v>
      </c>
      <c r="G254" s="34">
        <v>2.0</v>
      </c>
      <c r="H254" s="34" t="s">
        <v>1714</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1722</v>
      </c>
      <c r="E255" s="34" t="s">
        <v>1723</v>
      </c>
      <c r="F255" s="34" t="s">
        <v>1724</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1726</v>
      </c>
      <c r="F256" s="34" t="s">
        <v>1727</v>
      </c>
      <c r="G256" s="34">
        <v>6.0</v>
      </c>
      <c r="H256" s="34" t="s">
        <v>1728</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1730</v>
      </c>
      <c r="F257" s="34" t="s">
        <v>1173</v>
      </c>
      <c r="G257" s="34">
        <v>3.0</v>
      </c>
      <c r="H257" s="34" t="s">
        <v>1704</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1732</v>
      </c>
      <c r="F258" s="34" t="s">
        <v>1733</v>
      </c>
      <c r="G258" s="34">
        <v>3.0</v>
      </c>
      <c r="H258" s="34" t="s">
        <v>1734</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1736</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1744</v>
      </c>
      <c r="E260" s="34" t="s">
        <v>1745</v>
      </c>
      <c r="F260" s="34" t="s">
        <v>1746</v>
      </c>
      <c r="G260" s="34">
        <v>6.0</v>
      </c>
      <c r="H260" s="34" t="s">
        <v>1728</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1748</v>
      </c>
      <c r="F261" s="34" t="s">
        <v>1749</v>
      </c>
      <c r="G261" s="34">
        <v>3.0</v>
      </c>
      <c r="H261" s="34" t="s">
        <v>1750</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1752</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1760</v>
      </c>
      <c r="F263" s="34" t="s">
        <v>1761</v>
      </c>
      <c r="G263" s="34">
        <v>6.0</v>
      </c>
      <c r="H263" s="34" t="s">
        <v>1704</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1769</v>
      </c>
      <c r="F264" s="34" t="s">
        <v>1770</v>
      </c>
      <c r="G264" s="34">
        <v>4.0</v>
      </c>
      <c r="H264" s="34" t="s">
        <v>1704</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1722</v>
      </c>
      <c r="E265" s="34" t="s">
        <v>1780</v>
      </c>
      <c r="F265" s="34" t="s">
        <v>1781</v>
      </c>
      <c r="G265" s="34">
        <v>3.0</v>
      </c>
      <c r="H265" s="34" t="s">
        <v>1750</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1783</v>
      </c>
      <c r="G266" s="34">
        <v>2.0</v>
      </c>
      <c r="H266" s="34" t="s">
        <v>1784</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1794</v>
      </c>
      <c r="E267" s="34" t="s">
        <v>1795</v>
      </c>
      <c r="F267" s="34" t="s">
        <v>1260</v>
      </c>
      <c r="G267" s="34">
        <v>4.0</v>
      </c>
      <c r="H267" s="34" t="s">
        <v>1750</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1797</v>
      </c>
      <c r="E268" s="34" t="s">
        <v>1798</v>
      </c>
      <c r="F268" s="34" t="s">
        <v>1799</v>
      </c>
      <c r="G268" s="34">
        <v>6.0</v>
      </c>
      <c r="H268" s="34" t="s">
        <v>1800</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1802</v>
      </c>
      <c r="F269" s="34" t="s">
        <v>1803</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1805</v>
      </c>
      <c r="F270" s="34" t="s">
        <v>1806</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1818</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1820</v>
      </c>
      <c r="F272" s="34" t="s">
        <v>1821</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1794</v>
      </c>
      <c r="E273" s="34" t="s">
        <v>1823</v>
      </c>
      <c r="F273" s="34" t="s">
        <v>1824</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1833</v>
      </c>
      <c r="F274" s="34" t="s">
        <v>1834</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1837</v>
      </c>
      <c r="E275" s="34" t="s">
        <v>1838</v>
      </c>
      <c r="F275" s="34" t="s">
        <v>1839</v>
      </c>
      <c r="G275" s="34">
        <v>7.0</v>
      </c>
      <c r="H275" s="34" t="s">
        <v>1840</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1842</v>
      </c>
      <c r="E276" s="34" t="s">
        <v>1843</v>
      </c>
      <c r="F276" s="34" t="s">
        <v>1844</v>
      </c>
      <c r="G276" s="34">
        <v>3.0</v>
      </c>
      <c r="H276" s="34" t="s">
        <v>1845</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1847</v>
      </c>
      <c r="F277" s="34" t="s">
        <v>1848</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1722</v>
      </c>
      <c r="E278" s="34" t="s">
        <v>1855</v>
      </c>
      <c r="F278" s="34"/>
      <c r="G278" s="34">
        <v>4.0</v>
      </c>
      <c r="H278" s="34" t="s">
        <v>1750</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1861</v>
      </c>
      <c r="F279" s="34" t="s">
        <v>1862</v>
      </c>
      <c r="G279" s="34">
        <v>5.0</v>
      </c>
      <c r="H279" s="34" t="s">
        <v>1704</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1867</v>
      </c>
      <c r="F280" s="34" t="s">
        <v>1868</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1870</v>
      </c>
      <c r="F281" s="34" t="s">
        <v>1871</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1877</v>
      </c>
      <c r="F282" s="34" t="s">
        <v>1878</v>
      </c>
      <c r="G282" s="34">
        <v>3.0</v>
      </c>
      <c r="H282" s="34" t="s">
        <v>1734</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1888</v>
      </c>
      <c r="F283" s="34" t="s">
        <v>1889</v>
      </c>
      <c r="G283" s="34">
        <v>1.0</v>
      </c>
      <c r="H283" s="34" t="s">
        <v>1890</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1797</v>
      </c>
      <c r="E284" s="34" t="s">
        <v>1892</v>
      </c>
      <c r="F284" s="34" t="s">
        <v>1893</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1901</v>
      </c>
      <c r="E285" s="34" t="s">
        <v>1902</v>
      </c>
      <c r="F285" s="34" t="s">
        <v>1903</v>
      </c>
      <c r="G285" s="34">
        <v>4.0</v>
      </c>
      <c r="H285" s="34" t="s">
        <v>1904</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1906</v>
      </c>
      <c r="E286" s="34" t="s">
        <v>1907</v>
      </c>
      <c r="F286" s="34" t="s">
        <v>1908</v>
      </c>
      <c r="G286" s="34">
        <v>4.0</v>
      </c>
      <c r="H286" s="34" t="s">
        <v>1909</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1911</v>
      </c>
      <c r="E287" s="34" t="s">
        <v>1912</v>
      </c>
      <c r="F287" s="34" t="s">
        <v>1913</v>
      </c>
      <c r="G287" s="34">
        <v>3.0</v>
      </c>
      <c r="H287" s="34" t="s">
        <v>1914</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1916</v>
      </c>
      <c r="F288" s="34" t="s">
        <v>1917</v>
      </c>
      <c r="G288" s="34">
        <v>0.0</v>
      </c>
      <c r="H288" s="34" t="s">
        <v>1918</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1920</v>
      </c>
      <c r="F289" s="34" t="s">
        <v>1921</v>
      </c>
      <c r="G289" s="34">
        <v>3.0</v>
      </c>
      <c r="H289" s="34" t="s">
        <v>1914</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1923</v>
      </c>
      <c r="F290" s="34" t="s">
        <v>1924</v>
      </c>
      <c r="G290" s="34">
        <v>0.0</v>
      </c>
      <c r="H290" s="34" t="s">
        <v>1918</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1926</v>
      </c>
      <c r="F291" s="34" t="s">
        <v>663</v>
      </c>
      <c r="G291" s="34">
        <v>4.0</v>
      </c>
      <c r="H291" s="34" t="s">
        <v>1927</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1911</v>
      </c>
      <c r="E292" s="34" t="s">
        <v>1929</v>
      </c>
      <c r="F292" s="34" t="s">
        <v>663</v>
      </c>
      <c r="G292" s="34">
        <v>1.0</v>
      </c>
      <c r="H292" s="34" t="s">
        <v>1930</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1932</v>
      </c>
      <c r="F293" s="34" t="s">
        <v>1921</v>
      </c>
      <c r="G293" s="34">
        <v>5.0</v>
      </c>
      <c r="H293" s="34" t="s">
        <v>1904</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1934</v>
      </c>
      <c r="F294" s="34" t="s">
        <v>1935</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1911</v>
      </c>
      <c r="E295" s="34" t="s">
        <v>1942</v>
      </c>
      <c r="F295" s="34" t="s">
        <v>663</v>
      </c>
      <c r="G295" s="34">
        <v>1.0</v>
      </c>
      <c r="H295" s="34" t="s">
        <v>1890</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1944</v>
      </c>
      <c r="E296" s="34" t="s">
        <v>1945</v>
      </c>
      <c r="F296" s="34" t="s">
        <v>1946</v>
      </c>
      <c r="G296" s="34">
        <v>5.0</v>
      </c>
      <c r="H296" s="34" t="s">
        <v>1947</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1954</v>
      </c>
      <c r="F297" s="34" t="s">
        <v>1955</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1702</v>
      </c>
      <c r="E298" s="34" t="s">
        <v>1957</v>
      </c>
      <c r="F298" s="34" t="s">
        <v>1958</v>
      </c>
      <c r="G298" s="34">
        <v>7.0</v>
      </c>
      <c r="H298" s="34" t="s">
        <v>1728</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1744</v>
      </c>
      <c r="E299" s="34" t="s">
        <v>1966</v>
      </c>
      <c r="F299" s="34" t="s">
        <v>1967</v>
      </c>
      <c r="G299" s="34">
        <v>4.0</v>
      </c>
      <c r="H299" s="34" t="s">
        <v>1704</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1972</v>
      </c>
      <c r="F300" s="34" t="s">
        <v>1973</v>
      </c>
      <c r="G300" s="34">
        <v>3.0</v>
      </c>
      <c r="H300" s="34" t="s">
        <v>1914</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1975</v>
      </c>
      <c r="F301" s="34" t="s">
        <v>1976</v>
      </c>
      <c r="G301" s="34">
        <v>6.0</v>
      </c>
      <c r="H301" s="34" t="s">
        <v>1977</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1911</v>
      </c>
      <c r="E302" s="34" t="s">
        <v>1979</v>
      </c>
      <c r="F302" s="34" t="s">
        <v>1980</v>
      </c>
      <c r="G302" s="34">
        <v>2.0</v>
      </c>
      <c r="H302" s="34" t="s">
        <v>1918</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1982</v>
      </c>
      <c r="F303" s="34" t="s">
        <v>838</v>
      </c>
      <c r="G303" s="34">
        <v>5.0</v>
      </c>
      <c r="H303" s="34" t="s">
        <v>1983</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1985</v>
      </c>
      <c r="F304" s="34" t="s">
        <v>1986</v>
      </c>
      <c r="G304" s="34">
        <v>5.0</v>
      </c>
      <c r="H304" s="34" t="s">
        <v>1704</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1988</v>
      </c>
      <c r="F305" s="34"/>
      <c r="G305" s="34">
        <v>4.0</v>
      </c>
      <c r="H305" s="34" t="s">
        <v>1704</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1990</v>
      </c>
      <c r="E306" s="34" t="s">
        <v>1991</v>
      </c>
      <c r="F306" s="34" t="s">
        <v>1992</v>
      </c>
      <c r="G306" s="34">
        <v>3.0</v>
      </c>
      <c r="H306" s="34" t="s">
        <v>1918</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1994</v>
      </c>
      <c r="E307" s="34" t="s">
        <v>1995</v>
      </c>
      <c r="F307" s="34" t="s">
        <v>1996</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1998</v>
      </c>
      <c r="F308" s="34" t="s">
        <v>1999</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2001</v>
      </c>
      <c r="F309" s="34" t="s">
        <v>1921</v>
      </c>
      <c r="G309" s="34">
        <v>1.0</v>
      </c>
      <c r="H309" s="34" t="s">
        <v>1914</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1842</v>
      </c>
      <c r="E310" s="34" t="s">
        <v>2003</v>
      </c>
      <c r="F310" s="34" t="s">
        <v>2004</v>
      </c>
      <c r="G310" s="34">
        <v>1.0</v>
      </c>
      <c r="H310" s="34" t="s">
        <v>1983</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1794</v>
      </c>
      <c r="E311" s="34" t="s">
        <v>2006</v>
      </c>
      <c r="F311" s="34" t="s">
        <v>2007</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2009</v>
      </c>
      <c r="E312" s="34" t="s">
        <v>2010</v>
      </c>
      <c r="F312" s="34" t="s">
        <v>2011</v>
      </c>
      <c r="G312" s="34">
        <v>4.0</v>
      </c>
      <c r="H312" s="34" t="s">
        <v>2012</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2014</v>
      </c>
      <c r="F313" s="34" t="s">
        <v>2015</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2017</v>
      </c>
      <c r="F314" s="34" t="s">
        <v>2018</v>
      </c>
      <c r="G314" s="34">
        <v>4.0</v>
      </c>
      <c r="H314" s="34" t="s">
        <v>1947</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1911</v>
      </c>
      <c r="E315" s="34" t="s">
        <v>2020</v>
      </c>
      <c r="F315" s="34" t="s">
        <v>2021</v>
      </c>
      <c r="G315" s="34">
        <v>3.0</v>
      </c>
      <c r="H315" s="34" t="s">
        <v>1914</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1901</v>
      </c>
      <c r="E316" s="34" t="s">
        <v>2023</v>
      </c>
      <c r="F316" s="34" t="s">
        <v>2024</v>
      </c>
      <c r="G316" s="34">
        <v>5.0</v>
      </c>
      <c r="H316" s="34" t="s">
        <v>1704</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2026</v>
      </c>
      <c r="G317" s="34">
        <v>2.0</v>
      </c>
      <c r="H317" s="34" t="s">
        <v>1918</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2028</v>
      </c>
      <c r="F318" s="34" t="s">
        <v>2029</v>
      </c>
      <c r="G318" s="34">
        <v>2.0</v>
      </c>
      <c r="H318" s="34" t="s">
        <v>1918</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2031</v>
      </c>
      <c r="E319" s="34" t="s">
        <v>2032</v>
      </c>
      <c r="F319" s="34" t="s">
        <v>2033</v>
      </c>
      <c r="G319" s="34">
        <v>3.0</v>
      </c>
      <c r="H319" s="34" t="s">
        <v>2034</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1901</v>
      </c>
      <c r="E320" s="34" t="s">
        <v>2036</v>
      </c>
      <c r="F320" s="34" t="s">
        <v>2037</v>
      </c>
      <c r="G320" s="34">
        <v>2.0</v>
      </c>
      <c r="H320" s="34" t="s">
        <v>1983</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2039</v>
      </c>
      <c r="F321" s="34" t="s">
        <v>2040</v>
      </c>
      <c r="G321" s="34">
        <v>0.0</v>
      </c>
      <c r="H321" s="34" t="s">
        <v>1983</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2042</v>
      </c>
      <c r="F322" s="34"/>
      <c r="G322" s="34">
        <v>6.0</v>
      </c>
      <c r="H322" s="34" t="s">
        <v>2043</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1784</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1994</v>
      </c>
      <c r="E324" s="34"/>
      <c r="F324" s="34" t="s">
        <v>2049</v>
      </c>
      <c r="G324" s="34">
        <v>4.0</v>
      </c>
      <c r="H324" s="34" t="s">
        <v>1734</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2051</v>
      </c>
      <c r="E325" s="34" t="s">
        <v>2052</v>
      </c>
      <c r="F325" s="34" t="s">
        <v>2053</v>
      </c>
      <c r="G325" s="34">
        <v>4.0</v>
      </c>
      <c r="H325" s="34" t="s">
        <v>1983</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2055</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2057</v>
      </c>
      <c r="F327" s="34" t="s">
        <v>2058</v>
      </c>
      <c r="G327" s="34">
        <v>2.0</v>
      </c>
      <c r="H327" s="34" t="s">
        <v>1914</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2060</v>
      </c>
      <c r="F328" s="34" t="s">
        <v>2061</v>
      </c>
      <c r="G328" s="34">
        <v>1.0</v>
      </c>
      <c r="H328" s="34" t="s">
        <v>1784</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1797</v>
      </c>
      <c r="E329" s="34" t="s">
        <v>2063</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2065</v>
      </c>
      <c r="F330" s="34"/>
      <c r="G330" s="34">
        <v>4.0</v>
      </c>
      <c r="H330" s="34" t="s">
        <v>1947</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2067</v>
      </c>
      <c r="F331" s="34" t="s">
        <v>2068</v>
      </c>
      <c r="G331" s="34">
        <v>0.0</v>
      </c>
      <c r="H331" s="34" t="s">
        <v>1904</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2070</v>
      </c>
      <c r="F332" s="34" t="s">
        <v>2071</v>
      </c>
      <c r="G332" s="34">
        <v>2.0</v>
      </c>
      <c r="H332" s="34" t="s">
        <v>1983</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2073</v>
      </c>
      <c r="E333" s="34" t="s">
        <v>2074</v>
      </c>
      <c r="F333" s="34" t="s">
        <v>2075</v>
      </c>
      <c r="G333" s="34">
        <v>3.0</v>
      </c>
      <c r="H333" s="34" t="s">
        <v>1914</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2077</v>
      </c>
      <c r="E334" s="34" t="s">
        <v>2078</v>
      </c>
      <c r="F334" s="34" t="s">
        <v>2079</v>
      </c>
      <c r="G334" s="34">
        <v>4.0</v>
      </c>
      <c r="H334" s="34" t="s">
        <v>1904</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2081</v>
      </c>
      <c r="E335" s="34" t="s">
        <v>2082</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2084</v>
      </c>
      <c r="E336" s="34" t="s">
        <v>2085</v>
      </c>
      <c r="F336" s="34" t="s">
        <v>2086</v>
      </c>
      <c r="G336" s="34">
        <v>2.0</v>
      </c>
      <c r="H336" s="34" t="s">
        <v>1918</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2088</v>
      </c>
      <c r="F337" s="34" t="s">
        <v>2089</v>
      </c>
      <c r="G337" s="34">
        <v>0.0</v>
      </c>
      <c r="H337" s="34" t="s">
        <v>1983</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2091</v>
      </c>
      <c r="E338" s="34" t="s">
        <v>2092</v>
      </c>
      <c r="F338" s="34" t="s">
        <v>2093</v>
      </c>
      <c r="G338" s="34">
        <v>3.0</v>
      </c>
      <c r="H338" s="34" t="s">
        <v>2094</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2096</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2098</v>
      </c>
      <c r="G340" s="34">
        <v>2.0</v>
      </c>
      <c r="H340" s="34" t="s">
        <v>2099</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2051</v>
      </c>
      <c r="E341" s="34" t="s">
        <v>2101</v>
      </c>
      <c r="F341" s="34" t="s">
        <v>2102</v>
      </c>
      <c r="G341" s="34">
        <v>9.0</v>
      </c>
      <c r="H341" s="34" t="s">
        <v>2103</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2105</v>
      </c>
      <c r="E342" s="34" t="s">
        <v>2106</v>
      </c>
      <c r="F342" s="34" t="s">
        <v>2107</v>
      </c>
      <c r="G342" s="34">
        <v>6.0</v>
      </c>
      <c r="H342" s="34" t="s">
        <v>2108</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2110</v>
      </c>
      <c r="F343" s="34" t="s">
        <v>2111</v>
      </c>
      <c r="G343" s="34">
        <v>2.0</v>
      </c>
      <c r="H343" s="34" t="s">
        <v>2099</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2113</v>
      </c>
      <c r="G344" s="34">
        <v>8.0</v>
      </c>
      <c r="H344" s="34" t="s">
        <v>1728</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2115</v>
      </c>
      <c r="E345" s="34" t="s">
        <v>2116</v>
      </c>
      <c r="F345" s="34" t="s">
        <v>838</v>
      </c>
      <c r="G345" s="34">
        <v>0.0</v>
      </c>
      <c r="H345" s="34" t="s">
        <v>2099</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1842</v>
      </c>
      <c r="E347" s="34" t="s">
        <v>2119</v>
      </c>
      <c r="F347" s="34" t="s">
        <v>2120</v>
      </c>
      <c r="G347" s="34">
        <v>0.0</v>
      </c>
      <c r="H347" s="34" t="s">
        <v>2121</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2123</v>
      </c>
      <c r="F348" s="34" t="s">
        <v>2124</v>
      </c>
      <c r="G348" s="34">
        <v>1.0</v>
      </c>
      <c r="H348" s="34" t="s">
        <v>2125</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2127</v>
      </c>
      <c r="E349" s="34"/>
      <c r="F349" s="34" t="s">
        <v>2128</v>
      </c>
      <c r="G349" s="34">
        <v>2.0</v>
      </c>
      <c r="H349" s="34" t="s">
        <v>2129</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2131</v>
      </c>
      <c r="E350" s="34" t="s">
        <v>2132</v>
      </c>
      <c r="F350" s="34" t="s">
        <v>2133</v>
      </c>
      <c r="G350" s="34">
        <v>2.0</v>
      </c>
      <c r="H350" s="34" t="s">
        <v>2134</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2077</v>
      </c>
      <c r="E351" s="34" t="s">
        <v>2138</v>
      </c>
      <c r="F351" s="34" t="s">
        <v>2139</v>
      </c>
      <c r="G351" s="34">
        <v>4.0</v>
      </c>
      <c r="H351" s="34" t="s">
        <v>1983</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2084</v>
      </c>
      <c r="E352" s="34" t="s">
        <v>2141</v>
      </c>
      <c r="F352" s="34" t="s">
        <v>2142</v>
      </c>
      <c r="G352" s="34">
        <v>2.0</v>
      </c>
      <c r="H352" s="34" t="s">
        <v>1914</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2144</v>
      </c>
      <c r="F353" s="34" t="s">
        <v>2145</v>
      </c>
      <c r="G353" s="34">
        <v>2.0</v>
      </c>
      <c r="H353" s="34" t="s">
        <v>1918</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2147</v>
      </c>
      <c r="E354" s="34" t="s">
        <v>2148</v>
      </c>
      <c r="F354" s="34" t="s">
        <v>2149</v>
      </c>
      <c r="G354" s="34">
        <v>2.0</v>
      </c>
      <c r="H354" s="34" t="s">
        <v>2034</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2151</v>
      </c>
      <c r="F355" s="34" t="s">
        <v>2152</v>
      </c>
      <c r="G355" s="34">
        <v>3.0</v>
      </c>
      <c r="H355" s="34" t="s">
        <v>2034</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2154</v>
      </c>
      <c r="F356" s="34" t="s">
        <v>2155</v>
      </c>
      <c r="G356" s="34">
        <v>3.0</v>
      </c>
      <c r="H356" s="34" t="s">
        <v>1914</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2157</v>
      </c>
      <c r="F357" s="34" t="s">
        <v>2158</v>
      </c>
      <c r="G357" s="34">
        <v>3.0</v>
      </c>
      <c r="H357" s="34" t="s">
        <v>1914</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1911</v>
      </c>
      <c r="E358" s="34" t="s">
        <v>2160</v>
      </c>
      <c r="F358" s="34" t="s">
        <v>2161</v>
      </c>
      <c r="G358" s="34">
        <v>2.0</v>
      </c>
      <c r="H358" s="34" t="s">
        <v>1918</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1837</v>
      </c>
      <c r="E359" s="34" t="s">
        <v>2163</v>
      </c>
      <c r="F359" s="34" t="s">
        <v>2164</v>
      </c>
      <c r="G359" s="34">
        <v>4.0</v>
      </c>
      <c r="H359" s="34" t="s">
        <v>2034</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2166</v>
      </c>
      <c r="F360" s="34" t="s">
        <v>2167</v>
      </c>
      <c r="G360" s="34">
        <v>0.0</v>
      </c>
      <c r="H360" s="34" t="s">
        <v>1914</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2169</v>
      </c>
      <c r="F361" s="34" t="s">
        <v>2170</v>
      </c>
      <c r="G361" s="34">
        <v>4.0</v>
      </c>
      <c r="H361" s="34" t="s">
        <v>1904</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2172</v>
      </c>
      <c r="E362" s="34" t="s">
        <v>2173</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2175</v>
      </c>
      <c r="E363" s="34" t="s">
        <v>2176</v>
      </c>
      <c r="F363" s="34"/>
      <c r="G363" s="34">
        <v>3.0</v>
      </c>
      <c r="H363" s="34" t="s">
        <v>2177</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2179</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2181</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2183</v>
      </c>
      <c r="E366" s="34" t="s">
        <v>2184</v>
      </c>
      <c r="F366" s="34"/>
      <c r="G366" s="34">
        <v>6.0</v>
      </c>
      <c r="H366" s="34" t="s">
        <v>2185</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2187</v>
      </c>
      <c r="E367" s="34" t="s">
        <v>2188</v>
      </c>
      <c r="F367" s="34"/>
      <c r="G367" s="34">
        <v>5.0</v>
      </c>
      <c r="H367" s="34" t="s">
        <v>2189</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2191</v>
      </c>
      <c r="E368" s="34" t="s">
        <v>2192</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2194</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2196</v>
      </c>
      <c r="E370" s="34" t="s">
        <v>2197</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2199</v>
      </c>
      <c r="E371" s="34" t="s">
        <v>2200</v>
      </c>
      <c r="F371" s="34"/>
      <c r="G371" s="34">
        <v>3.0</v>
      </c>
      <c r="H371" s="34" t="s">
        <v>2201</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2203</v>
      </c>
      <c r="E372" s="34" t="s">
        <v>2204</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2206</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2208</v>
      </c>
      <c r="E374" s="34" t="s">
        <v>2209</v>
      </c>
      <c r="F374" s="34"/>
      <c r="G374" s="34">
        <v>4.0</v>
      </c>
      <c r="H374" s="34" t="s">
        <v>2034</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2212</v>
      </c>
      <c r="F375" s="34"/>
      <c r="G375" s="34">
        <v>3.0</v>
      </c>
      <c r="H375" s="34" t="s">
        <v>2213</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2215</v>
      </c>
      <c r="E376" s="34" t="s">
        <v>2216</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2218</v>
      </c>
      <c r="F377" s="34" t="s">
        <v>3112</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2220</v>
      </c>
      <c r="E378" s="34" t="s">
        <v>2221</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2223</v>
      </c>
      <c r="F379" s="34" t="s">
        <v>3112</v>
      </c>
      <c r="G379" s="34">
        <v>3.0</v>
      </c>
      <c r="H379" s="34" t="s">
        <v>1704</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2226</v>
      </c>
      <c r="F380" s="34" t="s">
        <v>3113</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2228</v>
      </c>
      <c r="E381" s="34" t="s">
        <v>2229</v>
      </c>
      <c r="F381" s="34" t="s">
        <v>3112</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2231</v>
      </c>
      <c r="F382" s="34" t="s">
        <v>3112</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2233</v>
      </c>
      <c r="F383" s="34" t="s">
        <v>3114</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2235</v>
      </c>
      <c r="F384" s="34" t="s">
        <v>3115</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2239</v>
      </c>
      <c r="F386" s="34"/>
      <c r="G386" s="34">
        <v>1.0</v>
      </c>
      <c r="H386" s="34" t="s">
        <v>1734</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2242</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3112</v>
      </c>
      <c r="G388" s="34" t="s">
        <v>26</v>
      </c>
      <c r="H388" s="34"/>
      <c r="I388" s="34" t="s">
        <v>3112</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2245</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2250</v>
      </c>
      <c r="E390" s="34" t="s">
        <v>2251</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2254</v>
      </c>
      <c r="E391" s="34" t="s">
        <v>2255</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2254</v>
      </c>
      <c r="E392" s="34" t="s">
        <v>2257</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2254</v>
      </c>
      <c r="E393" s="34" t="s">
        <v>2259</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2254</v>
      </c>
      <c r="E394" s="34" t="s">
        <v>2261</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2254</v>
      </c>
      <c r="E395" s="34" t="s">
        <v>2263</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2265</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2268</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1842</v>
      </c>
      <c r="E398" s="34" t="s">
        <v>2270</v>
      </c>
      <c r="F398" s="34" t="s">
        <v>2271</v>
      </c>
      <c r="G398" s="34">
        <v>1.0</v>
      </c>
      <c r="H398" s="34" t="s">
        <v>1918</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2273</v>
      </c>
      <c r="G399" s="34">
        <v>3.0</v>
      </c>
      <c r="H399" s="34" t="s">
        <v>1914</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2275</v>
      </c>
      <c r="F400" s="34" t="s">
        <v>2276</v>
      </c>
      <c r="G400" s="34">
        <v>4.0</v>
      </c>
      <c r="H400" s="34" t="s">
        <v>1983</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1901</v>
      </c>
      <c r="E401" s="34" t="s">
        <v>2278</v>
      </c>
      <c r="F401" s="34" t="s">
        <v>2279</v>
      </c>
      <c r="G401" s="34">
        <v>4.0</v>
      </c>
      <c r="H401" s="34" t="s">
        <v>1983</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2281</v>
      </c>
      <c r="F402" s="34" t="s">
        <v>2282</v>
      </c>
      <c r="G402" s="34">
        <v>5.0</v>
      </c>
      <c r="H402" s="34" t="s">
        <v>1904</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2285</v>
      </c>
      <c r="F403" s="34" t="s">
        <v>2286</v>
      </c>
      <c r="G403" s="34">
        <v>1.0</v>
      </c>
      <c r="H403" s="34" t="s">
        <v>1914</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2288</v>
      </c>
      <c r="E404" s="34" t="s">
        <v>2289</v>
      </c>
      <c r="F404" s="34" t="s">
        <v>2290</v>
      </c>
      <c r="G404" s="34">
        <v>2.0</v>
      </c>
      <c r="H404" s="34" t="s">
        <v>1918</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2292</v>
      </c>
      <c r="F405" s="34" t="s">
        <v>2293</v>
      </c>
      <c r="G405" s="34">
        <v>10.0</v>
      </c>
      <c r="H405" s="34" t="s">
        <v>1983</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2295</v>
      </c>
      <c r="E406" s="34" t="s">
        <v>2296</v>
      </c>
      <c r="F406" s="34" t="s">
        <v>2297</v>
      </c>
      <c r="G406" s="34">
        <v>6.0</v>
      </c>
      <c r="H406" s="34" t="s">
        <v>1977</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2077</v>
      </c>
      <c r="E407" s="34" t="s">
        <v>2299</v>
      </c>
      <c r="F407" s="34"/>
      <c r="G407" s="34">
        <v>6.0</v>
      </c>
      <c r="H407" s="34" t="s">
        <v>1909</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2301</v>
      </c>
      <c r="G408" s="34">
        <v>1.0</v>
      </c>
      <c r="H408" s="34" t="s">
        <v>1890</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1918</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2073</v>
      </c>
      <c r="E410" s="34"/>
      <c r="F410" s="34" t="s">
        <v>2304</v>
      </c>
      <c r="G410" s="34">
        <v>5.0</v>
      </c>
      <c r="H410" s="34" t="s">
        <v>1983</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1906</v>
      </c>
      <c r="E411" s="34"/>
      <c r="F411" s="34" t="s">
        <v>2306</v>
      </c>
      <c r="G411" s="34">
        <v>6.0</v>
      </c>
      <c r="H411" s="34" t="s">
        <v>1904</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2308</v>
      </c>
      <c r="G412" s="34">
        <v>4.0</v>
      </c>
      <c r="H412" s="34" t="s">
        <v>2034</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1914</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2311</v>
      </c>
      <c r="E414" s="34" t="s">
        <v>60</v>
      </c>
      <c r="F414" s="34"/>
      <c r="G414" s="34">
        <v>5.0</v>
      </c>
      <c r="H414" s="34" t="s">
        <v>2312</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2318</v>
      </c>
      <c r="F415" s="34"/>
      <c r="G415" s="34">
        <v>3.0</v>
      </c>
      <c r="H415" s="34" t="s">
        <v>1904</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1842</v>
      </c>
      <c r="E416" s="34" t="s">
        <v>2325</v>
      </c>
      <c r="F416" s="34"/>
      <c r="G416" s="34">
        <v>3.0</v>
      </c>
      <c r="H416" s="34" t="s">
        <v>2134</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2084</v>
      </c>
      <c r="E417" s="34" t="s">
        <v>2331</v>
      </c>
      <c r="F417" s="34" t="s">
        <v>2332</v>
      </c>
      <c r="G417" s="34">
        <v>3.0</v>
      </c>
      <c r="H417" s="34" t="s">
        <v>1930</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2338</v>
      </c>
      <c r="F418" s="34"/>
      <c r="G418" s="34">
        <v>4.0</v>
      </c>
      <c r="H418" s="34" t="s">
        <v>2034</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2345</v>
      </c>
      <c r="F419" s="34" t="s">
        <v>2346</v>
      </c>
      <c r="G419" s="34">
        <v>3.0</v>
      </c>
      <c r="H419" s="34" t="s">
        <v>1918</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1837</v>
      </c>
      <c r="E420" s="34" t="s">
        <v>2352</v>
      </c>
      <c r="F420" s="34"/>
      <c r="G420" s="34">
        <v>2.0</v>
      </c>
      <c r="H420" s="34" t="s">
        <v>2134</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2359</v>
      </c>
      <c r="F421" s="34" t="s">
        <v>2360</v>
      </c>
      <c r="G421" s="34">
        <v>3.0</v>
      </c>
      <c r="H421" s="34" t="s">
        <v>1914</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2371</v>
      </c>
      <c r="G422" s="34">
        <v>3.0</v>
      </c>
      <c r="H422" s="34" t="s">
        <v>2108</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2377</v>
      </c>
      <c r="G423" s="34">
        <v>6.0</v>
      </c>
      <c r="H423" s="34" t="s">
        <v>2378</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2383</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2394</v>
      </c>
      <c r="F425" s="34" t="s">
        <v>2395</v>
      </c>
      <c r="G425" s="34">
        <v>3.0</v>
      </c>
      <c r="H425" s="34" t="s">
        <v>2108</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2400</v>
      </c>
      <c r="F426" s="34" t="s">
        <v>2401</v>
      </c>
      <c r="G426" s="34">
        <v>2.0</v>
      </c>
      <c r="H426" s="34" t="s">
        <v>2402</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2407</v>
      </c>
      <c r="F427" s="34" t="s">
        <v>2408</v>
      </c>
      <c r="G427" s="34">
        <v>2.0</v>
      </c>
      <c r="H427" s="34" t="s">
        <v>2402</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2415</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2417</v>
      </c>
      <c r="F429" s="34"/>
      <c r="G429" s="34">
        <v>4.0</v>
      </c>
      <c r="H429" s="34" t="s">
        <v>1704</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3111</v>
      </c>
      <c r="B1" s="203" t="s">
        <v>3116</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6" t="s">
        <v>21</v>
      </c>
      <c r="B2" s="16" t="s">
        <v>3117</v>
      </c>
    </row>
    <row r="3">
      <c r="A3" s="96" t="s">
        <v>418</v>
      </c>
      <c r="B3" s="16" t="s">
        <v>3118</v>
      </c>
    </row>
    <row r="4">
      <c r="A4" s="96" t="s">
        <v>1039</v>
      </c>
      <c r="B4" s="16" t="s">
        <v>3119</v>
      </c>
    </row>
    <row r="5">
      <c r="A5" s="96" t="s">
        <v>1501</v>
      </c>
      <c r="B5" s="16" t="s">
        <v>3120</v>
      </c>
    </row>
    <row r="6">
      <c r="A6" s="96" t="s">
        <v>1887</v>
      </c>
      <c r="B6" s="16" t="s">
        <v>3121</v>
      </c>
    </row>
    <row r="7">
      <c r="A7" s="96" t="s">
        <v>3122</v>
      </c>
      <c r="B7" s="16" t="s">
        <v>3123</v>
      </c>
    </row>
    <row r="8">
      <c r="A8" s="96" t="s">
        <v>3124</v>
      </c>
      <c r="B8" s="16" t="s">
        <v>3125</v>
      </c>
    </row>
    <row r="9">
      <c r="A9" s="96" t="s">
        <v>3126</v>
      </c>
      <c r="B9" s="16" t="s">
        <v>3127</v>
      </c>
    </row>
    <row r="10">
      <c r="A10" s="96" t="s">
        <v>3128</v>
      </c>
      <c r="B10" s="16" t="s">
        <v>3129</v>
      </c>
    </row>
    <row r="11">
      <c r="A11" s="96" t="s">
        <v>3130</v>
      </c>
      <c r="B11" s="16" t="s">
        <v>3131</v>
      </c>
    </row>
    <row r="12">
      <c r="A12" s="96" t="s">
        <v>3132</v>
      </c>
      <c r="B12" s="16" t="s">
        <v>3133</v>
      </c>
    </row>
    <row r="13">
      <c r="A13" s="96" t="s">
        <v>3134</v>
      </c>
      <c r="B13" s="16" t="s">
        <v>3135</v>
      </c>
    </row>
    <row r="14">
      <c r="A14" s="16" t="s">
        <v>3136</v>
      </c>
      <c r="B14" s="16" t="s">
        <v>3137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5" t="s">
        <v>3138</v>
      </c>
      <c r="B1" s="205"/>
      <c r="D1" s="206" t="s">
        <v>3139</v>
      </c>
      <c r="E1" s="206" t="s">
        <v>3140</v>
      </c>
      <c r="F1" s="207" t="s">
        <v>3141</v>
      </c>
      <c r="G1" s="208" t="s">
        <v>3142</v>
      </c>
      <c r="H1" s="209" t="s">
        <v>2</v>
      </c>
      <c r="I1" s="209" t="s">
        <v>3143</v>
      </c>
      <c r="J1" s="209" t="s">
        <v>3144</v>
      </c>
      <c r="K1" s="209" t="s">
        <v>3145</v>
      </c>
      <c r="L1" s="209" t="s">
        <v>6</v>
      </c>
      <c r="M1" s="210" t="s">
        <v>3146</v>
      </c>
      <c r="N1" s="210" t="s">
        <v>8</v>
      </c>
      <c r="O1" s="211" t="s">
        <v>3147</v>
      </c>
    </row>
    <row r="2">
      <c r="A2" s="212">
        <v>4.0</v>
      </c>
      <c r="B2" s="206"/>
      <c r="D2" s="7" t="s">
        <v>1331</v>
      </c>
      <c r="E2" s="7" t="s">
        <v>3148</v>
      </c>
      <c r="F2" s="54">
        <v>2.0</v>
      </c>
      <c r="G2" s="29" t="s">
        <v>3149</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553</v>
      </c>
      <c r="E3" s="7" t="s">
        <v>3148</v>
      </c>
      <c r="F3" s="216">
        <v>1.0</v>
      </c>
      <c r="G3" s="29" t="s">
        <v>3150</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3151</v>
      </c>
      <c r="B4" s="16">
        <f>IFERROR(__xludf.DUMMYFUNCTION("QUERY($D$1:O968,""select sum(F) where E like '%"" &amp; $A$2 &amp; ""%' label sum(F) ''"")"),30.0)</f>
        <v>30</v>
      </c>
      <c r="D4" s="7" t="s">
        <v>1226</v>
      </c>
      <c r="E4" s="7" t="s">
        <v>3148</v>
      </c>
      <c r="F4" s="216">
        <v>1.0</v>
      </c>
      <c r="G4" s="29" t="s">
        <v>3149</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3152</v>
      </c>
      <c r="B5" s="16">
        <f>IFERROR(__xludf.DUMMYFUNCTION("IFNA(QUERY($D$1:O968,""select count(G) where E like '%"" &amp; $A$2 &amp; ""%' and G = 'Alternative' label count(G) ''""),0)"),7.0)</f>
        <v>7</v>
      </c>
      <c r="D5" s="16" t="s">
        <v>1246</v>
      </c>
      <c r="E5" s="7" t="s">
        <v>3148</v>
      </c>
      <c r="F5" s="216">
        <v>1.0</v>
      </c>
      <c r="G5" s="29" t="s">
        <v>3150</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3153</v>
      </c>
      <c r="B6" s="16">
        <f>IFERROR(__xludf.DUMMYFUNCTION("QUERY($D$1:O968,""select sum(O) where E like '%"" &amp; $A$2 &amp; ""%' label sum(O) ''"")/$B$4"),3.1333333333333333)</f>
        <v>3.133333333</v>
      </c>
      <c r="D6" s="7" t="s">
        <v>1357</v>
      </c>
      <c r="E6" s="7" t="s">
        <v>3148</v>
      </c>
      <c r="F6" s="216">
        <v>1.0</v>
      </c>
      <c r="G6" s="29" t="s">
        <v>3149</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1099</v>
      </c>
      <c r="E7" s="7" t="s">
        <v>3148</v>
      </c>
      <c r="F7" s="216">
        <v>2.0</v>
      </c>
      <c r="G7" s="29" t="s">
        <v>3149</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3148</v>
      </c>
      <c r="F8" s="216">
        <v>2.0</v>
      </c>
      <c r="G8" s="29" t="s">
        <v>3150</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''""),"""")"),7.0)</f>
        <v>7</v>
      </c>
      <c r="D9" s="7" t="s">
        <v>1065</v>
      </c>
      <c r="E9" s="7" t="s">
        <v>3148</v>
      </c>
      <c r="F9" s="216">
        <v>1.0</v>
      </c>
      <c r="G9" s="29" t="s">
        <v>3149</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899</v>
      </c>
      <c r="E10" s="7" t="s">
        <v>3148</v>
      </c>
      <c r="F10" s="216">
        <v>2.0</v>
      </c>
      <c r="G10" s="29" t="s">
        <v>3150</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t="str">
        <f>IFERROR(__xludf.DUMMYFUNCTION("IFNA(QUERY($D$2:O968,""select count(D) where I = '"" &amp; $A11 &amp; ""' and E like '%"" &amp; $A$2 &amp; ""%' label count(D) ''""),"""")"),"")</f>
        <v/>
      </c>
      <c r="D11" s="16" t="s">
        <v>976</v>
      </c>
      <c r="E11" s="7" t="s">
        <v>3148</v>
      </c>
      <c r="F11" s="216">
        <v>2.0</v>
      </c>
      <c r="G11" s="29" t="s">
        <v>3150</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t="str">
        <f>IFERROR(__xludf.DUMMYFUNCTION("IFNA(QUERY($D$2:O968,""select count(D) where I = '"" &amp; $A12 &amp; ""' and E like '%"" &amp; $A$2 &amp; ""%' label count(D) ''""),"""")"),"")</f>
        <v/>
      </c>
      <c r="D12" s="22" t="s">
        <v>1261</v>
      </c>
      <c r="E12" s="7" t="s">
        <v>3148</v>
      </c>
      <c r="F12" s="216">
        <v>1.0</v>
      </c>
      <c r="G12" s="29" t="s">
        <v>3150</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t="str">
        <f>IFERROR(__xludf.DUMMYFUNCTION("IFNA(QUERY($D$2:O968,""select count(D) where I = '"" &amp; $A13 &amp; ""' and E like '%"" &amp; $A$2 &amp; ""%' label count(D) ''""),"""")"),"")</f>
        <v/>
      </c>
      <c r="D13" s="16" t="s">
        <v>881</v>
      </c>
      <c r="E13" s="7" t="s">
        <v>3148</v>
      </c>
      <c r="F13" s="216">
        <v>1.0</v>
      </c>
      <c r="G13" s="29" t="s">
        <v>3150</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1574</v>
      </c>
      <c r="E14" s="7" t="s">
        <v>3148</v>
      </c>
      <c r="F14" s="216">
        <v>2.0</v>
      </c>
      <c r="G14" s="29" t="s">
        <v>3150</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1490</v>
      </c>
      <c r="E15" s="7" t="s">
        <v>3148</v>
      </c>
      <c r="F15" s="216">
        <v>1.0</v>
      </c>
      <c r="G15" s="29" t="s">
        <v>3150</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846</v>
      </c>
      <c r="E16" s="7" t="s">
        <v>3148</v>
      </c>
      <c r="F16" s="216">
        <v>1.0</v>
      </c>
      <c r="G16" s="29" t="s">
        <v>3150</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1449</v>
      </c>
      <c r="E17" s="7" t="s">
        <v>3148</v>
      </c>
      <c r="F17" s="216">
        <v>2.0</v>
      </c>
      <c r="G17" s="29" t="s">
        <v>3150</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567</v>
      </c>
      <c r="E18" s="7" t="s">
        <v>3148</v>
      </c>
      <c r="F18" s="216">
        <v>2.0</v>
      </c>
      <c r="G18" s="29" t="s">
        <v>3149</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1564</v>
      </c>
      <c r="E19" s="7" t="s">
        <v>3148</v>
      </c>
      <c r="F19" s="216">
        <v>2.0</v>
      </c>
      <c r="G19" s="29" t="s">
        <v>3150</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923</v>
      </c>
      <c r="E20" s="7" t="s">
        <v>3148</v>
      </c>
      <c r="F20" s="216">
        <v>1.0</v>
      </c>
      <c r="G20" s="29" t="s">
        <v>3150</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1292</v>
      </c>
      <c r="E21" s="7" t="s">
        <v>3148</v>
      </c>
      <c r="F21" s="216">
        <v>1.0</v>
      </c>
      <c r="G21" s="29" t="s">
        <v>3150</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1539</v>
      </c>
      <c r="E22" s="7" t="s">
        <v>3148</v>
      </c>
      <c r="F22" s="216">
        <v>1.0</v>
      </c>
      <c r="G22" s="29" t="s">
        <v>3149</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2118</v>
      </c>
      <c r="E23" s="16" t="s">
        <v>3154</v>
      </c>
      <c r="F23" s="216">
        <v>1.0</v>
      </c>
      <c r="G23" s="29" t="s">
        <v>3149</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1993</v>
      </c>
      <c r="E24" s="7" t="s">
        <v>3154</v>
      </c>
      <c r="F24" s="216">
        <v>1.0</v>
      </c>
      <c r="G24" s="29" t="s">
        <v>3149</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1933</v>
      </c>
      <c r="E25" s="7" t="s">
        <v>3154</v>
      </c>
      <c r="F25" s="216">
        <v>1.0</v>
      </c>
      <c r="G25" s="29" t="s">
        <v>3150</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2126</v>
      </c>
      <c r="E26" s="7" t="s">
        <v>3154</v>
      </c>
      <c r="F26" s="216">
        <v>2.0</v>
      </c>
      <c r="G26" s="29" t="s">
        <v>3149</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2302</v>
      </c>
      <c r="E27" s="7" t="s">
        <v>3154</v>
      </c>
      <c r="F27" s="223">
        <v>2.0</v>
      </c>
      <c r="G27" s="29" t="s">
        <v>3150</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79" t="s">
        <v>2005</v>
      </c>
      <c r="E28" s="22" t="s">
        <v>3154</v>
      </c>
      <c r="F28" s="216">
        <v>1.0</v>
      </c>
      <c r="G28" s="29" t="s">
        <v>3149</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2140</v>
      </c>
      <c r="E29" s="22" t="s">
        <v>3154</v>
      </c>
      <c r="F29" s="216">
        <v>1.0</v>
      </c>
      <c r="G29" s="29" t="s">
        <v>3150</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2044</v>
      </c>
      <c r="E30" s="16" t="s">
        <v>3154</v>
      </c>
      <c r="F30" s="216">
        <v>2.0</v>
      </c>
      <c r="G30" s="29" t="s">
        <v>3150</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2146</v>
      </c>
      <c r="E31" s="54" t="s">
        <v>3154</v>
      </c>
      <c r="F31" s="216">
        <v>1.0</v>
      </c>
      <c r="G31" s="29" t="s">
        <v>3149</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1876</v>
      </c>
      <c r="E32" s="7" t="s">
        <v>3154</v>
      </c>
      <c r="F32" s="216">
        <v>2.0</v>
      </c>
      <c r="G32" s="29" t="s">
        <v>3150</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2309</v>
      </c>
      <c r="E33" s="7" t="s">
        <v>3154</v>
      </c>
      <c r="F33" s="223">
        <v>2.0</v>
      </c>
      <c r="G33" s="29" t="s">
        <v>3149</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1846</v>
      </c>
      <c r="E34" s="16" t="s">
        <v>3154</v>
      </c>
      <c r="F34" s="216">
        <v>2.0</v>
      </c>
      <c r="G34" s="29" t="s">
        <v>3150</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2307</v>
      </c>
      <c r="E35" s="22" t="s">
        <v>3154</v>
      </c>
      <c r="F35" s="223">
        <v>1.0</v>
      </c>
      <c r="G35" s="29" t="s">
        <v>3150</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2048</v>
      </c>
      <c r="E36" s="7" t="s">
        <v>3154</v>
      </c>
      <c r="F36" s="216">
        <v>2.0</v>
      </c>
      <c r="G36" s="29" t="s">
        <v>3150</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2016</v>
      </c>
      <c r="E37" s="7" t="s">
        <v>3154</v>
      </c>
      <c r="F37" s="216">
        <v>1.0</v>
      </c>
      <c r="G37" s="29" t="s">
        <v>3149</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1854</v>
      </c>
      <c r="E38" s="16" t="s">
        <v>3154</v>
      </c>
      <c r="F38" s="216">
        <v>2.0</v>
      </c>
      <c r="G38" s="29" t="s">
        <v>3150</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2054</v>
      </c>
      <c r="E39" s="7" t="s">
        <v>3154</v>
      </c>
      <c r="F39" s="223">
        <v>1.0</v>
      </c>
      <c r="G39" s="29" t="s">
        <v>3150</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1984</v>
      </c>
      <c r="E40" s="7" t="s">
        <v>3154</v>
      </c>
      <c r="F40" s="216">
        <v>1.0</v>
      </c>
      <c r="G40" s="29" t="s">
        <v>3150</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2303</v>
      </c>
      <c r="E41" s="7" t="s">
        <v>3154</v>
      </c>
      <c r="F41" s="216">
        <v>2.0</v>
      </c>
      <c r="G41" s="29" t="s">
        <v>3150</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2022</v>
      </c>
      <c r="E42" s="16" t="s">
        <v>3154</v>
      </c>
      <c r="F42" s="216">
        <v>1.0</v>
      </c>
      <c r="G42" s="29" t="s">
        <v>3150</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2298</v>
      </c>
      <c r="E43" s="16" t="s">
        <v>3154</v>
      </c>
      <c r="F43" s="216">
        <v>1.0</v>
      </c>
      <c r="G43" s="29" t="s">
        <v>3150</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484</v>
      </c>
      <c r="E44" s="16" t="s">
        <v>3155</v>
      </c>
      <c r="F44" s="16">
        <v>2.0</v>
      </c>
      <c r="G44" s="16" t="s">
        <v>3149</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472</v>
      </c>
      <c r="E45" s="16" t="s">
        <v>3155</v>
      </c>
      <c r="F45" s="16">
        <v>1.0</v>
      </c>
      <c r="G45" s="16" t="s">
        <v>3149</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3155</v>
      </c>
      <c r="F46" s="16">
        <v>1.0</v>
      </c>
      <c r="G46" s="16" t="s">
        <v>3149</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3155</v>
      </c>
      <c r="F47" s="16">
        <v>1.0</v>
      </c>
      <c r="G47" s="16" t="s">
        <v>3150</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2337</v>
      </c>
      <c r="E48" s="16" t="s">
        <v>3155</v>
      </c>
      <c r="F48" s="16">
        <v>1.0</v>
      </c>
      <c r="G48" s="16" t="s">
        <v>3150</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2137</v>
      </c>
      <c r="E49" s="16" t="s">
        <v>3155</v>
      </c>
      <c r="F49" s="16">
        <v>1.0</v>
      </c>
      <c r="G49" s="16" t="s">
        <v>3150</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2168</v>
      </c>
      <c r="E50" s="16" t="s">
        <v>3155</v>
      </c>
      <c r="F50" s="16">
        <v>1.0</v>
      </c>
      <c r="G50" s="16" t="s">
        <v>3150</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3155</v>
      </c>
      <c r="F51" s="16">
        <v>2.0</v>
      </c>
      <c r="G51" s="16" t="s">
        <v>3150</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3155</v>
      </c>
      <c r="F52" s="16">
        <v>1.0</v>
      </c>
      <c r="G52" s="16" t="s">
        <v>3150</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3155</v>
      </c>
      <c r="F53" s="16">
        <v>1.0</v>
      </c>
      <c r="G53" s="16" t="s">
        <v>3150</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3155</v>
      </c>
      <c r="F54" s="16">
        <v>2.0</v>
      </c>
      <c r="G54" s="16" t="s">
        <v>3150</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3155</v>
      </c>
      <c r="F55" s="16">
        <v>2.0</v>
      </c>
      <c r="G55" s="16" t="s">
        <v>3150</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3155</v>
      </c>
      <c r="F56" s="16">
        <v>1.0</v>
      </c>
      <c r="G56" s="16" t="s">
        <v>3149</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3155</v>
      </c>
      <c r="F57" s="16">
        <v>2.0</v>
      </c>
      <c r="G57" s="16" t="s">
        <v>3150</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3155</v>
      </c>
      <c r="F58" s="16">
        <v>2.0</v>
      </c>
      <c r="G58" s="16" t="s">
        <v>3150</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3155</v>
      </c>
      <c r="F59" s="16">
        <v>1.0</v>
      </c>
      <c r="G59" s="16" t="s">
        <v>3149</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3155</v>
      </c>
      <c r="F60" s="16">
        <v>2.0</v>
      </c>
      <c r="G60" s="16" t="s">
        <v>3150</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2162</v>
      </c>
      <c r="E61" s="16" t="s">
        <v>3155</v>
      </c>
      <c r="F61" s="16">
        <v>2.0</v>
      </c>
      <c r="G61" s="16" t="s">
        <v>3149</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2305</v>
      </c>
      <c r="E62" s="16" t="s">
        <v>3155</v>
      </c>
      <c r="F62" s="16">
        <v>1.0</v>
      </c>
      <c r="G62" s="16" t="s">
        <v>3149</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2153</v>
      </c>
      <c r="E63" s="16" t="s">
        <v>3155</v>
      </c>
      <c r="F63" s="16">
        <v>2.0</v>
      </c>
      <c r="G63" s="16" t="s">
        <v>3150</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2156</v>
      </c>
      <c r="E64" s="16" t="s">
        <v>3155</v>
      </c>
      <c r="F64" s="16">
        <v>1.0</v>
      </c>
      <c r="G64" s="16" t="s">
        <v>3150</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1046</v>
      </c>
      <c r="E65" s="16" t="s">
        <v>3156</v>
      </c>
      <c r="F65" s="16">
        <v>1.0</v>
      </c>
      <c r="G65" s="16" t="s">
        <v>3149</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You may bury a friendly Dragon Unit to bury an enemy Unit.</v>
      </c>
      <c r="L65" s="214">
        <f t="array" ref="L65">IFNA(XLOOKUP($D65,Cards!$A:$A,Cards!G:G),"")</f>
        <v>6</v>
      </c>
      <c r="M65" s="214" t="str">
        <f t="array" ref="M65">IFNA(XLOOKUP($D65,Cards!$A:$A,Cards!H:H),"")</f>
        <v>E, E, E, ?, ?</v>
      </c>
      <c r="N65" s="214" t="str">
        <f t="array" ref="N65">IFNA(XLOOKUP($D65,Cards!$A:$A,Cards!I:I),"")</f>
        <v>Rare</v>
      </c>
      <c r="O65" s="215">
        <f t="shared" si="1"/>
        <v>6</v>
      </c>
    </row>
    <row r="66">
      <c r="D66" s="16" t="s">
        <v>1043</v>
      </c>
      <c r="E66" s="16" t="s">
        <v>3156</v>
      </c>
      <c r="F66" s="16">
        <v>1.0</v>
      </c>
      <c r="G66" s="16" t="s">
        <v>3150</v>
      </c>
      <c r="H66" s="213">
        <f t="array" ref="H66">IFNA(XLOOKUP($D66,Cards!$A:$A,Cards!C:C),"")</f>
        <v>1</v>
      </c>
      <c r="I66" s="213" t="str">
        <f t="array" ref="I66">IFNA(XLOOKUP($D66,Cards!$A:$A,Cards!B:B),"")</f>
        <v>Elemental</v>
      </c>
      <c r="J66" s="213" t="str">
        <f t="array" ref="J66">IFNA(XLOOKUP($D66,Cards!$A:$A,Cards!D:D),"")</f>
        <v>Dragon</v>
      </c>
      <c r="K66" s="213" t="str">
        <f t="array" ref="K66">IFNA(XLOOKUP($D66,Cards!$A:$A,Cards!E:E),"")</f>
        <v>Deploy: Gain Taunt. Ally Wizard: Glimpse 2. Ally Dragon: Draw a Card.</v>
      </c>
      <c r="L66" s="214">
        <f t="array" ref="L66">IFNA(XLOOKUP($D66,Cards!$A:$A,Cards!G:G),"")</f>
        <v>4</v>
      </c>
      <c r="M66" s="214" t="str">
        <f t="array" ref="M66">IFNA(XLOOKUP($D66,Cards!$A:$A,Cards!H:H),"")</f>
        <v>E, E, ?</v>
      </c>
      <c r="N66" s="214" t="str">
        <f t="array" ref="N66">IFNA(XLOOKUP($D66,Cards!$A:$A,Cards!I:I),"")</f>
        <v>Rare</v>
      </c>
      <c r="O66" s="215">
        <f t="shared" si="1"/>
        <v>4</v>
      </c>
    </row>
    <row r="67">
      <c r="D67" s="16" t="s">
        <v>2013</v>
      </c>
      <c r="E67" s="16" t="s">
        <v>3156</v>
      </c>
      <c r="F67" s="16">
        <v>1.0</v>
      </c>
      <c r="G67" s="16" t="s">
        <v>3150</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3" t="s">
        <v>1114</v>
      </c>
      <c r="E68" s="16" t="s">
        <v>3156</v>
      </c>
      <c r="F68" s="16">
        <v>2.0</v>
      </c>
      <c r="G68" s="16" t="s">
        <v>3149</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10</v>
      </c>
    </row>
    <row r="69">
      <c r="D69" s="16" t="s">
        <v>744</v>
      </c>
      <c r="E69" s="16" t="s">
        <v>3156</v>
      </c>
      <c r="F69" s="16">
        <v>2.0</v>
      </c>
      <c r="G69" s="16" t="s">
        <v>3149</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1804</v>
      </c>
      <c r="E70" s="16" t="s">
        <v>3156</v>
      </c>
      <c r="F70" s="16">
        <v>1.0</v>
      </c>
      <c r="G70" s="16" t="s">
        <v>3150</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835</v>
      </c>
      <c r="E71" s="16" t="s">
        <v>3156</v>
      </c>
      <c r="F71" s="16">
        <v>1.0</v>
      </c>
      <c r="G71" s="16" t="s">
        <v>3150</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3" t="s">
        <v>1943</v>
      </c>
      <c r="E72" s="16" t="s">
        <v>3156</v>
      </c>
      <c r="F72" s="16">
        <v>1.0</v>
      </c>
      <c r="G72" s="16" t="s">
        <v>3150</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1145</v>
      </c>
      <c r="E73" s="16" t="s">
        <v>3156</v>
      </c>
      <c r="F73" s="16">
        <v>2.0</v>
      </c>
      <c r="G73" s="16" t="s">
        <v>3149</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1001</v>
      </c>
      <c r="E74" s="16" t="s">
        <v>3156</v>
      </c>
      <c r="F74" s="16">
        <v>2.0</v>
      </c>
      <c r="G74" s="16" t="s">
        <v>3149</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682</v>
      </c>
      <c r="E75" s="16" t="s">
        <v>3156</v>
      </c>
      <c r="F75" s="16">
        <v>1.0</v>
      </c>
      <c r="G75" s="16" t="s">
        <v>3150</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594</v>
      </c>
      <c r="E76" s="16" t="s">
        <v>3156</v>
      </c>
      <c r="F76" s="16">
        <v>1.0</v>
      </c>
      <c r="G76" s="16" t="s">
        <v>3149</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538</v>
      </c>
      <c r="E77" s="16" t="s">
        <v>3156</v>
      </c>
      <c r="F77" s="16">
        <v>2.0</v>
      </c>
      <c r="G77" s="16" t="s">
        <v>3150</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2</v>
      </c>
    </row>
    <row r="78">
      <c r="D78" s="24" t="s">
        <v>608</v>
      </c>
      <c r="E78" s="16" t="s">
        <v>3156</v>
      </c>
      <c r="F78" s="16">
        <v>1.0</v>
      </c>
      <c r="G78" s="16" t="s">
        <v>3150</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95" t="s">
        <v>2095</v>
      </c>
      <c r="E79" s="16" t="s">
        <v>3156</v>
      </c>
      <c r="F79" s="16">
        <v>1.0</v>
      </c>
      <c r="G79" s="16" t="s">
        <v>3150</v>
      </c>
      <c r="H79" s="213">
        <f t="array" ref="H79">IFNA(XLOOKUP($D79,Cards!$A:$A,Cards!C:C),"")</f>
        <v>1</v>
      </c>
      <c r="I79" s="213" t="str">
        <f t="array" ref="I79">IFNA(XLOOKUP($D79,Cards!$A:$A,Cards!B:B),"")</f>
        <v>Nature</v>
      </c>
      <c r="J79" s="213" t="str">
        <f t="array" ref="J79">IFNA(XLOOKUP($D79,Cards!$A:$A,Cards!D:D),"")</f>
        <v>Angel Warrior</v>
      </c>
      <c r="K79" s="213" t="str">
        <f t="array" ref="K79">IFNA(XLOOKUP($D79,Cards!$A:$A,Cards!E:E),"")</f>
        <v/>
      </c>
      <c r="L79" s="214">
        <f t="array" ref="L79">IFNA(XLOOKUP($D79,Cards!$A:$A,Cards!G:G),"")</f>
        <v>6</v>
      </c>
      <c r="M79" s="214" t="str">
        <f t="array" ref="M79">IFNA(XLOOKUP($D79,Cards!$A:$A,Cards!H:H),"")</f>
        <v>N, ?, ?, ?, ?, ?</v>
      </c>
      <c r="N79" s="214" t="str">
        <f t="array" ref="N79">IFNA(XLOOKUP($D79,Cards!$A:$A,Cards!I:I),"")</f>
        <v>Common</v>
      </c>
      <c r="O79" s="215">
        <f t="shared" si="1"/>
        <v>6</v>
      </c>
    </row>
    <row r="80">
      <c r="D80" s="16" t="s">
        <v>635</v>
      </c>
      <c r="E80" s="16" t="s">
        <v>3156</v>
      </c>
      <c r="F80" s="16">
        <v>2.0</v>
      </c>
      <c r="G80" s="16" t="s">
        <v>3149</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8</v>
      </c>
    </row>
    <row r="81">
      <c r="D81" s="7" t="s">
        <v>1782</v>
      </c>
      <c r="E81" s="16" t="s">
        <v>3156</v>
      </c>
      <c r="F81" s="16">
        <v>1.0</v>
      </c>
      <c r="G81" s="16" t="s">
        <v>3150</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1057</v>
      </c>
      <c r="E82" s="16" t="s">
        <v>3156</v>
      </c>
      <c r="F82" s="16">
        <v>2.0</v>
      </c>
      <c r="G82" s="16" t="s">
        <v>3150</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This Turn, an enemy Unit was deployed adjacently. Unearth: Gain Fear and +3 Power.</v>
      </c>
      <c r="L82" s="214">
        <f t="array" ref="L82">IFNA(XLOOKUP($D82,Cards!$A:$A,Cards!G:G),"")</f>
        <v>1</v>
      </c>
      <c r="M82" s="214" t="str">
        <f t="array" ref="M82">IFNA(XLOOKUP($D82,Cards!$A:$A,Cards!H:H),"")</f>
        <v>E, E</v>
      </c>
      <c r="N82" s="214" t="str">
        <f t="array" ref="N82">IFNA(XLOOKUP($D82,Cards!$A:$A,Cards!I:I),"")</f>
        <v>Common</v>
      </c>
      <c r="O82" s="215">
        <f t="shared" si="1"/>
        <v>2</v>
      </c>
    </row>
    <row r="83">
      <c r="D83" s="16" t="s">
        <v>2117</v>
      </c>
      <c r="E83" s="16" t="s">
        <v>3156</v>
      </c>
      <c r="F83" s="16">
        <v>2.0</v>
      </c>
      <c r="G83" s="16" t="s">
        <v>3150</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4</v>
      </c>
    </row>
    <row r="84">
      <c r="D84" s="16" t="s">
        <v>962</v>
      </c>
      <c r="E84" s="16" t="s">
        <v>3156</v>
      </c>
      <c r="F84" s="16">
        <v>2.0</v>
      </c>
      <c r="G84" s="16" t="s">
        <v>3150</v>
      </c>
      <c r="H84" s="213">
        <f t="array" ref="H84">IFNA(XLOOKUP($D84,Cards!$A:$A,Cards!C:C),"")</f>
        <v>1</v>
      </c>
      <c r="I84" s="213" t="str">
        <f t="array" ref="I84">IFNA(XLOOKUP($D84,Cards!$A:$A,Cards!B:B),"")</f>
        <v>Elemental</v>
      </c>
      <c r="J84" s="213" t="str">
        <f t="array" ref="J84">IFNA(XLOOKUP($D84,Cards!$A:$A,Cards!D:D),"")</f>
        <v>Dragon Wizard</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D85" s="16" t="s">
        <v>1997</v>
      </c>
      <c r="E85" s="16" t="s">
        <v>3156</v>
      </c>
      <c r="F85" s="16">
        <v>1.0</v>
      </c>
      <c r="G85" s="16" t="s">
        <v>3150</v>
      </c>
      <c r="H85" s="213">
        <f t="array" ref="H85">IFNA(XLOOKUP($D85,Cards!$A:$A,Cards!C:C),"")</f>
        <v>1</v>
      </c>
      <c r="I85" s="213" t="str">
        <f t="array" ref="I85">IFNA(XLOOKUP($D85,Cards!$A:$A,Cards!B:B),"")</f>
        <v>Nature</v>
      </c>
      <c r="J85" s="213" t="str">
        <f t="array" ref="J85">IFNA(XLOOKUP($D85,Cards!$A:$A,Cards!D:D),"")</f>
        <v>Animal Hunter</v>
      </c>
      <c r="K85" s="213" t="str">
        <f t="array" ref="K85">IFNA(XLOOKUP($D85,Cards!$A:$A,Cards!E:E),"")</f>
        <v>Deploy: Another friendly Nature Unit in this Lane gains +2 Power and Ward.</v>
      </c>
      <c r="L85" s="214">
        <f t="array" ref="L85">IFNA(XLOOKUP($D85,Cards!$A:$A,Cards!G:G),"")</f>
        <v>1</v>
      </c>
      <c r="M85" s="214" t="str">
        <f t="array" ref="M85">IFNA(XLOOKUP($D85,Cards!$A:$A,Cards!H:H),"")</f>
        <v>N, ?, ?</v>
      </c>
      <c r="N85" s="214" t="str">
        <f t="array" ref="N85">IFNA(XLOOKUP($D85,Cards!$A:$A,Cards!I:I),"")</f>
        <v>Common</v>
      </c>
      <c r="O85" s="215">
        <f t="shared" si="1"/>
        <v>1</v>
      </c>
    </row>
    <row r="86">
      <c r="E86" s="16"/>
      <c r="G86" s="16" t="s">
        <v>3150</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c r="G87" s="16" t="s">
        <v>3150</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c r="G88" s="16" t="s">
        <v>3150</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c r="G89" s="16" t="s">
        <v>3150</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4"/>
      <c r="F804" s="34"/>
      <c r="G804" s="34"/>
      <c r="H804" s="34"/>
      <c r="I804" s="34"/>
      <c r="J804" s="225"/>
      <c r="K804" s="225"/>
      <c r="L804" s="34"/>
    </row>
    <row r="805">
      <c r="B805" s="20"/>
      <c r="D805" s="20"/>
      <c r="E805" s="34"/>
      <c r="F805" s="34"/>
      <c r="G805" s="34"/>
      <c r="H805" s="34"/>
      <c r="I805" s="34"/>
      <c r="J805" s="225"/>
      <c r="K805" s="225"/>
      <c r="L805" s="34"/>
    </row>
    <row r="806">
      <c r="B806" s="20"/>
      <c r="D806" s="20"/>
      <c r="E806" s="34"/>
      <c r="F806" s="34"/>
      <c r="G806" s="34"/>
      <c r="H806" s="34"/>
      <c r="I806" s="34"/>
      <c r="J806" s="225"/>
      <c r="K806" s="225"/>
      <c r="L806" s="34"/>
    </row>
    <row r="807">
      <c r="B807" s="20"/>
      <c r="D807" s="20"/>
      <c r="E807" s="34"/>
      <c r="F807" s="34"/>
      <c r="G807" s="34"/>
      <c r="H807" s="34"/>
      <c r="I807" s="34"/>
      <c r="J807" s="225"/>
      <c r="K807" s="225"/>
      <c r="L807" s="34"/>
    </row>
    <row r="808">
      <c r="B808" s="20"/>
      <c r="D808" s="20"/>
      <c r="E808" s="34"/>
      <c r="F808" s="34"/>
      <c r="G808" s="34"/>
      <c r="H808" s="34"/>
      <c r="I808" s="34"/>
      <c r="J808" s="225"/>
      <c r="K808" s="225"/>
      <c r="L808" s="34"/>
    </row>
    <row r="809">
      <c r="B809" s="20"/>
      <c r="D809" s="20"/>
      <c r="E809" s="34"/>
      <c r="F809" s="34"/>
      <c r="G809" s="34"/>
      <c r="H809" s="34"/>
      <c r="I809" s="34"/>
      <c r="J809" s="225"/>
      <c r="K809" s="225"/>
      <c r="L809" s="34"/>
    </row>
    <row r="810">
      <c r="B810" s="20"/>
      <c r="D810" s="20"/>
      <c r="E810" s="34"/>
      <c r="F810" s="34"/>
      <c r="G810" s="34"/>
      <c r="H810" s="34"/>
      <c r="I810" s="34"/>
      <c r="J810" s="225"/>
      <c r="K810" s="225"/>
      <c r="L810" s="34"/>
    </row>
    <row r="811">
      <c r="B811" s="20"/>
      <c r="D811" s="20"/>
      <c r="E811" s="34"/>
      <c r="F811" s="34"/>
      <c r="G811" s="34"/>
      <c r="H811" s="34"/>
      <c r="I811" s="34"/>
      <c r="J811" s="225"/>
      <c r="K811" s="225"/>
      <c r="L811" s="34"/>
    </row>
    <row r="812">
      <c r="B812" s="20"/>
      <c r="D812" s="20"/>
      <c r="E812" s="34"/>
      <c r="F812" s="34"/>
      <c r="G812" s="34"/>
      <c r="H812" s="34"/>
      <c r="I812" s="34"/>
      <c r="J812" s="225"/>
      <c r="K812" s="225"/>
      <c r="L812" s="34"/>
    </row>
    <row r="813">
      <c r="B813" s="20"/>
      <c r="D813" s="20"/>
      <c r="E813" s="34"/>
      <c r="F813" s="34"/>
      <c r="G813" s="34"/>
      <c r="H813" s="34"/>
      <c r="I813" s="34"/>
      <c r="J813" s="225"/>
      <c r="K813" s="225"/>
      <c r="L813" s="34"/>
    </row>
    <row r="814">
      <c r="B814" s="20"/>
      <c r="D814" s="20"/>
      <c r="E814" s="34"/>
      <c r="F814" s="34"/>
      <c r="G814" s="34"/>
      <c r="H814" s="34"/>
      <c r="I814" s="34"/>
      <c r="J814" s="225"/>
      <c r="K814" s="225"/>
      <c r="L814" s="34"/>
    </row>
    <row r="815">
      <c r="B815" s="20"/>
      <c r="D815" s="20"/>
      <c r="E815" s="34"/>
      <c r="F815" s="34"/>
      <c r="G815" s="34"/>
      <c r="H815" s="34"/>
      <c r="I815" s="34"/>
      <c r="J815" s="225"/>
      <c r="K815" s="225"/>
      <c r="L815" s="34"/>
    </row>
    <row r="816">
      <c r="B816" s="20"/>
      <c r="D816" s="20"/>
      <c r="E816" s="34"/>
      <c r="F816" s="34"/>
      <c r="G816" s="34"/>
      <c r="H816" s="34"/>
      <c r="I816" s="34"/>
      <c r="J816" s="225"/>
      <c r="K816" s="225"/>
      <c r="L816" s="34"/>
    </row>
    <row r="817">
      <c r="B817" s="20"/>
      <c r="D817" s="20"/>
      <c r="E817" s="34"/>
      <c r="F817" s="34"/>
      <c r="G817" s="34"/>
      <c r="H817" s="34"/>
      <c r="I817" s="34"/>
      <c r="J817" s="225"/>
      <c r="K817" s="225"/>
      <c r="L817" s="34"/>
    </row>
    <row r="818">
      <c r="B818" s="20"/>
      <c r="D818" s="20"/>
      <c r="E818" s="34"/>
      <c r="F818" s="34"/>
      <c r="G818" s="34"/>
      <c r="H818" s="34"/>
      <c r="I818" s="34"/>
      <c r="J818" s="225"/>
      <c r="K818" s="225"/>
      <c r="L818" s="34"/>
    </row>
    <row r="819">
      <c r="B819" s="20"/>
      <c r="D819" s="20"/>
      <c r="E819" s="34"/>
      <c r="F819" s="34"/>
      <c r="G819" s="34"/>
      <c r="H819" s="34"/>
      <c r="I819" s="34"/>
      <c r="J819" s="225"/>
      <c r="K819" s="225"/>
      <c r="L819" s="34"/>
    </row>
    <row r="820">
      <c r="B820" s="20"/>
      <c r="D820" s="20"/>
      <c r="E820" s="34"/>
      <c r="F820" s="34"/>
      <c r="G820" s="34"/>
      <c r="H820" s="34"/>
      <c r="I820" s="34"/>
      <c r="J820" s="225"/>
      <c r="K820" s="225"/>
      <c r="L820" s="34"/>
    </row>
    <row r="821">
      <c r="B821" s="20"/>
      <c r="D821" s="20"/>
      <c r="E821" s="34"/>
      <c r="F821" s="34"/>
      <c r="G821" s="34"/>
      <c r="H821" s="34"/>
      <c r="I821" s="34"/>
      <c r="J821" s="225"/>
      <c r="K821" s="225"/>
      <c r="L821" s="34"/>
    </row>
    <row r="822">
      <c r="B822" s="20"/>
      <c r="D822" s="20"/>
      <c r="E822" s="34"/>
      <c r="F822" s="34"/>
      <c r="G822" s="34"/>
      <c r="H822" s="34"/>
      <c r="I822" s="34"/>
      <c r="J822" s="225"/>
      <c r="K822" s="225"/>
      <c r="L822" s="34"/>
    </row>
    <row r="823">
      <c r="B823" s="20"/>
      <c r="D823" s="20"/>
      <c r="E823" s="34"/>
      <c r="F823" s="34"/>
      <c r="G823" s="34"/>
      <c r="H823" s="34"/>
      <c r="I823" s="34"/>
      <c r="J823" s="225"/>
      <c r="K823" s="225"/>
      <c r="L823" s="34"/>
    </row>
    <row r="824">
      <c r="B824" s="20"/>
      <c r="D824" s="20"/>
      <c r="E824" s="34"/>
      <c r="F824" s="34"/>
      <c r="G824" s="34"/>
      <c r="H824" s="34"/>
      <c r="I824" s="34"/>
      <c r="J824" s="225"/>
      <c r="K824" s="225"/>
      <c r="L824" s="34"/>
    </row>
    <row r="825">
      <c r="B825" s="20"/>
      <c r="D825" s="20"/>
      <c r="E825" s="34"/>
      <c r="F825" s="34"/>
      <c r="G825" s="34"/>
      <c r="H825" s="34"/>
      <c r="I825" s="34"/>
      <c r="J825" s="225"/>
      <c r="K825" s="225"/>
      <c r="L825" s="34"/>
    </row>
    <row r="826">
      <c r="B826" s="20"/>
      <c r="D826" s="20"/>
      <c r="E826" s="34"/>
      <c r="F826" s="34"/>
      <c r="G826" s="34"/>
      <c r="H826" s="34"/>
      <c r="I826" s="34"/>
      <c r="J826" s="225"/>
      <c r="K826" s="225"/>
      <c r="L826" s="34"/>
    </row>
    <row r="827">
      <c r="B827" s="20"/>
      <c r="D827" s="20"/>
      <c r="E827" s="34"/>
      <c r="F827" s="34"/>
      <c r="G827" s="34"/>
      <c r="H827" s="34"/>
      <c r="I827" s="34"/>
      <c r="J827" s="225"/>
      <c r="K827" s="225"/>
      <c r="L827" s="34"/>
    </row>
    <row r="828">
      <c r="B828" s="20"/>
      <c r="D828" s="20"/>
      <c r="E828" s="34"/>
      <c r="F828" s="34"/>
      <c r="G828" s="34"/>
      <c r="H828" s="34"/>
      <c r="I828" s="34"/>
      <c r="J828" s="225"/>
      <c r="K828" s="225"/>
      <c r="L828" s="34"/>
    </row>
    <row r="829">
      <c r="B829" s="20"/>
      <c r="D829" s="20"/>
      <c r="E829" s="34"/>
      <c r="F829" s="34"/>
      <c r="G829" s="34"/>
      <c r="H829" s="34"/>
      <c r="I829" s="34"/>
      <c r="J829" s="225"/>
      <c r="K829" s="225"/>
      <c r="L829" s="34"/>
    </row>
    <row r="830">
      <c r="B830" s="20"/>
      <c r="D830" s="20"/>
      <c r="E830" s="34"/>
      <c r="F830" s="34"/>
      <c r="G830" s="34"/>
      <c r="H830" s="34"/>
      <c r="I830" s="34"/>
      <c r="J830" s="225"/>
      <c r="K830" s="225"/>
      <c r="L830" s="34"/>
    </row>
    <row r="831">
      <c r="B831" s="20"/>
      <c r="D831" s="20"/>
      <c r="E831" s="34"/>
      <c r="F831" s="34"/>
      <c r="G831" s="34"/>
      <c r="H831" s="34"/>
      <c r="I831" s="34"/>
      <c r="J831" s="225"/>
      <c r="K831" s="225"/>
      <c r="L831" s="34"/>
    </row>
    <row r="832">
      <c r="B832" s="20"/>
      <c r="D832" s="20"/>
      <c r="E832" s="34"/>
      <c r="F832" s="34"/>
      <c r="G832" s="34"/>
      <c r="H832" s="34"/>
      <c r="I832" s="34"/>
      <c r="J832" s="225"/>
      <c r="K832" s="225"/>
      <c r="L832" s="34"/>
    </row>
    <row r="833">
      <c r="B833" s="20"/>
      <c r="D833" s="20"/>
      <c r="E833" s="34"/>
      <c r="F833" s="34"/>
      <c r="G833" s="34"/>
      <c r="H833" s="34"/>
      <c r="I833" s="34"/>
      <c r="J833" s="225"/>
      <c r="K833" s="225"/>
      <c r="L833" s="34"/>
    </row>
    <row r="834">
      <c r="B834" s="20"/>
      <c r="D834" s="20"/>
      <c r="E834" s="34"/>
      <c r="F834" s="34"/>
      <c r="G834" s="34"/>
      <c r="H834" s="34"/>
      <c r="I834" s="34"/>
      <c r="J834" s="225"/>
      <c r="K834" s="225"/>
      <c r="L834" s="34"/>
    </row>
    <row r="835">
      <c r="B835" s="20"/>
      <c r="D835" s="20"/>
      <c r="E835" s="34"/>
      <c r="F835" s="34"/>
      <c r="G835" s="34"/>
      <c r="H835" s="34"/>
      <c r="I835" s="34"/>
      <c r="J835" s="225"/>
      <c r="K835" s="225"/>
      <c r="L835" s="34"/>
    </row>
    <row r="836">
      <c r="B836" s="20"/>
      <c r="D836" s="20"/>
      <c r="E836" s="34"/>
      <c r="F836" s="34"/>
      <c r="G836" s="34"/>
      <c r="H836" s="34"/>
      <c r="I836" s="34"/>
      <c r="J836" s="225"/>
      <c r="K836" s="225"/>
      <c r="L836" s="34"/>
    </row>
    <row r="837">
      <c r="B837" s="20"/>
      <c r="D837" s="20"/>
      <c r="E837" s="34"/>
      <c r="F837" s="34"/>
      <c r="G837" s="34"/>
      <c r="H837" s="34"/>
      <c r="I837" s="34"/>
      <c r="J837" s="225"/>
      <c r="K837" s="225"/>
      <c r="L837" s="34"/>
    </row>
    <row r="838">
      <c r="B838" s="20"/>
      <c r="D838" s="20"/>
      <c r="E838" s="34"/>
      <c r="F838" s="34"/>
      <c r="G838" s="34"/>
      <c r="H838" s="34"/>
      <c r="I838" s="34"/>
      <c r="J838" s="225"/>
      <c r="K838" s="225"/>
      <c r="L838" s="34"/>
    </row>
    <row r="839">
      <c r="B839" s="20"/>
      <c r="D839" s="20"/>
      <c r="E839" s="34"/>
      <c r="F839" s="34"/>
      <c r="G839" s="34"/>
      <c r="H839" s="34"/>
      <c r="I839" s="34"/>
      <c r="J839" s="225"/>
      <c r="K839" s="225"/>
      <c r="L839" s="34"/>
    </row>
    <row r="840">
      <c r="B840" s="20"/>
      <c r="D840" s="20"/>
      <c r="E840" s="34"/>
      <c r="F840" s="34"/>
      <c r="G840" s="34"/>
      <c r="H840" s="34"/>
      <c r="I840" s="34"/>
      <c r="J840" s="225"/>
      <c r="K840" s="225"/>
      <c r="L840" s="34"/>
    </row>
    <row r="841">
      <c r="B841" s="20"/>
      <c r="D841" s="20"/>
      <c r="E841" s="34"/>
      <c r="F841" s="34"/>
      <c r="G841" s="34"/>
      <c r="H841" s="34"/>
      <c r="I841" s="34"/>
      <c r="J841" s="225"/>
      <c r="K841" s="225"/>
      <c r="L841" s="34"/>
    </row>
    <row r="842">
      <c r="B842" s="20"/>
      <c r="D842" s="20"/>
      <c r="E842" s="34"/>
      <c r="F842" s="34"/>
      <c r="G842" s="34"/>
      <c r="H842" s="34"/>
      <c r="I842" s="34"/>
      <c r="J842" s="225"/>
      <c r="K842" s="225"/>
      <c r="L842" s="34"/>
    </row>
    <row r="843">
      <c r="B843" s="20"/>
      <c r="D843" s="20"/>
      <c r="E843" s="34"/>
      <c r="F843" s="34"/>
      <c r="G843" s="34"/>
      <c r="H843" s="34"/>
      <c r="I843" s="34"/>
      <c r="J843" s="225"/>
      <c r="K843" s="225"/>
      <c r="L843" s="34"/>
    </row>
    <row r="844">
      <c r="B844" s="20"/>
      <c r="D844" s="20"/>
      <c r="E844" s="34"/>
      <c r="F844" s="34"/>
      <c r="G844" s="34"/>
      <c r="H844" s="34"/>
      <c r="I844" s="34"/>
      <c r="J844" s="225"/>
      <c r="K844" s="225"/>
      <c r="L844" s="34"/>
    </row>
    <row r="845">
      <c r="B845" s="20"/>
      <c r="D845" s="20"/>
      <c r="E845" s="34"/>
      <c r="F845" s="34"/>
      <c r="G845" s="34"/>
      <c r="H845" s="34"/>
      <c r="I845" s="34"/>
      <c r="J845" s="225"/>
      <c r="K845" s="225"/>
      <c r="L845" s="34"/>
    </row>
    <row r="846">
      <c r="B846" s="20"/>
      <c r="D846" s="20"/>
      <c r="E846" s="34"/>
      <c r="F846" s="34"/>
      <c r="G846" s="34"/>
      <c r="H846" s="34"/>
      <c r="I846" s="34"/>
      <c r="J846" s="225"/>
      <c r="K846" s="225"/>
      <c r="L846" s="34"/>
    </row>
    <row r="847">
      <c r="B847" s="20"/>
      <c r="D847" s="20"/>
      <c r="E847" s="34"/>
      <c r="F847" s="34"/>
      <c r="G847" s="34"/>
      <c r="H847" s="34"/>
      <c r="I847" s="34"/>
      <c r="J847" s="225"/>
      <c r="K847" s="225"/>
      <c r="L847" s="34"/>
    </row>
    <row r="848">
      <c r="B848" s="20"/>
      <c r="D848" s="20"/>
      <c r="E848" s="34"/>
      <c r="F848" s="34"/>
      <c r="G848" s="34"/>
      <c r="H848" s="34"/>
      <c r="I848" s="34"/>
      <c r="J848" s="225"/>
      <c r="K848" s="225"/>
      <c r="L848" s="34"/>
    </row>
    <row r="849">
      <c r="B849" s="20"/>
      <c r="D849" s="20"/>
      <c r="E849" s="34"/>
      <c r="F849" s="34"/>
      <c r="G849" s="34"/>
      <c r="H849" s="34"/>
      <c r="I849" s="34"/>
      <c r="J849" s="225"/>
      <c r="K849" s="225"/>
      <c r="L849" s="34"/>
    </row>
    <row r="850">
      <c r="B850" s="20"/>
      <c r="D850" s="20"/>
      <c r="E850" s="34"/>
      <c r="F850" s="34"/>
      <c r="G850" s="34"/>
      <c r="H850" s="34"/>
      <c r="I850" s="34"/>
      <c r="J850" s="225"/>
      <c r="K850" s="225"/>
      <c r="L850" s="34"/>
    </row>
    <row r="851">
      <c r="B851" s="20"/>
      <c r="D851" s="20"/>
      <c r="E851" s="34"/>
      <c r="F851" s="34"/>
      <c r="G851" s="34"/>
      <c r="H851" s="34"/>
      <c r="I851" s="34"/>
      <c r="J851" s="225"/>
      <c r="K851" s="225"/>
      <c r="L851" s="34"/>
    </row>
    <row r="852">
      <c r="B852" s="20"/>
      <c r="D852" s="20"/>
      <c r="E852" s="34"/>
      <c r="F852" s="34"/>
      <c r="G852" s="34"/>
      <c r="H852" s="34"/>
      <c r="I852" s="34"/>
      <c r="J852" s="225"/>
      <c r="K852" s="225"/>
      <c r="L852" s="34"/>
    </row>
    <row r="853">
      <c r="B853" s="20"/>
      <c r="D853" s="20"/>
      <c r="E853" s="34"/>
      <c r="F853" s="34"/>
      <c r="G853" s="34"/>
      <c r="H853" s="34"/>
      <c r="I853" s="34"/>
      <c r="J853" s="225"/>
      <c r="K853" s="225"/>
      <c r="L853" s="34"/>
    </row>
    <row r="854">
      <c r="B854" s="20"/>
      <c r="D854" s="20"/>
      <c r="E854" s="34"/>
      <c r="F854" s="34"/>
      <c r="G854" s="34"/>
      <c r="H854" s="34"/>
      <c r="I854" s="34"/>
      <c r="J854" s="225"/>
      <c r="K854" s="225"/>
      <c r="L854" s="34"/>
    </row>
    <row r="855">
      <c r="B855" s="20"/>
      <c r="D855" s="20"/>
      <c r="E855" s="34"/>
      <c r="F855" s="34"/>
      <c r="G855" s="34"/>
      <c r="H855" s="34"/>
      <c r="I855" s="34"/>
      <c r="J855" s="225"/>
      <c r="K855" s="225"/>
      <c r="L855" s="34"/>
    </row>
    <row r="856">
      <c r="B856" s="20"/>
      <c r="D856" s="20"/>
      <c r="E856" s="34"/>
      <c r="F856" s="34"/>
      <c r="G856" s="34"/>
      <c r="H856" s="34"/>
      <c r="I856" s="34"/>
      <c r="J856" s="225"/>
      <c r="K856" s="225"/>
      <c r="L856" s="34"/>
    </row>
    <row r="857">
      <c r="B857" s="20"/>
      <c r="D857" s="20"/>
      <c r="E857" s="34"/>
      <c r="F857" s="34"/>
      <c r="G857" s="34"/>
      <c r="H857" s="34"/>
      <c r="I857" s="34"/>
      <c r="J857" s="225"/>
      <c r="K857" s="225"/>
      <c r="L857" s="34"/>
    </row>
    <row r="858">
      <c r="B858" s="20"/>
      <c r="D858" s="20"/>
      <c r="E858" s="34"/>
      <c r="F858" s="34"/>
      <c r="G858" s="34"/>
      <c r="H858" s="34"/>
      <c r="I858" s="34"/>
      <c r="J858" s="225"/>
      <c r="K858" s="225"/>
      <c r="L858" s="34"/>
    </row>
    <row r="859">
      <c r="B859" s="20"/>
      <c r="D859" s="20"/>
      <c r="E859" s="34"/>
      <c r="F859" s="34"/>
      <c r="G859" s="34"/>
      <c r="H859" s="34"/>
      <c r="I859" s="34"/>
      <c r="J859" s="225"/>
      <c r="K859" s="225"/>
      <c r="L859" s="34"/>
    </row>
    <row r="860">
      <c r="B860" s="20"/>
      <c r="D860" s="20"/>
      <c r="E860" s="34"/>
      <c r="F860" s="34"/>
      <c r="G860" s="34"/>
      <c r="H860" s="34"/>
      <c r="I860" s="34"/>
      <c r="J860" s="225"/>
      <c r="K860" s="225"/>
      <c r="L860" s="34"/>
    </row>
    <row r="861">
      <c r="B861" s="20"/>
      <c r="D861" s="20"/>
      <c r="E861" s="34"/>
      <c r="F861" s="34"/>
      <c r="G861" s="34"/>
      <c r="H861" s="34"/>
      <c r="I861" s="34"/>
      <c r="J861" s="225"/>
      <c r="K861" s="225"/>
      <c r="L861" s="34"/>
    </row>
    <row r="862">
      <c r="B862" s="20"/>
      <c r="D862" s="20"/>
      <c r="E862" s="34"/>
      <c r="F862" s="34"/>
      <c r="G862" s="34"/>
      <c r="H862" s="34"/>
      <c r="I862" s="34"/>
      <c r="J862" s="225"/>
      <c r="K862" s="225"/>
      <c r="L862" s="34"/>
    </row>
    <row r="863">
      <c r="B863" s="20"/>
      <c r="D863" s="20"/>
      <c r="E863" s="34"/>
      <c r="F863" s="34"/>
      <c r="G863" s="34"/>
      <c r="H863" s="34"/>
      <c r="I863" s="34"/>
      <c r="J863" s="225"/>
      <c r="K863" s="225"/>
      <c r="L863" s="34"/>
    </row>
    <row r="864">
      <c r="B864" s="20"/>
      <c r="D864" s="20"/>
      <c r="E864" s="34"/>
      <c r="F864" s="34"/>
      <c r="G864" s="34"/>
      <c r="H864" s="34"/>
      <c r="I864" s="34"/>
      <c r="J864" s="225"/>
      <c r="K864" s="225"/>
      <c r="L864" s="34"/>
    </row>
    <row r="865">
      <c r="B865" s="20"/>
      <c r="D865" s="20"/>
      <c r="E865" s="34"/>
      <c r="F865" s="34"/>
      <c r="G865" s="34"/>
      <c r="H865" s="34"/>
      <c r="I865" s="34"/>
      <c r="J865" s="225"/>
      <c r="K865" s="225"/>
      <c r="L865" s="34"/>
    </row>
    <row r="866">
      <c r="B866" s="20"/>
      <c r="D866" s="20"/>
      <c r="E866" s="34"/>
      <c r="F866" s="34"/>
      <c r="G866" s="34"/>
      <c r="H866" s="34"/>
      <c r="I866" s="34"/>
      <c r="J866" s="225"/>
      <c r="K866" s="225"/>
      <c r="L866" s="34"/>
    </row>
    <row r="867">
      <c r="B867" s="20"/>
      <c r="D867" s="20"/>
      <c r="E867" s="34"/>
      <c r="F867" s="34"/>
      <c r="G867" s="34"/>
      <c r="H867" s="34"/>
      <c r="I867" s="34"/>
      <c r="J867" s="225"/>
      <c r="K867" s="225"/>
      <c r="L867" s="34"/>
    </row>
    <row r="868">
      <c r="B868" s="20"/>
      <c r="D868" s="20"/>
      <c r="E868" s="34"/>
      <c r="F868" s="34"/>
      <c r="G868" s="34"/>
      <c r="H868" s="34"/>
      <c r="I868" s="34"/>
      <c r="J868" s="225"/>
      <c r="K868" s="225"/>
      <c r="L868" s="34"/>
    </row>
    <row r="869">
      <c r="B869" s="20"/>
      <c r="D869" s="20"/>
      <c r="E869" s="34"/>
      <c r="F869" s="34"/>
      <c r="G869" s="34"/>
      <c r="H869" s="34"/>
      <c r="I869" s="34"/>
      <c r="J869" s="225"/>
      <c r="K869" s="225"/>
      <c r="L869" s="34"/>
    </row>
    <row r="870">
      <c r="B870" s="20"/>
      <c r="D870" s="20"/>
      <c r="E870" s="34"/>
      <c r="F870" s="34"/>
      <c r="G870" s="34"/>
      <c r="H870" s="34"/>
      <c r="I870" s="34"/>
      <c r="J870" s="225"/>
      <c r="K870" s="225"/>
      <c r="L870" s="34"/>
    </row>
    <row r="871">
      <c r="B871" s="20"/>
      <c r="D871" s="20"/>
      <c r="E871" s="34"/>
      <c r="F871" s="34"/>
      <c r="G871" s="34"/>
      <c r="H871" s="34"/>
      <c r="I871" s="34"/>
      <c r="J871" s="225"/>
      <c r="K871" s="225"/>
      <c r="L871" s="34"/>
    </row>
    <row r="872">
      <c r="B872" s="20"/>
      <c r="D872" s="20"/>
      <c r="E872" s="34"/>
      <c r="F872" s="34"/>
      <c r="G872" s="34"/>
      <c r="H872" s="34"/>
      <c r="I872" s="34"/>
      <c r="J872" s="225"/>
      <c r="K872" s="225"/>
      <c r="L872" s="34"/>
    </row>
    <row r="873">
      <c r="B873" s="20"/>
      <c r="D873" s="20"/>
      <c r="E873" s="34"/>
      <c r="F873" s="34"/>
      <c r="G873" s="34"/>
      <c r="H873" s="34"/>
      <c r="I873" s="34"/>
      <c r="J873" s="225"/>
      <c r="K873" s="225"/>
      <c r="L873" s="34"/>
    </row>
    <row r="874">
      <c r="B874" s="20"/>
      <c r="D874" s="20"/>
      <c r="E874" s="34"/>
      <c r="F874" s="34"/>
      <c r="G874" s="34"/>
      <c r="H874" s="34"/>
      <c r="I874" s="34"/>
      <c r="J874" s="225"/>
      <c r="K874" s="225"/>
      <c r="L874" s="34"/>
    </row>
    <row r="875">
      <c r="B875" s="20"/>
      <c r="D875" s="20"/>
      <c r="E875" s="34"/>
      <c r="F875" s="34"/>
      <c r="G875" s="34"/>
      <c r="H875" s="34"/>
      <c r="I875" s="34"/>
      <c r="J875" s="225"/>
      <c r="K875" s="225"/>
      <c r="L875" s="34"/>
    </row>
    <row r="876">
      <c r="B876" s="20"/>
      <c r="D876" s="20"/>
      <c r="E876" s="34"/>
      <c r="F876" s="34"/>
      <c r="G876" s="34"/>
      <c r="H876" s="34"/>
      <c r="I876" s="34"/>
      <c r="J876" s="225"/>
      <c r="K876" s="225"/>
      <c r="L876" s="34"/>
    </row>
    <row r="877">
      <c r="B877" s="20"/>
      <c r="D877" s="20"/>
      <c r="E877" s="34"/>
      <c r="F877" s="34"/>
      <c r="G877" s="34"/>
      <c r="H877" s="34"/>
      <c r="I877" s="34"/>
      <c r="J877" s="225"/>
      <c r="K877" s="225"/>
      <c r="L877" s="34"/>
    </row>
    <row r="878">
      <c r="B878" s="20"/>
      <c r="D878" s="20"/>
      <c r="E878" s="34"/>
      <c r="F878" s="34"/>
      <c r="G878" s="34"/>
      <c r="H878" s="34"/>
      <c r="I878" s="34"/>
      <c r="J878" s="225"/>
      <c r="K878" s="225"/>
      <c r="L878" s="34"/>
    </row>
    <row r="879">
      <c r="B879" s="20"/>
      <c r="D879" s="20"/>
      <c r="E879" s="34"/>
      <c r="F879" s="34"/>
      <c r="G879" s="34"/>
      <c r="H879" s="34"/>
      <c r="I879" s="34"/>
      <c r="J879" s="225"/>
      <c r="K879" s="225"/>
      <c r="L879" s="34"/>
    </row>
    <row r="880">
      <c r="B880" s="20"/>
      <c r="D880" s="20"/>
      <c r="E880" s="34"/>
      <c r="F880" s="34"/>
      <c r="G880" s="34"/>
      <c r="H880" s="34"/>
      <c r="I880" s="34"/>
      <c r="J880" s="225"/>
      <c r="K880" s="225"/>
      <c r="L880" s="34"/>
    </row>
    <row r="881">
      <c r="B881" s="20"/>
      <c r="D881" s="20"/>
      <c r="E881" s="34"/>
      <c r="F881" s="34"/>
      <c r="G881" s="34"/>
      <c r="H881" s="34"/>
      <c r="I881" s="34"/>
      <c r="J881" s="225"/>
      <c r="K881" s="225"/>
      <c r="L881" s="34"/>
    </row>
    <row r="882">
      <c r="B882" s="20"/>
      <c r="D882" s="20"/>
      <c r="E882" s="34"/>
      <c r="F882" s="34"/>
      <c r="G882" s="34"/>
      <c r="H882" s="34"/>
      <c r="I882" s="34"/>
      <c r="J882" s="225"/>
      <c r="K882" s="225"/>
      <c r="L882" s="34"/>
    </row>
    <row r="883">
      <c r="B883" s="20"/>
      <c r="D883" s="20"/>
      <c r="E883" s="34"/>
      <c r="F883" s="34"/>
      <c r="G883" s="34"/>
      <c r="H883" s="34"/>
      <c r="I883" s="34"/>
      <c r="J883" s="225"/>
      <c r="K883" s="225"/>
      <c r="L883" s="34"/>
    </row>
    <row r="884">
      <c r="B884" s="20"/>
      <c r="D884" s="20"/>
      <c r="E884" s="34"/>
      <c r="F884" s="34"/>
      <c r="G884" s="34"/>
      <c r="H884" s="34"/>
      <c r="I884" s="34"/>
      <c r="J884" s="225"/>
      <c r="K884" s="225"/>
      <c r="L884" s="34"/>
    </row>
    <row r="885">
      <c r="B885" s="20"/>
      <c r="D885" s="20"/>
      <c r="E885" s="34"/>
      <c r="F885" s="34"/>
      <c r="G885" s="34"/>
      <c r="H885" s="34"/>
      <c r="I885" s="34"/>
      <c r="J885" s="225"/>
      <c r="K885" s="225"/>
      <c r="L885" s="34"/>
    </row>
    <row r="886">
      <c r="B886" s="20"/>
      <c r="D886" s="20"/>
      <c r="E886" s="34"/>
      <c r="F886" s="34"/>
      <c r="G886" s="34"/>
      <c r="H886" s="34"/>
      <c r="I886" s="34"/>
      <c r="J886" s="225"/>
      <c r="K886" s="225"/>
      <c r="L886" s="34"/>
    </row>
    <row r="887">
      <c r="B887" s="20"/>
      <c r="D887" s="20"/>
      <c r="E887" s="34"/>
      <c r="F887" s="34"/>
      <c r="G887" s="34"/>
      <c r="H887" s="34"/>
      <c r="I887" s="34"/>
      <c r="J887" s="225"/>
      <c r="K887" s="225"/>
      <c r="L887" s="34"/>
    </row>
    <row r="888">
      <c r="B888" s="20"/>
      <c r="D888" s="20"/>
      <c r="E888" s="34"/>
      <c r="F888" s="34"/>
      <c r="G888" s="34"/>
      <c r="H888" s="34"/>
      <c r="I888" s="34"/>
      <c r="J888" s="225"/>
      <c r="K888" s="225"/>
      <c r="L888" s="34"/>
    </row>
    <row r="889">
      <c r="B889" s="20"/>
      <c r="D889" s="20"/>
      <c r="E889" s="34"/>
      <c r="F889" s="34"/>
      <c r="G889" s="34"/>
      <c r="H889" s="34"/>
      <c r="I889" s="34"/>
      <c r="J889" s="225"/>
      <c r="K889" s="225"/>
      <c r="L889" s="34"/>
    </row>
    <row r="890">
      <c r="B890" s="20"/>
      <c r="D890" s="20"/>
      <c r="E890" s="34"/>
      <c r="F890" s="34"/>
      <c r="G890" s="34"/>
      <c r="H890" s="34"/>
      <c r="I890" s="34"/>
      <c r="J890" s="225"/>
      <c r="K890" s="225"/>
      <c r="L890" s="34"/>
    </row>
    <row r="891">
      <c r="B891" s="20"/>
      <c r="D891" s="20"/>
      <c r="E891" s="34"/>
      <c r="F891" s="34"/>
      <c r="G891" s="34"/>
      <c r="H891" s="34"/>
      <c r="I891" s="34"/>
      <c r="J891" s="225"/>
      <c r="K891" s="225"/>
      <c r="L891" s="34"/>
    </row>
    <row r="892">
      <c r="B892" s="20"/>
      <c r="D892" s="20"/>
      <c r="E892" s="34"/>
      <c r="F892" s="34"/>
      <c r="G892" s="34"/>
      <c r="H892" s="34"/>
      <c r="I892" s="34"/>
      <c r="J892" s="225"/>
      <c r="K892" s="225"/>
      <c r="L892" s="34"/>
    </row>
    <row r="893">
      <c r="B893" s="20"/>
      <c r="D893" s="20"/>
      <c r="E893" s="34"/>
      <c r="F893" s="34"/>
      <c r="G893" s="34"/>
      <c r="H893" s="34"/>
      <c r="I893" s="34"/>
      <c r="J893" s="225"/>
      <c r="K893" s="225"/>
      <c r="L893" s="34"/>
    </row>
    <row r="894">
      <c r="B894" s="20"/>
      <c r="D894" s="20"/>
      <c r="E894" s="34"/>
      <c r="F894" s="34"/>
      <c r="G894" s="34"/>
      <c r="H894" s="34"/>
      <c r="I894" s="34"/>
      <c r="J894" s="225"/>
      <c r="K894" s="225"/>
      <c r="L894" s="34"/>
    </row>
    <row r="895">
      <c r="B895" s="20"/>
      <c r="D895" s="20"/>
      <c r="E895" s="34"/>
      <c r="F895" s="34"/>
      <c r="G895" s="34"/>
      <c r="H895" s="34"/>
      <c r="I895" s="34"/>
      <c r="J895" s="225"/>
      <c r="K895" s="225"/>
      <c r="L895" s="34"/>
    </row>
    <row r="896">
      <c r="B896" s="20"/>
      <c r="D896" s="20"/>
      <c r="E896" s="34"/>
      <c r="F896" s="34"/>
      <c r="G896" s="34"/>
      <c r="H896" s="34"/>
      <c r="I896" s="34"/>
      <c r="J896" s="225"/>
      <c r="K896" s="225"/>
      <c r="L896" s="34"/>
    </row>
    <row r="897">
      <c r="B897" s="20"/>
      <c r="D897" s="20"/>
      <c r="E897" s="34"/>
      <c r="F897" s="34"/>
      <c r="G897" s="34"/>
      <c r="H897" s="34"/>
      <c r="I897" s="34"/>
      <c r="J897" s="225"/>
      <c r="K897" s="225"/>
      <c r="L897" s="34"/>
    </row>
    <row r="898">
      <c r="B898" s="20"/>
      <c r="D898" s="20"/>
      <c r="E898" s="34"/>
      <c r="F898" s="34"/>
      <c r="G898" s="34"/>
      <c r="H898" s="34"/>
      <c r="I898" s="34"/>
      <c r="J898" s="225"/>
      <c r="K898" s="225"/>
      <c r="L898" s="34"/>
    </row>
    <row r="899">
      <c r="B899" s="20"/>
      <c r="D899" s="20"/>
      <c r="E899" s="34"/>
      <c r="F899" s="34"/>
      <c r="G899" s="34"/>
      <c r="H899" s="34"/>
      <c r="I899" s="34"/>
      <c r="J899" s="225"/>
      <c r="K899" s="225"/>
      <c r="L899" s="34"/>
    </row>
    <row r="900">
      <c r="B900" s="20"/>
      <c r="D900" s="20"/>
      <c r="E900" s="34"/>
      <c r="F900" s="34"/>
      <c r="G900" s="34"/>
      <c r="H900" s="34"/>
      <c r="I900" s="34"/>
      <c r="J900" s="225"/>
      <c r="K900" s="225"/>
      <c r="L900" s="34"/>
    </row>
    <row r="901">
      <c r="B901" s="20"/>
      <c r="D901" s="20"/>
      <c r="E901" s="34"/>
      <c r="F901" s="34"/>
      <c r="G901" s="34"/>
      <c r="H901" s="34"/>
      <c r="I901" s="34"/>
      <c r="J901" s="225"/>
      <c r="K901" s="225"/>
      <c r="L901" s="34"/>
    </row>
    <row r="902">
      <c r="B902" s="20"/>
      <c r="D902" s="20"/>
      <c r="E902" s="34"/>
      <c r="F902" s="34"/>
      <c r="G902" s="34"/>
      <c r="H902" s="34"/>
      <c r="I902" s="34"/>
      <c r="J902" s="225"/>
      <c r="K902" s="225"/>
      <c r="L902" s="34"/>
    </row>
    <row r="903">
      <c r="B903" s="20"/>
      <c r="D903" s="20"/>
      <c r="E903" s="34"/>
      <c r="F903" s="34"/>
      <c r="G903" s="34"/>
      <c r="H903" s="34"/>
      <c r="I903" s="34"/>
      <c r="J903" s="225"/>
      <c r="K903" s="225"/>
      <c r="L903" s="34"/>
    </row>
    <row r="904">
      <c r="B904" s="20"/>
      <c r="D904" s="20"/>
      <c r="E904" s="34"/>
      <c r="F904" s="34"/>
      <c r="G904" s="34"/>
      <c r="H904" s="34"/>
      <c r="I904" s="34"/>
      <c r="J904" s="225"/>
      <c r="K904" s="225"/>
      <c r="L904" s="34"/>
    </row>
    <row r="905">
      <c r="B905" s="20"/>
      <c r="D905" s="20"/>
      <c r="E905" s="34"/>
      <c r="F905" s="34"/>
      <c r="G905" s="34"/>
      <c r="H905" s="34"/>
      <c r="I905" s="34"/>
      <c r="J905" s="225"/>
      <c r="K905" s="225"/>
      <c r="L905" s="34"/>
    </row>
    <row r="906">
      <c r="B906" s="20"/>
      <c r="D906" s="20"/>
      <c r="E906" s="34"/>
      <c r="F906" s="34"/>
      <c r="G906" s="34"/>
      <c r="H906" s="34"/>
      <c r="I906" s="34"/>
      <c r="J906" s="225"/>
      <c r="K906" s="225"/>
      <c r="L906" s="34"/>
    </row>
    <row r="907">
      <c r="B907" s="20"/>
      <c r="D907" s="20"/>
      <c r="E907" s="34"/>
      <c r="F907" s="34"/>
      <c r="G907" s="34"/>
      <c r="H907" s="34"/>
      <c r="I907" s="34"/>
      <c r="J907" s="225"/>
      <c r="K907" s="225"/>
      <c r="L907" s="34"/>
    </row>
    <row r="908">
      <c r="B908" s="20"/>
      <c r="D908" s="20"/>
      <c r="E908" s="34"/>
      <c r="F908" s="34"/>
      <c r="G908" s="34"/>
      <c r="H908" s="34"/>
      <c r="I908" s="34"/>
      <c r="J908" s="225"/>
      <c r="K908" s="225"/>
      <c r="L908" s="34"/>
    </row>
    <row r="909">
      <c r="B909" s="20"/>
      <c r="D909" s="20"/>
      <c r="E909" s="34"/>
      <c r="F909" s="34"/>
      <c r="G909" s="34"/>
      <c r="H909" s="34"/>
      <c r="I909" s="34"/>
      <c r="J909" s="225"/>
      <c r="K909" s="225"/>
      <c r="L909" s="34"/>
    </row>
    <row r="910">
      <c r="B910" s="20"/>
      <c r="D910" s="20"/>
      <c r="E910" s="34"/>
      <c r="F910" s="34"/>
      <c r="G910" s="34"/>
      <c r="H910" s="34"/>
      <c r="I910" s="34"/>
      <c r="J910" s="225"/>
      <c r="K910" s="225"/>
      <c r="L910" s="34"/>
    </row>
    <row r="911">
      <c r="B911" s="20"/>
      <c r="D911" s="20"/>
      <c r="E911" s="34"/>
      <c r="F911" s="34"/>
      <c r="G911" s="34"/>
      <c r="H911" s="34"/>
      <c r="I911" s="34"/>
      <c r="J911" s="225"/>
      <c r="K911" s="225"/>
      <c r="L911" s="34"/>
    </row>
    <row r="912">
      <c r="B912" s="20"/>
      <c r="D912" s="20"/>
      <c r="E912" s="34"/>
      <c r="F912" s="34"/>
      <c r="G912" s="34"/>
      <c r="H912" s="34"/>
      <c r="I912" s="34"/>
      <c r="J912" s="225"/>
      <c r="K912" s="225"/>
      <c r="L912" s="34"/>
    </row>
    <row r="913">
      <c r="B913" s="20"/>
      <c r="D913" s="20"/>
      <c r="E913" s="34"/>
      <c r="F913" s="34"/>
      <c r="G913" s="34"/>
      <c r="H913" s="34"/>
      <c r="I913" s="34"/>
      <c r="J913" s="225"/>
      <c r="K913" s="225"/>
      <c r="L913" s="34"/>
    </row>
    <row r="914">
      <c r="B914" s="20"/>
      <c r="D914" s="20"/>
      <c r="E914" s="34"/>
      <c r="F914" s="34"/>
      <c r="G914" s="34"/>
      <c r="H914" s="34"/>
      <c r="I914" s="34"/>
      <c r="J914" s="225"/>
      <c r="K914" s="225"/>
      <c r="L914" s="34"/>
    </row>
    <row r="915">
      <c r="B915" s="20"/>
      <c r="D915" s="20"/>
      <c r="E915" s="34"/>
      <c r="F915" s="34"/>
      <c r="G915" s="34"/>
      <c r="H915" s="34"/>
      <c r="I915" s="34"/>
      <c r="J915" s="225"/>
      <c r="K915" s="225"/>
      <c r="L915" s="34"/>
    </row>
    <row r="916">
      <c r="B916" s="20"/>
      <c r="D916" s="20"/>
      <c r="E916" s="34"/>
      <c r="F916" s="34"/>
      <c r="G916" s="34"/>
      <c r="H916" s="34"/>
      <c r="I916" s="34"/>
      <c r="J916" s="225"/>
      <c r="K916" s="225"/>
      <c r="L916" s="34"/>
    </row>
    <row r="917">
      <c r="B917" s="20"/>
      <c r="D917" s="20"/>
      <c r="E917" s="34"/>
      <c r="F917" s="34"/>
      <c r="G917" s="34"/>
      <c r="H917" s="34"/>
      <c r="I917" s="34"/>
      <c r="J917" s="225"/>
      <c r="K917" s="225"/>
      <c r="L917" s="34"/>
    </row>
    <row r="918">
      <c r="B918" s="20"/>
      <c r="D918" s="20"/>
      <c r="E918" s="34"/>
      <c r="F918" s="34"/>
      <c r="G918" s="34"/>
      <c r="H918" s="34"/>
      <c r="I918" s="34"/>
      <c r="J918" s="225"/>
      <c r="K918" s="225"/>
      <c r="L918" s="34"/>
    </row>
    <row r="919">
      <c r="B919" s="20"/>
      <c r="D919" s="20"/>
      <c r="E919" s="34"/>
      <c r="F919" s="34"/>
      <c r="G919" s="34"/>
      <c r="H919" s="34"/>
      <c r="I919" s="34"/>
      <c r="J919" s="225"/>
      <c r="K919" s="225"/>
      <c r="L919" s="34"/>
    </row>
    <row r="920">
      <c r="B920" s="20"/>
      <c r="D920" s="20"/>
      <c r="E920" s="34"/>
      <c r="F920" s="34"/>
      <c r="G920" s="34"/>
      <c r="H920" s="34"/>
      <c r="I920" s="34"/>
      <c r="J920" s="225"/>
      <c r="K920" s="225"/>
      <c r="L920" s="34"/>
    </row>
    <row r="921">
      <c r="B921" s="20"/>
      <c r="D921" s="20"/>
      <c r="E921" s="34"/>
      <c r="F921" s="34"/>
      <c r="G921" s="34"/>
      <c r="H921" s="34"/>
      <c r="I921" s="34"/>
      <c r="J921" s="225"/>
      <c r="K921" s="225"/>
      <c r="L921" s="34"/>
    </row>
    <row r="922">
      <c r="B922" s="20"/>
      <c r="D922" s="20"/>
      <c r="E922" s="34"/>
      <c r="F922" s="34"/>
      <c r="G922" s="34"/>
      <c r="H922" s="34"/>
      <c r="I922" s="34"/>
      <c r="J922" s="225"/>
      <c r="K922" s="225"/>
      <c r="L922" s="34"/>
    </row>
    <row r="923">
      <c r="B923" s="20"/>
      <c r="D923" s="20"/>
      <c r="E923" s="34"/>
      <c r="F923" s="34"/>
      <c r="G923" s="34"/>
      <c r="H923" s="34"/>
      <c r="I923" s="34"/>
      <c r="J923" s="225"/>
      <c r="K923" s="225"/>
      <c r="L923" s="34"/>
    </row>
    <row r="924">
      <c r="B924" s="20"/>
      <c r="D924" s="20"/>
      <c r="E924" s="34"/>
      <c r="F924" s="34"/>
      <c r="G924" s="34"/>
      <c r="H924" s="34"/>
      <c r="I924" s="34"/>
      <c r="J924" s="225"/>
      <c r="K924" s="225"/>
      <c r="L924" s="34"/>
    </row>
    <row r="925">
      <c r="B925" s="20"/>
      <c r="D925" s="20"/>
      <c r="E925" s="34"/>
      <c r="F925" s="34"/>
      <c r="G925" s="34"/>
      <c r="H925" s="34"/>
      <c r="I925" s="34"/>
      <c r="J925" s="225"/>
      <c r="K925" s="225"/>
      <c r="L925" s="34"/>
    </row>
    <row r="926">
      <c r="B926" s="20"/>
      <c r="D926" s="20"/>
      <c r="E926" s="34"/>
      <c r="F926" s="34"/>
      <c r="G926" s="34"/>
      <c r="H926" s="34"/>
      <c r="I926" s="34"/>
      <c r="J926" s="225"/>
      <c r="K926" s="225"/>
      <c r="L926" s="34"/>
    </row>
    <row r="927">
      <c r="B927" s="20"/>
      <c r="D927" s="20"/>
      <c r="E927" s="34"/>
      <c r="F927" s="34"/>
      <c r="G927" s="34"/>
      <c r="H927" s="34"/>
      <c r="I927" s="34"/>
      <c r="J927" s="225"/>
      <c r="K927" s="225"/>
      <c r="L927" s="34"/>
    </row>
    <row r="928">
      <c r="B928" s="20"/>
      <c r="D928" s="20"/>
      <c r="E928" s="34"/>
      <c r="F928" s="34"/>
      <c r="G928" s="34"/>
      <c r="H928" s="34"/>
      <c r="I928" s="34"/>
      <c r="J928" s="225"/>
      <c r="K928" s="225"/>
      <c r="L928" s="34"/>
    </row>
    <row r="929">
      <c r="B929" s="20"/>
      <c r="D929" s="20"/>
      <c r="E929" s="34"/>
      <c r="F929" s="34"/>
      <c r="G929" s="34"/>
      <c r="H929" s="34"/>
      <c r="I929" s="34"/>
      <c r="J929" s="225"/>
      <c r="K929" s="225"/>
      <c r="L929" s="34"/>
    </row>
    <row r="930">
      <c r="B930" s="20"/>
      <c r="D930" s="20"/>
      <c r="E930" s="34"/>
      <c r="F930" s="34"/>
      <c r="G930" s="34"/>
      <c r="H930" s="34"/>
      <c r="I930" s="34"/>
      <c r="J930" s="225"/>
      <c r="K930" s="225"/>
      <c r="L930" s="34"/>
    </row>
    <row r="931">
      <c r="B931" s="20"/>
      <c r="D931" s="20"/>
      <c r="E931" s="34"/>
      <c r="F931" s="34"/>
      <c r="G931" s="34"/>
      <c r="H931" s="34"/>
      <c r="I931" s="34"/>
      <c r="J931" s="225"/>
      <c r="K931" s="225"/>
      <c r="L931" s="34"/>
    </row>
    <row r="932">
      <c r="B932" s="20"/>
      <c r="D932" s="20"/>
      <c r="E932" s="34"/>
      <c r="F932" s="34"/>
      <c r="G932" s="34"/>
      <c r="H932" s="34"/>
      <c r="I932" s="34"/>
      <c r="J932" s="225"/>
      <c r="K932" s="225"/>
      <c r="L932" s="34"/>
    </row>
    <row r="933">
      <c r="B933" s="20"/>
      <c r="D933" s="20"/>
      <c r="E933" s="34"/>
      <c r="F933" s="34"/>
      <c r="G933" s="34"/>
      <c r="H933" s="34"/>
      <c r="I933" s="34"/>
      <c r="J933" s="225"/>
      <c r="K933" s="225"/>
      <c r="L933" s="34"/>
    </row>
    <row r="934">
      <c r="B934" s="20"/>
      <c r="D934" s="20"/>
      <c r="E934" s="34"/>
      <c r="F934" s="34"/>
      <c r="G934" s="34"/>
      <c r="H934" s="34"/>
      <c r="I934" s="34"/>
      <c r="J934" s="225"/>
      <c r="K934" s="225"/>
      <c r="L934" s="34"/>
    </row>
    <row r="935">
      <c r="B935" s="20"/>
      <c r="D935" s="20"/>
      <c r="E935" s="34"/>
      <c r="F935" s="34"/>
      <c r="G935" s="34"/>
      <c r="H935" s="34"/>
      <c r="I935" s="34"/>
      <c r="J935" s="225"/>
      <c r="K935" s="225"/>
      <c r="L935" s="34"/>
    </row>
    <row r="936">
      <c r="B936" s="20"/>
      <c r="D936" s="20"/>
      <c r="E936" s="34"/>
      <c r="F936" s="34"/>
      <c r="G936" s="34"/>
      <c r="H936" s="34"/>
      <c r="I936" s="34"/>
      <c r="J936" s="225"/>
      <c r="K936" s="225"/>
      <c r="L936" s="34"/>
    </row>
    <row r="937">
      <c r="B937" s="20"/>
      <c r="D937" s="20"/>
      <c r="E937" s="34"/>
      <c r="F937" s="34"/>
      <c r="G937" s="34"/>
      <c r="H937" s="34"/>
      <c r="I937" s="34"/>
      <c r="J937" s="225"/>
      <c r="K937" s="225"/>
      <c r="L937" s="34"/>
    </row>
    <row r="938">
      <c r="B938" s="20"/>
      <c r="D938" s="20"/>
      <c r="E938" s="34"/>
      <c r="F938" s="34"/>
      <c r="G938" s="34"/>
      <c r="H938" s="34"/>
      <c r="I938" s="34"/>
      <c r="J938" s="225"/>
      <c r="K938" s="225"/>
      <c r="L938" s="34"/>
    </row>
    <row r="939">
      <c r="B939" s="20"/>
      <c r="D939" s="20"/>
      <c r="E939" s="34"/>
      <c r="F939" s="34"/>
      <c r="G939" s="34"/>
      <c r="H939" s="34"/>
      <c r="I939" s="34"/>
      <c r="J939" s="225"/>
      <c r="K939" s="225"/>
      <c r="L939" s="34"/>
    </row>
    <row r="940">
      <c r="B940" s="20"/>
      <c r="D940" s="20"/>
      <c r="E940" s="34"/>
      <c r="F940" s="34"/>
      <c r="G940" s="34"/>
      <c r="H940" s="34"/>
      <c r="I940" s="34"/>
      <c r="J940" s="225"/>
      <c r="K940" s="225"/>
      <c r="L940" s="34"/>
    </row>
    <row r="941">
      <c r="B941" s="20"/>
      <c r="D941" s="20"/>
      <c r="E941" s="34"/>
      <c r="F941" s="34"/>
      <c r="G941" s="34"/>
      <c r="H941" s="34"/>
      <c r="I941" s="34"/>
      <c r="J941" s="225"/>
      <c r="K941" s="225"/>
      <c r="L941" s="34"/>
    </row>
    <row r="942">
      <c r="B942" s="20"/>
      <c r="D942" s="20"/>
      <c r="E942" s="34"/>
      <c r="F942" s="34"/>
      <c r="G942" s="34"/>
      <c r="H942" s="34"/>
      <c r="I942" s="34"/>
      <c r="J942" s="225"/>
      <c r="K942" s="225"/>
      <c r="L942" s="34"/>
    </row>
    <row r="943">
      <c r="B943" s="20"/>
      <c r="D943" s="20"/>
      <c r="E943" s="34"/>
      <c r="F943" s="34"/>
      <c r="G943" s="34"/>
      <c r="H943" s="34"/>
      <c r="I943" s="34"/>
      <c r="J943" s="225"/>
      <c r="K943" s="225"/>
      <c r="L943" s="34"/>
    </row>
    <row r="944">
      <c r="B944" s="20"/>
      <c r="D944" s="20"/>
      <c r="E944" s="34"/>
      <c r="F944" s="34"/>
      <c r="G944" s="34"/>
      <c r="H944" s="34"/>
      <c r="I944" s="34"/>
      <c r="J944" s="225"/>
      <c r="K944" s="225"/>
      <c r="L944" s="34"/>
    </row>
    <row r="945">
      <c r="B945" s="20"/>
      <c r="D945" s="20"/>
      <c r="E945" s="34"/>
      <c r="F945" s="34"/>
      <c r="G945" s="34"/>
      <c r="H945" s="34"/>
      <c r="I945" s="34"/>
      <c r="J945" s="225"/>
      <c r="K945" s="225"/>
      <c r="L945" s="34"/>
    </row>
    <row r="946">
      <c r="B946" s="20"/>
      <c r="D946" s="20"/>
      <c r="E946" s="34"/>
      <c r="F946" s="34"/>
      <c r="G946" s="34"/>
      <c r="H946" s="34"/>
      <c r="I946" s="34"/>
      <c r="J946" s="225"/>
      <c r="K946" s="225"/>
      <c r="L946" s="34"/>
    </row>
    <row r="947">
      <c r="B947" s="20"/>
      <c r="D947" s="20"/>
      <c r="E947" s="34"/>
      <c r="F947" s="34"/>
      <c r="G947" s="34"/>
      <c r="H947" s="34"/>
      <c r="I947" s="34"/>
      <c r="J947" s="225"/>
      <c r="K947" s="225"/>
      <c r="L947" s="34"/>
    </row>
    <row r="948">
      <c r="B948" s="20"/>
      <c r="D948" s="20"/>
      <c r="E948" s="34"/>
      <c r="F948" s="34"/>
      <c r="G948" s="34"/>
      <c r="H948" s="34"/>
      <c r="I948" s="34"/>
      <c r="J948" s="225"/>
      <c r="K948" s="225"/>
      <c r="L948" s="34"/>
    </row>
    <row r="949">
      <c r="B949" s="20"/>
      <c r="D949" s="20"/>
      <c r="E949" s="34"/>
      <c r="F949" s="34"/>
      <c r="G949" s="34"/>
      <c r="H949" s="34"/>
      <c r="I949" s="34"/>
      <c r="J949" s="225"/>
      <c r="K949" s="225"/>
      <c r="L949" s="34"/>
    </row>
    <row r="950">
      <c r="B950" s="20"/>
      <c r="D950" s="20"/>
      <c r="E950" s="34"/>
      <c r="F950" s="34"/>
      <c r="G950" s="34"/>
      <c r="H950" s="34"/>
      <c r="I950" s="34"/>
      <c r="J950" s="225"/>
      <c r="K950" s="225"/>
      <c r="L950" s="34"/>
    </row>
    <row r="951">
      <c r="B951" s="20"/>
      <c r="D951" s="20"/>
      <c r="E951" s="34"/>
      <c r="F951" s="34"/>
      <c r="G951" s="34"/>
      <c r="H951" s="34"/>
      <c r="I951" s="34"/>
      <c r="J951" s="225"/>
      <c r="K951" s="225"/>
      <c r="L951" s="34"/>
    </row>
    <row r="952">
      <c r="B952" s="20"/>
      <c r="D952" s="20"/>
      <c r="E952" s="34"/>
      <c r="F952" s="34"/>
      <c r="G952" s="34"/>
      <c r="H952" s="34"/>
      <c r="I952" s="34"/>
      <c r="J952" s="225"/>
      <c r="K952" s="225"/>
      <c r="L952" s="34"/>
    </row>
    <row r="953">
      <c r="B953" s="20"/>
      <c r="D953" s="20"/>
      <c r="E953" s="34"/>
      <c r="F953" s="34"/>
      <c r="G953" s="34"/>
      <c r="H953" s="34"/>
      <c r="I953" s="34"/>
      <c r="J953" s="225"/>
      <c r="K953" s="225"/>
      <c r="L953" s="34"/>
    </row>
    <row r="954">
      <c r="B954" s="20"/>
      <c r="D954" s="20"/>
      <c r="E954" s="34"/>
      <c r="F954" s="34"/>
      <c r="G954" s="34"/>
      <c r="H954" s="34"/>
      <c r="I954" s="34"/>
      <c r="J954" s="225"/>
      <c r="K954" s="225"/>
      <c r="L954" s="34"/>
    </row>
    <row r="955">
      <c r="B955" s="20"/>
      <c r="D955" s="20"/>
      <c r="E955" s="34"/>
      <c r="F955" s="34"/>
      <c r="G955" s="34"/>
      <c r="H955" s="34"/>
      <c r="I955" s="34"/>
      <c r="J955" s="225"/>
      <c r="K955" s="225"/>
      <c r="L955" s="34"/>
    </row>
    <row r="956">
      <c r="B956" s="20"/>
      <c r="D956" s="20"/>
      <c r="E956" s="34"/>
      <c r="F956" s="34"/>
      <c r="G956" s="34"/>
      <c r="H956" s="34"/>
      <c r="I956" s="34"/>
      <c r="J956" s="225"/>
      <c r="K956" s="225"/>
      <c r="L956" s="34"/>
    </row>
    <row r="957">
      <c r="B957" s="20"/>
      <c r="D957" s="20"/>
      <c r="E957" s="34"/>
      <c r="F957" s="34"/>
      <c r="G957" s="34"/>
      <c r="H957" s="34"/>
      <c r="I957" s="34"/>
      <c r="J957" s="225"/>
      <c r="K957" s="225"/>
      <c r="L957" s="34"/>
    </row>
    <row r="958">
      <c r="B958" s="20"/>
      <c r="D958" s="20"/>
      <c r="E958" s="34"/>
      <c r="F958" s="34"/>
      <c r="G958" s="34"/>
      <c r="H958" s="34"/>
      <c r="I958" s="34"/>
      <c r="J958" s="225"/>
      <c r="K958" s="225"/>
      <c r="L958" s="34"/>
    </row>
    <row r="959">
      <c r="B959" s="20"/>
      <c r="D959" s="20"/>
      <c r="E959" s="34"/>
      <c r="F959" s="34"/>
      <c r="G959" s="34"/>
      <c r="H959" s="34"/>
      <c r="I959" s="34"/>
      <c r="J959" s="225"/>
      <c r="K959" s="225"/>
      <c r="L959" s="34"/>
    </row>
    <row r="960">
      <c r="B960" s="20"/>
      <c r="D960" s="20"/>
      <c r="E960" s="34"/>
      <c r="F960" s="34"/>
      <c r="G960" s="34"/>
      <c r="H960" s="34"/>
      <c r="I960" s="34"/>
      <c r="J960" s="225"/>
      <c r="K960" s="225"/>
      <c r="L960" s="34"/>
    </row>
    <row r="961">
      <c r="B961" s="20"/>
      <c r="D961" s="20"/>
      <c r="E961" s="34"/>
      <c r="F961" s="34"/>
      <c r="G961" s="34"/>
      <c r="H961" s="34"/>
      <c r="I961" s="34"/>
      <c r="J961" s="225"/>
      <c r="K961" s="225"/>
      <c r="L961" s="34"/>
    </row>
    <row r="962">
      <c r="B962" s="20"/>
      <c r="D962" s="20"/>
      <c r="E962" s="34"/>
      <c r="F962" s="34"/>
      <c r="G962" s="34"/>
      <c r="H962" s="34"/>
      <c r="I962" s="34"/>
      <c r="J962" s="225"/>
      <c r="K962" s="225"/>
      <c r="L962" s="34"/>
    </row>
    <row r="963">
      <c r="B963" s="20"/>
      <c r="D963" s="20"/>
      <c r="E963" s="34"/>
      <c r="F963" s="34"/>
      <c r="G963" s="34"/>
      <c r="H963" s="34"/>
      <c r="I963" s="34"/>
      <c r="J963" s="225"/>
      <c r="K963" s="225"/>
      <c r="L963" s="34"/>
    </row>
    <row r="964">
      <c r="B964" s="20"/>
      <c r="D964" s="20"/>
      <c r="E964" s="34"/>
      <c r="F964" s="34"/>
      <c r="G964" s="34"/>
      <c r="H964" s="34"/>
      <c r="I964" s="34"/>
      <c r="J964" s="225"/>
      <c r="K964" s="225"/>
      <c r="L964" s="34"/>
    </row>
    <row r="965">
      <c r="B965" s="20"/>
      <c r="D965" s="20"/>
      <c r="E965" s="34"/>
      <c r="F965" s="34"/>
      <c r="G965" s="34"/>
      <c r="H965" s="34"/>
      <c r="I965" s="34"/>
      <c r="J965" s="225"/>
      <c r="K965" s="225"/>
      <c r="L965" s="34"/>
    </row>
    <row r="966">
      <c r="B966" s="20"/>
      <c r="D966" s="20"/>
      <c r="E966" s="34"/>
      <c r="F966" s="34"/>
      <c r="G966" s="34"/>
      <c r="H966" s="34"/>
      <c r="I966" s="34"/>
      <c r="J966" s="225"/>
      <c r="K966" s="225"/>
      <c r="L966" s="34"/>
      <c r="M966" s="225"/>
      <c r="N966" s="34"/>
    </row>
    <row r="967">
      <c r="B967" s="20"/>
      <c r="D967" s="20"/>
      <c r="E967" s="34"/>
      <c r="F967" s="34"/>
      <c r="G967" s="34"/>
      <c r="H967" s="34"/>
      <c r="I967" s="34"/>
      <c r="J967" s="225"/>
      <c r="K967" s="225"/>
      <c r="L967" s="34"/>
      <c r="M967" s="225"/>
      <c r="N967" s="34"/>
    </row>
    <row r="968">
      <c r="B968" s="20"/>
      <c r="D968" s="20"/>
      <c r="E968" s="34"/>
      <c r="F968" s="34"/>
      <c r="G968" s="34"/>
      <c r="H968" s="34"/>
      <c r="I968" s="34"/>
      <c r="J968" s="225"/>
      <c r="K968" s="225"/>
      <c r="L968" s="34"/>
      <c r="M968" s="22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3157</v>
      </c>
      <c r="E1" s="204" t="s">
        <v>4</v>
      </c>
      <c r="F1" s="204" t="s">
        <v>5</v>
      </c>
      <c r="G1" s="227" t="s">
        <v>6</v>
      </c>
      <c r="H1" s="227" t="s">
        <v>7</v>
      </c>
      <c r="I1" s="228" t="s">
        <v>8</v>
      </c>
      <c r="J1" s="229" t="s">
        <v>3158</v>
      </c>
    </row>
    <row r="2">
      <c r="A2" s="16" t="s">
        <v>3159</v>
      </c>
      <c r="B2" s="230" t="s">
        <v>3160</v>
      </c>
      <c r="C2" s="56" t="s">
        <v>2220</v>
      </c>
      <c r="D2" s="51"/>
      <c r="E2" s="51" t="s">
        <v>3161</v>
      </c>
      <c r="F2" s="54" t="s">
        <v>3162</v>
      </c>
      <c r="G2" s="56">
        <v>1.0</v>
      </c>
      <c r="H2" s="56" t="s">
        <v>99</v>
      </c>
      <c r="I2" s="56" t="s">
        <v>70</v>
      </c>
    </row>
    <row r="3">
      <c r="A3" s="51" t="s">
        <v>3163</v>
      </c>
      <c r="B3" s="230" t="s">
        <v>3160</v>
      </c>
      <c r="C3" s="56" t="s">
        <v>28</v>
      </c>
      <c r="D3" s="51" t="s">
        <v>3164</v>
      </c>
      <c r="E3" s="231" t="s">
        <v>3165</v>
      </c>
      <c r="F3" s="54" t="s">
        <v>3162</v>
      </c>
      <c r="G3" s="56">
        <v>1.0</v>
      </c>
      <c r="H3" s="56" t="s">
        <v>53</v>
      </c>
      <c r="I3" s="56" t="s">
        <v>32</v>
      </c>
    </row>
    <row r="4">
      <c r="A4" s="51" t="s">
        <v>3166</v>
      </c>
      <c r="B4" s="230" t="s">
        <v>3160</v>
      </c>
      <c r="C4" s="56" t="s">
        <v>3167</v>
      </c>
      <c r="D4" s="51" t="s">
        <v>3164</v>
      </c>
      <c r="E4" s="51" t="s">
        <v>3168</v>
      </c>
      <c r="F4" s="54" t="s">
        <v>3162</v>
      </c>
      <c r="G4" s="56">
        <v>3.0</v>
      </c>
      <c r="H4" s="56" t="s">
        <v>245</v>
      </c>
      <c r="I4" s="56" t="s">
        <v>70</v>
      </c>
    </row>
    <row r="5">
      <c r="A5" s="51" t="s">
        <v>3169</v>
      </c>
      <c r="B5" s="232" t="s">
        <v>3160</v>
      </c>
      <c r="C5" s="56" t="s">
        <v>80</v>
      </c>
      <c r="D5" s="51" t="s">
        <v>3170</v>
      </c>
      <c r="E5" s="51" t="s">
        <v>3171</v>
      </c>
      <c r="F5" s="54" t="s">
        <v>3162</v>
      </c>
      <c r="G5" s="56">
        <v>5.0</v>
      </c>
      <c r="H5" s="56" t="s">
        <v>3172</v>
      </c>
      <c r="I5" s="56" t="s">
        <v>32</v>
      </c>
    </row>
    <row r="6">
      <c r="A6" s="28" t="s">
        <v>3173</v>
      </c>
      <c r="B6" s="233" t="s">
        <v>3174</v>
      </c>
      <c r="C6" s="67" t="s">
        <v>408</v>
      </c>
      <c r="D6" s="28"/>
      <c r="E6" s="28" t="s">
        <v>3175</v>
      </c>
      <c r="F6" s="29" t="s">
        <v>3162</v>
      </c>
      <c r="G6" s="67">
        <v>0.0</v>
      </c>
      <c r="H6" s="67" t="s">
        <v>3176</v>
      </c>
      <c r="I6" s="67" t="s">
        <v>32</v>
      </c>
    </row>
    <row r="7">
      <c r="A7" s="51" t="s">
        <v>3177</v>
      </c>
      <c r="B7" s="234" t="s">
        <v>3174</v>
      </c>
      <c r="C7" s="56" t="s">
        <v>2220</v>
      </c>
      <c r="D7" s="51"/>
      <c r="E7" s="51" t="s">
        <v>3178</v>
      </c>
      <c r="F7" s="54" t="s">
        <v>3162</v>
      </c>
      <c r="G7" s="56">
        <v>3.0</v>
      </c>
      <c r="H7" s="56" t="s">
        <v>1060</v>
      </c>
      <c r="I7" s="56" t="s">
        <v>70</v>
      </c>
    </row>
    <row r="8">
      <c r="A8" s="51" t="s">
        <v>3179</v>
      </c>
      <c r="B8" s="234" t="s">
        <v>3174</v>
      </c>
      <c r="C8" s="56" t="s">
        <v>408</v>
      </c>
      <c r="D8" s="51"/>
      <c r="E8" s="51" t="s">
        <v>3180</v>
      </c>
      <c r="F8" s="54" t="s">
        <v>3162</v>
      </c>
      <c r="G8" s="56">
        <v>4.0</v>
      </c>
      <c r="H8" s="56" t="s">
        <v>517</v>
      </c>
      <c r="I8" s="56" t="s">
        <v>26</v>
      </c>
    </row>
    <row r="9">
      <c r="A9" s="51" t="s">
        <v>3181</v>
      </c>
      <c r="B9" s="234" t="s">
        <v>3174</v>
      </c>
      <c r="C9" s="56" t="s">
        <v>2220</v>
      </c>
      <c r="D9" s="51"/>
      <c r="E9" s="51" t="s">
        <v>3182</v>
      </c>
      <c r="F9" s="54" t="s">
        <v>3162</v>
      </c>
      <c r="G9" s="56">
        <v>5.0</v>
      </c>
      <c r="H9" s="56" t="s">
        <v>522</v>
      </c>
      <c r="I9" s="56" t="s">
        <v>32</v>
      </c>
    </row>
    <row r="10">
      <c r="A10" s="51" t="s">
        <v>712</v>
      </c>
      <c r="B10" s="233" t="s">
        <v>3174</v>
      </c>
      <c r="C10" s="67" t="s">
        <v>661</v>
      </c>
      <c r="D10" s="28"/>
      <c r="E10" s="28" t="s">
        <v>3183</v>
      </c>
      <c r="F10" s="29" t="s">
        <v>3162</v>
      </c>
      <c r="G10" s="67">
        <v>6.0</v>
      </c>
      <c r="H10" s="67" t="s">
        <v>3184</v>
      </c>
      <c r="I10" s="67" t="s">
        <v>70</v>
      </c>
    </row>
    <row r="11">
      <c r="A11" s="51"/>
      <c r="B11" s="235" t="s">
        <v>3185</v>
      </c>
      <c r="C11" s="56" t="s">
        <v>661</v>
      </c>
      <c r="D11" s="51"/>
      <c r="E11" s="51" t="s">
        <v>3186</v>
      </c>
      <c r="F11" s="54" t="s">
        <v>3162</v>
      </c>
      <c r="G11" s="56">
        <v>1.0</v>
      </c>
      <c r="H11" s="56" t="s">
        <v>1734</v>
      </c>
      <c r="I11" s="56" t="s">
        <v>32</v>
      </c>
    </row>
    <row r="12">
      <c r="A12" s="51" t="s">
        <v>3187</v>
      </c>
      <c r="B12" s="235" t="s">
        <v>3185</v>
      </c>
      <c r="C12" s="56" t="s">
        <v>661</v>
      </c>
      <c r="D12" s="51"/>
      <c r="E12" s="51" t="s">
        <v>3188</v>
      </c>
      <c r="F12" s="54" t="s">
        <v>3162</v>
      </c>
      <c r="G12" s="56">
        <v>2.0</v>
      </c>
      <c r="H12" s="56" t="s">
        <v>1728</v>
      </c>
      <c r="I12" s="56" t="s">
        <v>32</v>
      </c>
    </row>
    <row r="13">
      <c r="A13" s="51" t="s">
        <v>3189</v>
      </c>
      <c r="B13" s="235" t="s">
        <v>3185</v>
      </c>
      <c r="C13" s="56" t="s">
        <v>3190</v>
      </c>
      <c r="D13" s="51"/>
      <c r="E13" s="236" t="s">
        <v>3191</v>
      </c>
      <c r="F13" s="54" t="s">
        <v>3162</v>
      </c>
      <c r="G13" s="56">
        <v>3.0</v>
      </c>
      <c r="H13" s="56" t="s">
        <v>1734</v>
      </c>
      <c r="I13" s="56" t="s">
        <v>70</v>
      </c>
    </row>
    <row r="14">
      <c r="A14" s="28" t="s">
        <v>3192</v>
      </c>
      <c r="B14" s="237" t="s">
        <v>3185</v>
      </c>
      <c r="C14" s="56" t="s">
        <v>80</v>
      </c>
      <c r="D14" s="51"/>
      <c r="E14" s="51" t="s">
        <v>3193</v>
      </c>
      <c r="F14" s="54" t="s">
        <v>3162</v>
      </c>
      <c r="G14" s="56">
        <v>4.0</v>
      </c>
      <c r="H14" s="56" t="s">
        <v>1530</v>
      </c>
      <c r="I14" s="56" t="s">
        <v>26</v>
      </c>
    </row>
    <row r="15">
      <c r="A15" s="51" t="s">
        <v>3194</v>
      </c>
      <c r="B15" s="235" t="s">
        <v>3185</v>
      </c>
      <c r="C15" s="56" t="s">
        <v>1397</v>
      </c>
      <c r="D15" s="51"/>
      <c r="E15" s="29" t="s">
        <v>3195</v>
      </c>
      <c r="F15" s="29" t="s">
        <v>3162</v>
      </c>
      <c r="G15" s="56">
        <v>6.0</v>
      </c>
      <c r="H15" s="56" t="s">
        <v>2055</v>
      </c>
      <c r="I15" s="56" t="s">
        <v>70</v>
      </c>
    </row>
    <row r="16">
      <c r="A16" s="16" t="s">
        <v>3196</v>
      </c>
      <c r="B16" s="90" t="s">
        <v>3185</v>
      </c>
      <c r="C16" s="15" t="s">
        <v>3197</v>
      </c>
      <c r="F16" s="16" t="s">
        <v>3162</v>
      </c>
      <c r="G16" s="103"/>
      <c r="I16" s="15" t="s">
        <v>32</v>
      </c>
    </row>
    <row r="17">
      <c r="A17" s="51" t="s">
        <v>1470</v>
      </c>
      <c r="B17" s="238" t="s">
        <v>3198</v>
      </c>
      <c r="C17" s="56" t="s">
        <v>37</v>
      </c>
      <c r="D17" s="51"/>
      <c r="E17" s="236" t="s">
        <v>3199</v>
      </c>
      <c r="F17" s="54" t="s">
        <v>3162</v>
      </c>
      <c r="G17" s="56">
        <v>1.0</v>
      </c>
      <c r="H17" s="56" t="s">
        <v>2134</v>
      </c>
      <c r="I17" s="56" t="s">
        <v>70</v>
      </c>
    </row>
    <row r="18">
      <c r="A18" s="51" t="s">
        <v>3200</v>
      </c>
      <c r="B18" s="238" t="s">
        <v>3198</v>
      </c>
      <c r="C18" s="56" t="s">
        <v>1911</v>
      </c>
      <c r="D18" s="51"/>
      <c r="E18" s="51" t="s">
        <v>3201</v>
      </c>
      <c r="F18" s="54" t="s">
        <v>3162</v>
      </c>
      <c r="G18" s="56">
        <v>1.0</v>
      </c>
      <c r="H18" s="56" t="s">
        <v>3202</v>
      </c>
      <c r="I18" s="56" t="s">
        <v>32</v>
      </c>
    </row>
    <row r="19">
      <c r="A19" s="7" t="s">
        <v>3203</v>
      </c>
      <c r="B19" s="86"/>
      <c r="C19" s="15"/>
      <c r="E19" s="16"/>
      <c r="F19" s="16" t="s">
        <v>3162</v>
      </c>
      <c r="G19" s="15"/>
      <c r="H19" s="15"/>
      <c r="I19" s="9"/>
    </row>
    <row r="20">
      <c r="A20" s="24" t="s">
        <v>3204</v>
      </c>
      <c r="B20" s="86" t="s">
        <v>3185</v>
      </c>
      <c r="C20" s="21" t="s">
        <v>387</v>
      </c>
      <c r="D20" s="7"/>
      <c r="E20" s="7" t="s">
        <v>3205</v>
      </c>
      <c r="F20" s="7"/>
      <c r="G20" s="9">
        <v>2.0</v>
      </c>
      <c r="H20" s="9" t="s">
        <v>1503</v>
      </c>
      <c r="I20" s="21" t="s">
        <v>26</v>
      </c>
    </row>
    <row r="21">
      <c r="A21" s="16" t="s">
        <v>3206</v>
      </c>
      <c r="B21" s="14" t="s">
        <v>3160</v>
      </c>
      <c r="C21" s="15" t="s">
        <v>28</v>
      </c>
      <c r="D21" s="16" t="s">
        <v>3207</v>
      </c>
      <c r="E21" s="16" t="s">
        <v>3208</v>
      </c>
      <c r="G21" s="15">
        <v>2.0</v>
      </c>
      <c r="I21" s="103"/>
    </row>
    <row r="22">
      <c r="A22" s="16" t="s">
        <v>3209</v>
      </c>
      <c r="B22" s="16" t="s">
        <v>3210</v>
      </c>
      <c r="C22" s="103"/>
      <c r="G22" s="103"/>
      <c r="I22" s="15" t="s">
        <v>70</v>
      </c>
    </row>
    <row r="23">
      <c r="A23" s="16" t="s">
        <v>3211</v>
      </c>
      <c r="B23" s="16" t="s">
        <v>3212</v>
      </c>
      <c r="C23" s="103"/>
      <c r="G23" s="103"/>
      <c r="I23" s="103"/>
    </row>
    <row r="24">
      <c r="A24" s="16" t="s">
        <v>3204</v>
      </c>
      <c r="B24" s="16" t="s">
        <v>3185</v>
      </c>
      <c r="C24" s="15"/>
      <c r="G24" s="15"/>
      <c r="H24" s="15"/>
      <c r="I24" s="15"/>
    </row>
    <row r="25">
      <c r="A25" s="16" t="s">
        <v>3213</v>
      </c>
      <c r="B25" s="90" t="s">
        <v>3185</v>
      </c>
      <c r="C25" s="15" t="s">
        <v>3214</v>
      </c>
      <c r="E25" s="16" t="s">
        <v>3215</v>
      </c>
      <c r="F25" s="16" t="s">
        <v>1924</v>
      </c>
      <c r="G25" s="15">
        <v>0.0</v>
      </c>
      <c r="H25" s="15" t="s">
        <v>1784</v>
      </c>
      <c r="I25" s="15" t="s">
        <v>26</v>
      </c>
    </row>
    <row r="26">
      <c r="A26" s="16" t="s">
        <v>3216</v>
      </c>
    </row>
    <row r="27">
      <c r="C27" s="103"/>
      <c r="E27" s="16" t="s">
        <v>3217</v>
      </c>
    </row>
    <row r="28">
      <c r="E28" s="16" t="s">
        <v>3218</v>
      </c>
    </row>
    <row r="29">
      <c r="E29" s="16" t="s">
        <v>3219</v>
      </c>
    </row>
    <row r="30">
      <c r="E30" s="16" t="s">
        <v>3220</v>
      </c>
    </row>
    <row r="31">
      <c r="E31" s="16" t="s">
        <v>3221</v>
      </c>
    </row>
    <row r="32">
      <c r="E32" s="16" t="s">
        <v>3222</v>
      </c>
    </row>
    <row r="33">
      <c r="E33" s="16" t="s">
        <v>3223</v>
      </c>
    </row>
    <row r="34">
      <c r="E34" s="16" t="s">
        <v>3224</v>
      </c>
    </row>
    <row r="35">
      <c r="A35" s="16" t="s">
        <v>3225</v>
      </c>
      <c r="B35" s="80" t="s">
        <v>3226</v>
      </c>
      <c r="C35" s="9" t="s">
        <v>3227</v>
      </c>
      <c r="D35" s="24"/>
      <c r="E35" s="7" t="s">
        <v>3228</v>
      </c>
      <c r="F35" s="7" t="s">
        <v>659</v>
      </c>
      <c r="G35" s="9">
        <v>2.0</v>
      </c>
      <c r="H35" s="9" t="s">
        <v>1164</v>
      </c>
      <c r="I35" s="9" t="s">
        <v>70</v>
      </c>
    </row>
    <row r="36">
      <c r="A36" s="16" t="s">
        <v>3229</v>
      </c>
      <c r="B36" s="78" t="s">
        <v>3226</v>
      </c>
      <c r="C36" s="15" t="s">
        <v>2220</v>
      </c>
      <c r="D36" s="16" t="s">
        <v>24</v>
      </c>
      <c r="F36" s="15">
        <v>2.0</v>
      </c>
      <c r="G36" s="15" t="s">
        <v>1051</v>
      </c>
      <c r="H36" s="15" t="s">
        <v>70</v>
      </c>
    </row>
    <row r="37">
      <c r="A37" s="51" t="s">
        <v>1470</v>
      </c>
      <c r="B37" s="16" t="s">
        <v>3230</v>
      </c>
      <c r="C37" s="16" t="s">
        <v>37</v>
      </c>
      <c r="D37" s="16" t="s">
        <v>3231</v>
      </c>
      <c r="F37" s="15">
        <v>0.0</v>
      </c>
      <c r="G37" s="15" t="s">
        <v>1472</v>
      </c>
      <c r="H37" s="15" t="s">
        <v>70</v>
      </c>
      <c r="I37" s="16" t="s">
        <v>3232</v>
      </c>
    </row>
    <row r="38">
      <c r="E38" s="16" t="s">
        <v>3233</v>
      </c>
    </row>
    <row r="39">
      <c r="E39" s="16" t="s">
        <v>3234</v>
      </c>
    </row>
    <row r="41">
      <c r="E41" s="20" t="s">
        <v>3217</v>
      </c>
    </row>
    <row r="42">
      <c r="E42" s="20" t="s">
        <v>3218</v>
      </c>
    </row>
    <row r="43">
      <c r="E43" s="20" t="s">
        <v>3219</v>
      </c>
    </row>
    <row r="44">
      <c r="E44" s="20" t="s">
        <v>3220</v>
      </c>
    </row>
    <row r="45">
      <c r="E45" s="20" t="s">
        <v>3221</v>
      </c>
    </row>
    <row r="46">
      <c r="E46" s="16" t="s">
        <v>3235</v>
      </c>
    </row>
    <row r="47">
      <c r="E47" s="16" t="s">
        <v>3236</v>
      </c>
    </row>
    <row r="48">
      <c r="E48" s="16" t="s">
        <v>3237</v>
      </c>
    </row>
    <row r="50">
      <c r="E50" s="16" t="s">
        <v>3238</v>
      </c>
    </row>
    <row r="51">
      <c r="E51" s="16" t="s">
        <v>3239</v>
      </c>
    </row>
    <row r="52">
      <c r="E52" s="16" t="s">
        <v>2233</v>
      </c>
    </row>
    <row r="53">
      <c r="A53" s="16" t="s">
        <v>3240</v>
      </c>
      <c r="E53" s="16" t="s">
        <v>3241</v>
      </c>
    </row>
    <row r="54">
      <c r="E54" s="16" t="s">
        <v>3242</v>
      </c>
    </row>
    <row r="55">
      <c r="A55" s="16" t="s">
        <v>3243</v>
      </c>
      <c r="E55" s="16" t="s">
        <v>3244</v>
      </c>
    </row>
    <row r="56">
      <c r="A56" s="16" t="s">
        <v>2244</v>
      </c>
      <c r="E56" s="16" t="s">
        <v>2245</v>
      </c>
    </row>
    <row r="58">
      <c r="E58" s="16" t="s">
        <v>3245</v>
      </c>
    </row>
    <row r="59">
      <c r="E59" s="16" t="s">
        <v>3246</v>
      </c>
    </row>
    <row r="61">
      <c r="E61" s="16" t="s">
        <v>3247</v>
      </c>
    </row>
    <row r="63">
      <c r="E63" s="16" t="s">
        <v>3248</v>
      </c>
    </row>
    <row r="64">
      <c r="E64" s="16" t="s">
        <v>3249</v>
      </c>
    </row>
    <row r="65">
      <c r="B65" s="16" t="s">
        <v>3250</v>
      </c>
    </row>
    <row r="67">
      <c r="E67" s="16" t="s">
        <v>3251</v>
      </c>
    </row>
    <row r="68">
      <c r="A68" s="16" t="s">
        <v>3252</v>
      </c>
      <c r="E68" s="16" t="s">
        <v>3253</v>
      </c>
    </row>
    <row r="69">
      <c r="E69" s="16" t="s">
        <v>3254</v>
      </c>
    </row>
    <row r="70">
      <c r="E70" s="16" t="s">
        <v>3255</v>
      </c>
    </row>
    <row r="71">
      <c r="A71" s="16" t="s">
        <v>1711</v>
      </c>
      <c r="E71" s="16" t="s">
        <v>3256</v>
      </c>
    </row>
    <row r="72">
      <c r="E72" s="16" t="s">
        <v>3257</v>
      </c>
    </row>
    <row r="73">
      <c r="E73" s="16" t="s">
        <v>3258</v>
      </c>
    </row>
    <row r="74">
      <c r="E74" s="16" t="s">
        <v>3259</v>
      </c>
    </row>
    <row r="75">
      <c r="E75" s="16" t="s">
        <v>3260</v>
      </c>
    </row>
    <row r="76">
      <c r="E76" s="16" t="s">
        <v>3261</v>
      </c>
    </row>
    <row r="77">
      <c r="E77" s="16" t="s">
        <v>3262</v>
      </c>
    </row>
    <row r="78">
      <c r="E78" s="16" t="s">
        <v>3263</v>
      </c>
    </row>
    <row r="80">
      <c r="E80" s="16" t="s">
        <v>3264</v>
      </c>
    </row>
    <row r="82">
      <c r="E82" s="16" t="s">
        <v>3265</v>
      </c>
    </row>
    <row r="83">
      <c r="E83" s="16" t="s">
        <v>3266</v>
      </c>
    </row>
    <row r="84">
      <c r="E84" s="16" t="s">
        <v>3267</v>
      </c>
    </row>
    <row r="85">
      <c r="E85" s="16" t="s">
        <v>3268</v>
      </c>
    </row>
    <row r="86">
      <c r="E86" s="16" t="s">
        <v>3269</v>
      </c>
    </row>
    <row r="87">
      <c r="E87" s="16" t="s">
        <v>3270</v>
      </c>
    </row>
    <row r="89">
      <c r="E89" s="16" t="s">
        <v>3271</v>
      </c>
    </row>
    <row r="90">
      <c r="E90" s="16" t="s">
        <v>3272</v>
      </c>
    </row>
    <row r="92">
      <c r="E92" s="16" t="s">
        <v>3273</v>
      </c>
    </row>
    <row r="93">
      <c r="E93" s="16" t="s">
        <v>3274</v>
      </c>
    </row>
    <row r="94">
      <c r="A94" s="16" t="s">
        <v>3275</v>
      </c>
      <c r="E94" s="16" t="s">
        <v>3276</v>
      </c>
    </row>
    <row r="95">
      <c r="E95" s="29" t="s">
        <v>2194</v>
      </c>
    </row>
    <row r="96">
      <c r="E96" s="16" t="s">
        <v>3277</v>
      </c>
    </row>
    <row r="97">
      <c r="A97" s="16" t="s">
        <v>3278</v>
      </c>
      <c r="E97" s="16" t="s">
        <v>3279</v>
      </c>
    </row>
    <row r="98">
      <c r="E98" s="239" t="s">
        <v>3280</v>
      </c>
    </row>
    <row r="100">
      <c r="A100" s="16" t="s">
        <v>3281</v>
      </c>
    </row>
    <row r="102">
      <c r="A102" s="24"/>
      <c r="B102" s="16" t="s">
        <v>3282</v>
      </c>
      <c r="E102" s="16" t="s">
        <v>3283</v>
      </c>
      <c r="F102" s="7"/>
      <c r="G102" s="7"/>
      <c r="H102" s="7"/>
      <c r="I102" s="240"/>
      <c r="J102" s="9"/>
      <c r="K102" s="241"/>
      <c r="L102" s="21"/>
    </row>
    <row r="103">
      <c r="A103" s="16" t="s">
        <v>3284</v>
      </c>
    </row>
    <row r="104">
      <c r="A104" s="20" t="s">
        <v>3285</v>
      </c>
      <c r="B104" s="20" t="s">
        <v>3226</v>
      </c>
      <c r="C104" s="20" t="s">
        <v>2199</v>
      </c>
      <c r="E104" s="20" t="s">
        <v>3286</v>
      </c>
      <c r="G104" s="20">
        <v>2.0</v>
      </c>
      <c r="H104" s="20" t="s">
        <v>1042</v>
      </c>
      <c r="I104" s="16" t="s">
        <v>32</v>
      </c>
    </row>
    <row r="105">
      <c r="A105" s="22" t="s">
        <v>3287</v>
      </c>
      <c r="B105" s="97" t="s">
        <v>1887</v>
      </c>
      <c r="C105" s="9" t="s">
        <v>1911</v>
      </c>
      <c r="E105" s="7" t="s">
        <v>3288</v>
      </c>
      <c r="G105" s="9">
        <v>0.0</v>
      </c>
      <c r="H105" s="9" t="s">
        <v>3289</v>
      </c>
      <c r="I105" s="9" t="s">
        <v>32</v>
      </c>
    </row>
    <row r="106">
      <c r="A106" s="16" t="s">
        <v>3290</v>
      </c>
      <c r="B106" s="90" t="s">
        <v>1501</v>
      </c>
      <c r="C106" s="15" t="s">
        <v>408</v>
      </c>
      <c r="E106" s="16" t="s">
        <v>3291</v>
      </c>
      <c r="G106" s="15">
        <v>0.0</v>
      </c>
      <c r="H106" s="15" t="s">
        <v>1526</v>
      </c>
      <c r="I106" s="15" t="s">
        <v>70</v>
      </c>
    </row>
    <row r="107">
      <c r="A107" s="7" t="s">
        <v>3292</v>
      </c>
      <c r="B107" s="8" t="s">
        <v>21</v>
      </c>
      <c r="C107" s="9" t="s">
        <v>28</v>
      </c>
      <c r="E107" s="29" t="s">
        <v>89</v>
      </c>
      <c r="G107" s="9">
        <v>6.0</v>
      </c>
      <c r="H107" s="9" t="s">
        <v>62</v>
      </c>
      <c r="I107" s="9" t="s">
        <v>26</v>
      </c>
    </row>
    <row r="108">
      <c r="A108" s="16" t="s">
        <v>3293</v>
      </c>
      <c r="C108" s="16" t="s">
        <v>1691</v>
      </c>
      <c r="E108" s="16" t="s">
        <v>3294</v>
      </c>
      <c r="I108" s="16" t="s">
        <v>70</v>
      </c>
    </row>
  </sheetData>
  <drawing r:id="rId1"/>
</worksheet>
</file>