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<sst xmlns="http://schemas.openxmlformats.org/spreadsheetml/2006/main" count="8383" uniqueCount="3577">
  <si>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</si>
  <si>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</si>
  <si>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</si>
  <si>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</si>
  <si>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</si>
  <si>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</si>
  <si>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</si>
  <si>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</si>
  <si>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</si>
  <si>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</si>
  <si>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</si>
  <si>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</si>
  <si>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</si>
  <si>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</si>
  <si>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</si>
  <si>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</si>
  <si>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</si>
  <si>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</si>
  <si>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</si>
  <si>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</si>
  <si>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</si>
  <si>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</si>
  <si>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</si>
  <si>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</si>
  <si>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</si>
  <si>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</si>
  <si>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</si>
  <si>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</si>
  <si>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</si>
  <si>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</si>
  <si>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</si>
  <si>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</si>
  <si>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</si>
  <si>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</si>
  <si>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</si>
  <si>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</si>
  <si>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</si>
  <si>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</si>
  <si>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</si>
  <si>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</si>
  <si>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</si>
  <si>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</si>
  <si>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</si>
  <si>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</si>
  <si>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</si>
  <si>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</si>
  <si>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</si>
  <si>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</si>
  <si>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</si>
  <si>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</si>
  <si>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</si>
  <si>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</si>
  <si>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</si>
  <si>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</si>
  <si>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</si>
  <si>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</si>
  <si>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</si>
  <si>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</si>
  <si>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</si>
  <si>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</si>
  <si>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</si>
  <si>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</si>
  <si>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</si>
  <si>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</si>
  <si>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</si>
  <si>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</si>
  <si>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</si>
  <si>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</si>
  <si>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</si>
  <si>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</si>
  <si>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</si>
  <si>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</si>
  <si>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</si>
  <si>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</si>
  <si>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</si>
  <si>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</si>
  <si>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</si>
  <si>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</si>
  <si>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</si>
  <si>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</si>
  <si>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</si>
  <si>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</si>
  <si>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</si>
  <si>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</si>
  <si>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</si>
  <si>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</si>
  <si>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</si>
  <si>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</si>
  <si>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</si>
  <si>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</si>
  <si>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</si>
  <si>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</si>
  <si>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</si>
  <si>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</si>
  <si>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</si>
  <si>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</si>
  <si>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</si>
  <si>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</si>
  <si>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</si>
  <si>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</si>
  <si>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</si>
  <si>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</si>
  <si>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</si>
  <si>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</si>
  <si>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</si>
  <si>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</si>
  <si>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</si>
  <si>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</si>
  <si>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</si>
  <si>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</si>
  <si>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</si>
  <si>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</si>
  <si>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</si>
  <si>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</si>
  <si>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</si>
  <si>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</si>
  <si>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</si>
  <si>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</si>
  <si>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</si>
  <si>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</si>
  <si>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</si>
  <si>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</si>
  <si>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</si>
  <si>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</si>
  <si>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</si>
  <si>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</si>
  <si>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</si>
  <si>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</si>
  <si>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</si>
  <si>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</si>
  <si>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</si>
  <si>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</si>
  <si>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</si>
  <si>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</si>
  <si>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</si>
  <si>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</si>
  <si>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</si>
  <si>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</si>
  <si>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</si>
  <si>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</si>
  <si>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</si>
  <si>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</si>
  <si>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</si>
  <si>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</si>
  <si>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</si>
  <si>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</si>
  <si>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</si>
  <si>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</si>
  <si>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</si>
  <si>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</si>
  <si>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</si>
  <si>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</si>
  <si>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</si>
  <si>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</si>
  <si>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</si>
  <si>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</si>
  <si>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</si>
  <si>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</si>
  <si>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</si>
  <si>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</si>
  <si>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</si>
  <si>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</si>
  <si>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</si>
  <si>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</si>
  <si>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</si>
  <si>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</si>
  <si>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</si>
  <si>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</si>
  <si>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</si>
  <si>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</si>
  <si>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</si>
  <si>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</si>
  <si>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</si>
  <si>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</si>
  <si>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</si>
  <si>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</si>
  <si>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</si>
  <si>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</si>
  <si>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</si>
  <si>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</si>
  <si>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</si>
  <si>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</si>
  <si>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</si>
  <si>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</si>
  <si>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</si>
  <si>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</si>
  <si>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</si>
  <si>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</si>
  <si>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</si>
  <si>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</si>
  <si>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</si>
  <si>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</si>
  <si>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</si>
  <si>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</si>
  <si>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</si>
  <si>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</si>
  <si>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</si>
  <si>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</si>
  <si>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</si>
  <si>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</si>
  <si>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</si>
  <si>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</si>
  <si>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</si>
  <si>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</si>
  <si>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</si>
  <si>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</si>
  <si>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</si>
  <si>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</si>
  <si>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</si>
  <si>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</si>
  <si>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</si>
  <si>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</si>
  <si>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</si>
  <si>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</si>
  <si>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</si>
  <si>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</si>
  <si>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</si>
  <si>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</si>
  <si>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</si>
  <si>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</si>
  <si>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</si>
  <si>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</si>
  <si>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</si>
  <si>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</si>
  <si>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</si>
  <si>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</si>
  <si>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</si>
  <si>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</si>
  <si>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</si>
  <si>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</si>
  <si>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</si>
  <si>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</si>
  <si>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</si>
  <si>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</si>
  <si>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</si>
  <si>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</si>
  <si>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</si>
  <si>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</si>
  <si>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</si>
  <si>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</si>
  <si>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</si>
  <si>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</si>
  <si>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</si>
  <si>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</si>
  <si>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</si>
  <si>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</si>
  <si>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</si>
  <si>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</si>
  <si>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</si>
  <si>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</si>
  <si>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</si>
  <si>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</si>
  <si>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</si>
  <si>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</si>
  <si>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</si>
  <si>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</si>
  <si>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</si>
  <si>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</si>
  <si>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</si>
  <si>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</si>
  <si>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</si>
  <si>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</si>
  <si>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</si>
  <si>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</si>
  <si>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</si>
  <si>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</si>
  <si>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</si>
  <si>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</si>
  <si>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</si>
  <si>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</si>
  <si>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</si>
  <si>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</si>
  <si>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</si>
  <si>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</si>
  <si>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</si>
  <si>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</si>
  <si>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</si>
  <si>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</si>
  <si>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</si>
  <si>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</si>
  <si>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</si>
  <si>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</si>
  <si>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</si>
  <si>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</si>
  <si>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</si>
  <si>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</si>
  <si>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</si>
  <si>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</si>
  <si>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</si>
  <si>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</si>
  <si>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</si>
  <si>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</si>
  <si>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</si>
  <si>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</si>
  <si>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</si>
  <si>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</si>
  <si>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</si>
  <si>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</si>
  <si>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</si>
  <si>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</si>
  <si>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</si>
  <si>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</si>
  <si>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</si>
  <si>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</si>
  <si>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</si>
  <si>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</si>
  <si>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</si>
  <si>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</si>
  <si>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</si>
  <si>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</si>
  <si>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</si>
  <si>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</si>
  <si>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</si>
  <si>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</si>
  <si>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</si>
  <si>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</si>
  <si>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</si>
  <si>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</si>
  <si>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</si>
  <si>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</si>
  <si>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</si>
  <si>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</si>
  <si>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</si>
  <si>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</si>
  <si>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</si>
  <si>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</si>
  <si>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</si>
  <si>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</si>
  <si>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</si>
  <si>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</si>
  <si>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</si>
  <si>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</si>
  <si>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</si>
  <si>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</si>
  <si>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</si>
  <si>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</si>
  <si>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</si>
  <si>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</si>
  <si>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</si>
  <si>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</si>
  <si>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</si>
  <si>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</si>
  <si>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</si>
  <si>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</si>
  <si>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</si>
  <si>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</si>
  <si>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</si>
  <si>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</si>
  <si>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</si>
  <si>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</si>
  <si>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</si>
  <si>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</si>
  <si>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</si>
  <si>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</si>
  <si>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</si>
  <si>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</si>
  <si>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</si>
  <si>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</si>
  <si>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</si>
  <si>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</si>
  <si>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</si>
  <si>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</si>
  <si>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</si>
  <si>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</si>
  <si>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</si>
  <si>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</si>
  <si>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</si>
  <si>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</si>
  <si>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</si>
  <si>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</si>
  <si>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</si>
  <si>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</si>
  <si>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</si>
  <si>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</si>
  <si>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</si>
  <si>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</si>
  <si>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</si>
  <si>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</si>
  <si>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</si>
  <si>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</si>
  <si>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</si>
  <si>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</si>
  <si>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</si>
  <si>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</si>
  <si>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</si>
  <si>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</si>
  <si>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</si>
  <si>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</si>
  <si>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</si>
  <si>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</si>
  <si>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</si>
  <si>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</si>
  <si>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</si>
  <si>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</si>
  <si>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</si>
  <si>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</si>
  <si>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</si>
  <si>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</si>
  <si>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</si>
  <si>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</si>
  <si>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</si>
  <si>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</si>
  <si>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</si>
  <si>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</si>
  <si>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</si>
  <si>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</si>
  <si>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</si>
  <si>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</si>
  <si>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</si>
  <si>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</si>
  <si>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</si>
  <si>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</si>
  <si>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</si>
  <si>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</si>
  <si>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</si>
  <si>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</si>
  <si>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</si>
  <si>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</si>
  <si>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</si>
  <si>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</si>
  <si>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</si>
  <si>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</si>
  <si>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</si>
  <si>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</si>
  <si>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</si>
  <si>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</si>
  <si>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</si>
  <si>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</si>
  <si>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</si>
  <si>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</si>
  <si>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</si>
  <si>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</si>
  <si>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</si>
  <si>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</si>
  <si>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</si>
  <si>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</si>
  <si>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</si>
  <si>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</si>
  <si>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</si>
  <si>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</si>
  <si>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</si>
  <si>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</si>
  <si>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</si>
  <si>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</si>
  <si>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</si>
  <si>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</si>
  <si>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</si>
  <si>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</si>
  <si>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</si>
  <si>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</si>
  <si>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</si>
  <si>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</si>
  <si>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</si>
  <si>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</si>
  <si>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</si>
  <si>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</si>
  <si>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</si>
  <si>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</si>
  <si>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</si>
  <si>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</si>
  <si>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</si>
  <si>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</si>
  <si>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</si>
  <si>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</si>
  <si>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</si>
  <si>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</si>
  <si>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</si>
  <si>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</si>
  <si>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</si>
  <si>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</si>
  <si>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</si>
  <si>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</si>
  <si>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</si>
  <si>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</si>
  <si>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</si>
  <si>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</si>
  <si>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</si>
  <si>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</si>
  <si>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</si>
  <si>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</si>
  <si>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</si>
  <si>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</si>
  <si>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</si>
  <si>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</si>
  <si>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</si>
  <si>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</si>
  <si>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</si>
  <si>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</si>
  <si>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</si>
  <si>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</si>
  <si>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</si>
  <si>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</si>
  <si>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</si>
  <si>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</si>
  <si>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</si>
  <si>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</si>
  <si>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</si>
  <si>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</si>
  <si>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</si>
  <si>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</si>
  <si>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</si>
  <si>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</si>
  <si>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</si>
  <si>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</si>
  <si>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</si>
  <si>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</si>
  <si>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</si>
  <si>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</si>
  <si>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</si>
  <si>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</si>
  <si>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</si>
  <si>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</si>
  <si>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</si>
  <si>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</si>
  <si>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</si>
  <si>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</si>
  <si>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</si>
  <si>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</si>
  <si>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</si>
  <si>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</si>
  <si>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</si>
  <si>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</si>
  <si>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</si>
  <si>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</si>
  <si>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</si>
  <si>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</si>
  <si>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</si>
  <si>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</si>
  <si>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</si>
  <si>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</si>
  <si>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</si>
  <si>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</si>
  <si>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</si>
  <si>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</si>
  <si>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</si>
  <si>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</si>
  <si>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</si>
  <si>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</si>
  <si>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</si>
  <si>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</si>
  <si>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</si>
  <si>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</si>
  <si>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</si>
  <si>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</si>
  <si>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</si>
  <si>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</si>
  <si>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</si>
  <si>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</si>
  <si>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</si>
  <si>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</si>
  <si>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</si>
  <si>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</si>
  <si>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</si>
  <si>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</si>
  <si>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</si>
  <si>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</si>
  <si>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</si>
  <si>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</si>
  <si>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</si>
  <si>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</si>
  <si>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</si>
  <si>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</si>
  <si>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</si>
  <si>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</si>
  <si>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</si>
  <si>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</si>
  <si>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</si>
  <si>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</si>
  <si>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</si>
  <si>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</si>
  <si>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</si>
  <si>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</si>
  <si>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</si>
  <si>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</si>
  <si>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</si>
  <si>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</si>
  <si>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</si>
  <si>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</si>
  <si>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</si>
  <si>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</si>
  <si>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</si>
  <si>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</si>
  <si>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</si>
  <si>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</si>
  <si>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</si>
  <si>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</si>
  <si>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</si>
  <si>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</si>
  <si>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</si>
  <si>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</si>
  <si>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</si>
  <si>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</si>
  <si>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</si>
  <si>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</si>
  <si>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</si>
  <si>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</si>
  <si>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</si>
  <si>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</si>
  <si>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</si>
  <si>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</si>
  <si>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</si>
  <si>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</si>
  <si>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</si>
  <si>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</si>
  <si>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</si>
  <si>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</si>
  <si>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</si>
  <si>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</si>
  <si>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</si>
  <si>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</si>
  <si>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</si>
  <si>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</si>
  <si>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</si>
  <si>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</si>
  <si>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</si>
  <si>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</si>
  <si>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</si>
  <si>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</si>
  <si>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</si>
  <si>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</si>
  <si>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</si>
  <si>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</si>
  <si>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</si>
  <si>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</si>
  <si>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</si>
  <si>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</si>
  <si>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</si>
  <si>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</si>
  <si>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</si>
  <si>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</si>
  <si>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</si>
  <si>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</si>
  <si>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</si>
  <si>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</si>
  <si>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</si>
  <si>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</si>
  <si>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</si>
  <si>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</si>
  <si>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</si>
  <si>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</si>
  <si>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</si>
  <si>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</si>
  <si>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</si>
  <si>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</si>
  <si>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</si>
  <si>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</si>
  <si>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</si>
  <si>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</si>
  <si>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</si>
  <si>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</si>
  <si>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</si>
  <si>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</si>
  <si>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</si>
  <si>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</si>
  <si>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</si>
  <si>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</si>
  <si>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</si>
  <si>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</si>
  <si>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</si>
  <si>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</si>
  <si>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</si>
  <si>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</si>
  <si>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</si>
  <si>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</si>
  <si>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</si>
  <si>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</si>
  <si>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</si>
  <si>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</si>
  <si>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</si>
  <si>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</si>
  <si>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</si>
  <si>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</si>
  <si>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</si>
  <si>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</si>
  <si>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</si>
  <si>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</si>
  <si>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</si>
  <si>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</si>
  <si>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</si>
  <si>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</si>
  <si>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</si>
  <si>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</si>
  <si>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</si>
  <si>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</si>
  <si>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</si>
  <si>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</si>
  <si>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</si>
  <si>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</si>
  <si>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</si>
  <si>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</si>
  <si>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</si>
  <si>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</si>
  <si>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</si>
  <si>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</si>
  <si>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</si>
  <si>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</si>
  <si>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</si>
  <si>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</si>
  <si>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</si>
  <si>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</si>
  <si>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</si>
  <si>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</si>
  <si>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</si>
  <si>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</si>
  <si>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</si>
  <si>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</si>
  <si>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</si>
  <si>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</si>
  <si>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</si>
  <si>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</si>
  <si>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</si>
  <si>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</si>
  <si>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</si>
  <si>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</si>
  <si>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</si>
  <si>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</si>
  <si>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</si>
  <si>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</si>
  <si>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</si>
  <si>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</si>
  <si>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</si>
  <si>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</si>
  <si>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</si>
  <si>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</si>
  <si>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</si>
  <si>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</si>
  <si>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</si>
  <si>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</si>
  <si>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</si>
  <si>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</si>
  <si>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</si>
  <si>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</si>
  <si>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</si>
  <si>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</si>
  <si>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</si>
  <si>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</si>
  <si>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</si>
  <si>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</si>
  <si>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</si>
  <si>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</si>
  <si>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</si>
  <si>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</si>
  <si>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</si>
  <si>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</si>
  <si>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</si>
  <si>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</si>
  <si>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</si>
  <si>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</si>
  <si>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</si>
  <si>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</si>
  <si>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</si>
  <si>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</si>
  <si>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</si>
  <si>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</si>
  <si>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</si>
  <si>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</si>
  <si>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</si>
  <si>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</si>
  <si>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</si>
  <si>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</si>
  <si>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</si>
  <si>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</si>
  <si>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</si>
  <si>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</si>
  <si>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</si>
  <si>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</si>
  <si>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</si>
  <si>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</si>
  <si>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</si>
  <si>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</si>
  <si>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</si>
  <si>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</si>
  <si>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</si>
  <si>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</si>
  <si>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</si>
  <si>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</si>
  <si>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</si>
  <si>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</si>
  <si>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</si>
  <si>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</si>
  <si>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</si>
  <si>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</si>
  <si>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</si>
  <si>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</si>
  <si>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</si>
  <si>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</si>
  <si>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</si>
  <si>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</si>
  <si>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</si>
  <si>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</si>
  <si>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</si>
  <si>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</si>
  <si>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</si>
  <si>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</si>
  <si>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</si>
  <si>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</si>
  <si>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</si>
  <si>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</si>
  <si>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</si>
  <si>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</si>
  <si>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</si>
  <si>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</si>
  <si>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</si>
  <si>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</si>
  <si>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</si>
  <si>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</si>
  <si>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</si>
  <si>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</si>
  <si>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</si>
  <si>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</si>
  <si>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</si>
  <si>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</si>
  <si>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</si>
  <si>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</si>
  <si>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</si>
  <si>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</si>
  <si>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</si>
  <si>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</si>
  <si>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</si>
  <si>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</si>
  <si>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</si>
  <si>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</si>
  <si>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</si>
  <si>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</si>
  <si>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</si>
  <si>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</si>
  <si>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</si>
  <si>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</si>
  <si>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</si>
  <si>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</si>
  <si>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</si>
  <si>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</si>
  <si>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</si>
  <si>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</si>
  <si>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</si>
  <si>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</si>
  <si>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</si>
  <si>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</si>
  <si>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</si>
  <si>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</si>
  <si>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</si>
  <si>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</si>
  <si>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</si>
  <si>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</si>
  <si>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</si>
  <si>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</si>
  <si>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</si>
  <si>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</si>
  <si>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</si>
  <si>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</si>
  <si>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</si>
  <si>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</si>
  <si>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</si>
  <si>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</si>
  <si>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</si>
  <si>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</si>
  <si>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</si>
  <si>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</si>
  <si>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</si>
  <si>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</si>
  <si>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</si>
  <si>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</si>
  <si>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</si>
  <si>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</si>
  <si>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</si>
  <si>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</si>
  <si>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</si>
  <si>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</si>
  <si>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</si>
  <si>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</si>
  <si>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</si>
  <si>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</si>
  <si>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</si>
  <si>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</si>
  <si>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</si>
  <si>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</si>
  <si>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</si>
  <si>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</si>
  <si>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</si>
  <si>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</si>
  <si>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</si>
  <si>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</si>
  <si>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</si>
  <si>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</si>
  <si>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</si>
  <si>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</si>
  <si>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</si>
  <si>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</si>
  <si>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</si>
  <si>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</si>
  <si>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</si>
  <si>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</si>
  <si>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</si>
  <si>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</si>
  <si>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</si>
  <si>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</si>
  <si>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</si>
  <si>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</si>
  <si>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</si>
  <si>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</si>
  <si>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</si>
  <si>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</si>
  <si>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</si>
  <si>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</si>
  <si>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</si>
  <si>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</si>
  <si>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</si>
  <si>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</si>
  <si>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</si>
  <si>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</si>
  <si>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</si>
  <si>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</si>
  <si>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</si>
  <si>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</si>
  <si>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</si>
  <si>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</si>
  <si>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</si>
  <si>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</si>
  <si>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</si>
  <si>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</si>
  <si>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</si>
  <si>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</si>
  <si>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</si>
  <si>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</si>
  <si>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</si>
  <si>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</si>
  <si>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</si>
  <si>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</si>
  <si>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</si>
  <si>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</si>
  <si>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</si>
  <si>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</si>
  <si>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</si>
  <si>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</si>
  <si>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</si>
  <si>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</si>
  <si>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</si>
  <si>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</si>
  <si>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</si>
  <si>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</si>
  <si>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</si>
  <si>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</si>
  <si>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</si>
  <si>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</si>
  <si>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</si>
  <si>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</si>
  <si>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</si>
  <si>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</si>
  <si>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</si>
  <si>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</si>
  <si>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</si>
  <si>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</si>
  <si>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</si>
  <si>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</si>
  <si>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</si>
  <si>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</si>
  <si>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</si>
  <si>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</si>
  <si>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</si>
  <si>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</si>
  <si>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</si>
  <si>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</si>
  <si>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</si>
  <si>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</si>
  <si>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</si>
  <si>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</si>
  <si>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</si>
  <si>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</si>
  <si>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</si>
  <si>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</si>
  <si>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</si>
  <si>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</si>
  <si>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</si>
  <si>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</si>
  <si>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</si>
  <si>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</si>
  <si>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</si>
  <si>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</si>
  <si>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</si>
  <si>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</si>
  <si>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</si>
  <si>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</si>
  <si>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</si>
  <si>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</si>
  <si>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</si>
  <si>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</si>
  <si>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</si>
  <si>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</si>
  <si>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</si>
  <si>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</si>
  <si>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</si>
  <si>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</si>
  <si>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</si>
  <si>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</si>
  <si>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</si>
  <si>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</si>
  <si>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</si>
  <si>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</si>
  <si>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</si>
  <si>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</si>
  <si>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</si>
  <si>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</si>
  <si>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</si>
  <si>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</si>
  <si>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</si>
  <si>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</si>
  <si>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</si>
  <si>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</si>
  <si>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</si>
  <si>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</si>
  <si>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</si>
  <si>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</si>
  <si>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</si>
  <si>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</si>
  <si>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</si>
  <si>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</si>
  <si>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</si>
  <si>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</si>
  <si>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</si>
  <si>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</si>
  <si>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</si>
  <si>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</si>
  <si>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</si>
  <si>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</si>
  <si>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</si>
  <si>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</si>
  <si>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</si>
  <si>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</si>
  <si>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</si>
  <si>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</si>
  <si>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</si>
  <si>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</si>
  <si>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</si>
  <si>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</si>
  <si>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</si>
  <si>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</si>
  <si>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</si>
  <si>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</si>
  <si>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</si>
  <si>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</si>
  <si>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</si>
  <si>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</si>
  <si>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</si>
  <si>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</si>
  <si>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</si>
  <si>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</si>
  <si>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</si>
  <si>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</si>
  <si>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</si>
  <si>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</si>
  <si>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</si>
  <si>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</si>
  <si>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</si>
  <si>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</si>
  <si>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</si>
  <si>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</si>
  <si>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</si>
  <si>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</si>
  <si>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</si>
  <si>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</si>
  <si>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</si>
  <si>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</si>
  <si>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</si>
  <si>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</si>
  <si>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</si>
  <si>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</si>
  <si>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</si>
  <si>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</si>
  <si>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</si>
  <si>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</si>
  <si>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</si>
  <si>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</si>
  <si>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</si>
  <si>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</si>
  <si>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</si>
  <si>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</si>
  <si>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</si>
  <si>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</si>
  <si>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</si>
  <si>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</si>
  <si>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</si>
  <si>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</si>
  <si>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</si>
  <si>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</si>
  <si>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</si>
  <si>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</si>
  <si>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</si>
  <si>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</si>
  <si>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</si>
  <si>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</si>
  <si>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</si>
  <si>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</si>
  <si>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</si>
  <si>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</si>
  <si>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</si>
  <si>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</si>
  <si>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</si>
  <si>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</si>
  <si>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</si>
  <si>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</si>
  <si>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</si>
  <si>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</si>
  <si>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</si>
  <si>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</si>
  <si>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</si>
  <si>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</si>
  <si>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</si>
  <si>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</si>
  <si>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</si>
  <si>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</si>
  <si>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</si>
  <si>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</si>
  <si>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</si>
  <si>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</si>
  <si>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</si>
  <si>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</si>
  <si>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</si>
  <si>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</si>
  <si>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</si>
  <si>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</si>
  <si>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</si>
  <si>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</si>
  <si>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</si>
  <si>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</si>
  <si>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</si>
  <si>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</si>
  <si>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</si>
  <si>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</si>
  <si>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</si>
  <si>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</si>
  <si>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</si>
  <si>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</si>
  <si>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</si>
  <si>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</si>
  <si>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</si>
  <si>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</si>
  <si>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</si>
  <si>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</si>
  <si>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</si>
  <si>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</si>
  <si>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</si>
  <si>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</si>
  <si>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</si>
  <si>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</si>
  <si>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</si>
  <si>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</si>
  <si>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</si>
  <si>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</si>
  <si>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</si>
  <si>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</si>
  <si>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</si>
  <si>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</si>
  <si>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</si>
  <si>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</si>
  <si>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</si>
  <si>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</si>
  <si>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</si>
  <si>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</si>
  <si>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</si>
  <si>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</si>
  <si>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</si>
  <si>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</si>
  <si>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</si>
  <si>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</si>
  <si>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</si>
  <si>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</si>
  <si>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</si>
  <si>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</si>
  <si>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</si>
  <si>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</si>
  <si>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</si>
  <si>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</si>
  <si>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</si>
  <si>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</si>
  <si>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</si>
  <si>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</si>
  <si>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</si>
  <si>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</si>
  <si>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</si>
  <si>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</si>
  <si>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</si>
  <si>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</si>
  <si>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</si>
  <si>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</si>
  <si>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</si>
  <si>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</si>
  <si>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</si>
  <si>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</si>
  <si>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</si>
  <si>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</si>
  <si>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</si>
  <si>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</si>
  <si>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</si>
  <si>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</si>
  <si>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</si>
  <si>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</si>
  <si>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</si>
  <si>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</si>
  <si>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</si>
  <si>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</si>
  <si>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</si>
  <si>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</si>
  <si>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</si>
  <si>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</si>
  <si>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</si>
  <si>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</si>
  <si>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</si>
  <si>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</si>
  <si>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</si>
  <si>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</si>
  <si>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</si>
  <si>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</si>
  <si>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</si>
  <si>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</si>
  <si>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</si>
  <si>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</si>
  <si>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</si>
  <si>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</si>
  <si>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</si>
  <si>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</si>
  <si>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</si>
  <si>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</si>
  <si>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</si>
  <si>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</si>
  <si>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</si>
  <si>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</si>
  <si>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</si>
  <si>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</si>
  <si>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</si>
  <si>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</si>
  <si>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</si>
  <si>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</si>
  <si>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</si>
  <si>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</si>
  <si>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</si>
  <si>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</si>
  <si>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</si>
  <si>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</si>
  <si>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</si>
  <si>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</si>
  <si>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</si>
  <si>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</si>
  <si>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</si>
  <si>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</si>
  <si>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</si>
  <si>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</si>
  <si>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</si>
  <si>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</si>
  <si>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</si>
  <si>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</si>
  <si>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</si>
  <si>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</si>
  <si>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</si>
  <si>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</si>
  <si>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</si>
  <si>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</si>
  <si>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</si>
  <si>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</si>
  <si>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</si>
  <si>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</si>
  <si>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</si>
  <si>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</si>
  <si>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</si>
  <si>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</si>
  <si>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</si>
  <si>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</si>
  <si>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</si>
  <si>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</si>
  <si>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</si>
  <si>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</si>
  <si>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</si>
  <si>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</si>
  <si>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</si>
  <si>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</si>
  <si>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</si>
  <si>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</si>
  <si>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</si>
  <si>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</si>
  <si>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</si>
  <si>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</si>
  <si>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</si>
  <si>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</si>
  <si>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</si>
  <si>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</si>
  <si>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</si>
  <si>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</si>
  <si>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</si>
  <si>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</si>
  <si>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</si>
  <si>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</si>
  <si>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</si>
  <si>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</si>
  <si>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</si>
  <si>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</si>
  <si>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</si>
  <si>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</si>
  <si>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</si>
  <si>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</si>
  <si>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</si>
  <si>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</si>
  <si>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</si>
  <si>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</si>
  <si>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</si>
  <si>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</si>
  <si>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</si>
  <si>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</si>
  <si>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</si>
  <si>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</si>
  <si>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</si>
  <si>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</si>
  <si>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</si>
  <si>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</si>
  <si>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</si>
  <si>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</si>
  <si>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</si>
  <si>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</si>
  <si>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</si>
  <si>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</si>
  <si>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</si>
  <si>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</si>
  <si>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</si>
  <si>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</si>
  <si>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</si>
  <si>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</si>
  <si>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</si>
  <si>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</si>
  <si>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</si>
  <si>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</si>
  <si>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</si>
  <si>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</si>
  <si>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</si>
  <si>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</si>
  <si>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</si>
  <si>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</si>
  <si>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</si>
  <si>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</si>
  <si>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</si>
  <si>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</si>
  <si>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</si>
  <si>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</si>
  <si>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</si>
  <si>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</si>
  <si>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</si>
  <si>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</si>
  <si>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</si>
  <si>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</si>
  <si>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</si>
  <si>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</si>
  <si>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</si>
  <si>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</si>
  <si>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</si>
  <si>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</si>
  <si>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</si>
  <si>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</si>
  <si>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</si>
  <si>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</si>
  <si>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</si>
  <si>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</si>
  <si>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</si>
  <si>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</si>
  <si>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</si>
  <si>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</si>
  <si>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</si>
  <si>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</si>
  <si>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</si>
  <si>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</si>
  <si>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</si>
  <si>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</si>
  <si>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</si>
  <si>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</si>
  <si>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</si>
  <si>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</si>
  <si>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</si>
  <si>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</si>
  <si>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</si>
  <si>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</si>
  <si>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</si>
  <si>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</si>
  <si>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</si>
  <si>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</si>
  <si>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</si>
  <si>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</si>
  <si>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</si>
  <si>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</si>
  <si>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</si>
  <si>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</si>
  <si>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</si>
  <si>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</si>
  <si>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</si>
  <si>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</si>
  <si>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</si>
  <si>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</si>
  <si>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</si>
  <si>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</si>
  <si>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</si>
  <si>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</si>
  <si>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</si>
  <si>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</si>
  <si>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</si>
  <si>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</si>
  <si>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</si>
  <si>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</si>
  <si>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</si>
  <si>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</si>
  <si>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</si>
  <si>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</si>
  <si>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</si>
  <si>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</si>
  <si>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</si>
  <si>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</si>
  <si>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</si>
  <si>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</si>
  <si>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</si>
  <si>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</si>
  <si>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</si>
  <si>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</si>
  <si>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</si>
  <si>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</si>
  <si>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</si>
  <si>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</si>
  <si>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</si>
  <si>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</si>
  <si>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</si>
  <si>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</si>
  <si>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</si>
  <si>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</si>
  <si>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</si>
  <si>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</si>
  <si>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</si>
  <si>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</si>
  <si>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</si>
  <si>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</si>
  <si>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</si>
  <si>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</si>
  <si>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</si>
  <si>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</si>
  <si>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</si>
  <si>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</si>
  <si>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</si>
  <si>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</si>
  <si>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</si>
  <si>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</si>
  <si>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</si>
  <si>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</si>
  <si>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</si>
  <si>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</si>
  <si>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</si>
  <si>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</si>
  <si>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</si>
  <si>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</si>
  <si>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</si>
  <si>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</si>
  <si>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</si>
  <si>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</si>
  <si>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</si>
  <si>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</si>
  <si>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</si>
  <si>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</si>
  <si>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</si>
  <si>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</si>
  <si>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</si>
  <si>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</si>
  <si>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</si>
  <si>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</si>
  <si>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</si>
  <si>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</si>
  <si>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</si>
  <si>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</si>
  <si>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</si>
  <si>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</si>
  <si>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</si>
  <si>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</si>
  <si>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</si>
  <si>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</si>
  <si>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</si>
  <si>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</si>
  <si>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</si>
  <si>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</si>
  <si>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</si>
  <si>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</si>
  <si>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</si>
  <si>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</si>
  <si>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</si>
  <si>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</si>
  <si>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</si>
  <si>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</si>
  <si>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</si>
  <si>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</si>
  <si>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</si>
  <si>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</si>
  <si>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</si>
  <si>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</si>
  <si>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</si>
  <si>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</si>
  <si>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</si>
  <si>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</si>
  <si>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</si>
  <si>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</si>
  <si>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</si>
  <si>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</si>
  <si>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</si>
  <si>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</si>
  <si>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</si>
  <si>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</si>
  <si>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</si>
  <si>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</si>
  <si>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</si>
  <si>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</si>
  <si>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</si>
  <si>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</si>
  <si>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</si>
  <si>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</si>
  <si>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</si>
  <si>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</si>
  <si>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</si>
  <si>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</si>
  <si>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</si>
  <si>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</si>
  <si>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</si>
  <si>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</si>
  <si>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</si>
  <si>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</si>
  <si>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</si>
  <si>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</si>
  <si>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</si>
  <si>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</si>
  <si>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</si>
  <si>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</si>
  <si>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</si>
  <si>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</si>
  <si>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</si>
  <si>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</si>
  <si>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</si>
  <si>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</si>
  <si>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</si>
  <si>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</si>
  <si>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</si>
  <si>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</si>
  <si>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</si>
  <si>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</si>
  <si>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</si>
  <si>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</si>
  <si>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</si>
  <si>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</si>
  <si>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</si>
  <si>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</si>
  <si>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</si>
  <si>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</si>
  <si>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</si>
  <si>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</si>
  <si>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</si>
  <si>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</si>
  <si>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</si>
  <si>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</si>
  <si>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</si>
  <si>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</si>
  <si>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</si>
  <si>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</si>
  <si>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</si>
  <si>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</si>
  <si>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</si>
  <si>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</si>
  <si>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</si>
  <si>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</si>
  <si>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</si>
  <si>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</si>
  <si>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</si>
  <si>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</si>
  <si>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</si>
  <si>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</si>
  <si>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</si>
  <si>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</si>
  <si>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</si>
  <si>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</si>
  <si>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</si>
  <si>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</si>
  <si>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</si>
  <si>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</si>
  <si>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</si>
  <si>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</si>
  <si>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</si>
  <si>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</si>
  <si>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</si>
  <si>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</si>
  <si>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</si>
  <si>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</si>
  <si>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</si>
  <si>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</si>
  <si>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</si>
  <si>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</si>
  <si>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</si>
  <si>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</si>
  <si>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</si>
  <si>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</si>
  <si>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</si>
  <si>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</si>
  <si>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</si>
  <si>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</si>
  <si>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</si>
  <si>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</si>
  <si>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</si>
  <si>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</si>
  <si>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</si>
  <si>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</si>
  <si>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</si>
  <si>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</si>
  <si>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</si>
  <si>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</si>
  <si>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</si>
  <si>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</si>
  <si>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</si>
  <si>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</si>
  <si>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</si>
  <si>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</si>
  <si>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</si>
  <si>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</si>
  <si>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</si>
  <si>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</si>
  <si>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</si>
  <si>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</si>
  <si>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</si>
  <si>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</si>
  <si>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</si>
  <si>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</si>
  <si>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</si>
  <si>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</si>
  <si>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</si>
  <si>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</si>
  <si>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</si>
  <si>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</si>
  <si>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</si>
  <si>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</si>
  <si>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</si>
  <si>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</si>
  <si>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</si>
  <si>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</si>
  <si>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</si>
  <si>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</si>
  <si>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</si>
  <si>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</si>
  <si>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</si>
  <si>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</si>
  <si>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</si>
  <si>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</si>
  <si>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</si>
  <si>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</si>
  <si>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</si>
  <si>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</si>
  <si>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</si>
  <si>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</si>
  <si>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</si>
  <si>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</si>
  <si>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</si>
  <si>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</si>
  <si>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</si>
  <si>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</si>
  <si>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</si>
  <si>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</si>
  <si>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</si>
  <si>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</si>
  <si>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</si>
  <si>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</si>
  <si>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</si>
  <si>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</si>
  <si>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</si>
  <si>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</si>
  <si>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</si>
  <si>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</si>
  <si>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</si>
  <si>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</si>
  <si>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</si>
  <si>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</si>
  <si>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</si>
  <si>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</si>
  <si>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</si>
  <si>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</si>
  <si>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</si>
  <si>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</si>
  <si>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</si>
  <si>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</si>
  <si>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</si>
  <si>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</si>
  <si>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</si>
  <si>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</si>
  <si>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</si>
  <si>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</si>
  <si>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</si>
  <si>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</si>
  <si>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</si>
  <si>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</si>
  <si>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</si>
  <si>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</si>
  <si>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</si>
  <si>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</si>
  <si>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</si>
  <si>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</si>
  <si>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</si>
  <si>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</si>
  <si>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</si>
  <si>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</si>
  <si>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</si>
  <si>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</si>
  <si>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</si>
  <si>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</si>
  <si>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</si>
  <si>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</si>
  <si>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</si>
  <si>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</si>
  <si>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</si>
  <si>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</si>
  <si>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</si>
  <si>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</si>
  <si>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</si>
  <si>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</si>
  <si>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</si>
  <si>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</si>
  <si>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</si>
  <si>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</si>
  <si>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</si>
  <si>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</si>
  <si>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</si>
  <si>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</si>
  <si>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</si>
  <si>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</si>
  <si>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</si>
  <si>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</si>
  <si>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</si>
  <si>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</si>
  <si>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</si>
  <si>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</si>
  <si>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</si>
  <si>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</si>
  <si>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</si>
  <si>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</si>
  <si>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</si>
  <si>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</si>
  <si>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</si>
  <si>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</si>
  <si>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</si>
  <si>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</si>
  <si>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</si>
  <si>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</si>
  <si>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</si>
  <si>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</si>
  <si>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</si>
  <si>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</si>
  <si>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</si>
  <si>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</si>
  <si>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</si>
  <si>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</si>
  <si>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</si>
  <si>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</si>
  <si>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</si>
  <si>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</si>
  <si>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</si>
  <si>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</si>
  <si>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</si>
  <si>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</si>
  <si>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</si>
  <si>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</si>
  <si>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</si>
  <si>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</si>
  <si>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</si>
  <si>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</si>
  <si>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</si>
  <si>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</si>
  <si>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</si>
  <si>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</si>
  <si>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</si>
  <si>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</si>
  <si>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</si>
  <si>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</si>
  <si>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</si>
  <si>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</si>
  <si>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</si>
  <si>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</si>
  <si>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</si>
  <si>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</si>
  <si>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</si>
  <si>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</si>
  <si>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</si>
  <si>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</si>
  <si>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</si>
  <si>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</si>
  <si>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</si>
  <si>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</si>
  <si>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</si>
  <si>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</si>
  <si>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</si>
  <si>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</si>
  <si>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</si>
  <si>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</si>
  <si>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</si>
  <si>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</si>
  <si>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</si>
  <si>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</si>
  <si>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</si>
  <si>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</si>
  <si>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</si>
  <si>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</si>
  <si>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</si>
  <si>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</si>
  <si>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</si>
  <si>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</si>
  <si>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</si>
  <si>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</si>
  <si>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</si>
  <si>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</si>
  <si>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</si>
  <si>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</si>
  <si>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</si>
  <si>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</si>
  <si>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</si>
  <si>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</si>
  <si>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</si>
  <si>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</si>
  <si>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</si>
  <si>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</si>
  <si>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</si>
  <si>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</si>
  <si>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</si>
  <si>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</si>
  <si>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</si>
  <si>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</si>
  <si>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</si>
  <si>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</si>
  <si>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</si>
  <si>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</si>
  <si>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</si>
  <si>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</si>
  <si>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</si>
  <si>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</si>
  <si>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</si>
  <si>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</si>
  <si>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</si>
  <si>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</si>
  <si>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</si>
  <si>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</si>
  <si>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</si>
  <si>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</si>
  <si>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</si>
  <si>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</si>
  <si>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</si>
  <si>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</si>
  <si>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</si>
  <si>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</si>
  <si>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</si>
  <si>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</si>
  <si>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</si>
  <si>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</si>
  <si>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</si>
  <si>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</si>
  <si>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</si>
  <si>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</si>
  <si>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</si>
  <si>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</si>
  <si>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</si>
  <si>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</si>
  <si>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</si>
  <si>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</si>
  <si>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</si>
  <si>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</si>
  <si>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</si>
  <si>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</si>
  <si>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</si>
  <si>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</si>
  <si>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</si>
  <si>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</si>
  <si>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</si>
  <si>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</si>
  <si>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</si>
  <si>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</si>
  <si>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</si>
  <si>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</si>
  <si>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</si>
  <si>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</si>
  <si>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</si>
  <si>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</si>
  <si>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</si>
  <si>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</si>
  <si>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</si>
  <si>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</si>
  <si>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</si>
  <si>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</si>
  <si>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</si>
  <si>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</si>
  <si>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</si>
  <si>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</si>
  <si>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</si>
  <si>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</si>
  <si>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</si>
  <si>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</si>
  <si>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</si>
  <si>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</si>
  <si>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</si>
  <si>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</si>
  <si>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</si>
  <si>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</si>
  <si>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</si>
  <si>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</si>
  <si>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</si>
  <si>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</si>
  <si>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</si>
  <si>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</si>
  <si>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</si>
  <si>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</si>
  <si>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</si>
  <si>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</si>
  <si>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</si>
  <si>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</si>
  <si>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</si>
  <si>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</si>
  <si>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</si>
  <si>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</si>
  <si>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</si>
  <si>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</si>
  <si>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</si>
  <si>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</si>
  <si>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</si>
  <si>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</si>
  <si>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</si>
  <si>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</si>
  <si>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</si>
  <si>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</si>
  <si>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</si>
  <si>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</si>
  <si>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</si>
  <si>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</si>
  <si>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</si>
  <si>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</si>
  <si>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</si>
  <si>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</si>
  <si>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</si>
  <si>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</si>
  <si>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</si>
  <si>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</si>
  <si>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</si>
  <si>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</si>
  <si>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</si>
  <si>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</si>
  <si>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</si>
  <si>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</si>
  <si>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</si>
  <si>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</si>
  <si>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</si>
  <si>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</si>
  <si>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</si>
  <si>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</si>
  <si>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</si>
  <si>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</si>
  <si>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</si>
  <si>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</si>
  <si>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</si>
  <si>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</si>
  <si>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</si>
  <si>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</si>
  <si>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</si>
  <si>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</si>
  <si>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</si>
  <si>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</si>
  <si>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</si>
  <si>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</si>
  <si>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</si>
  <si>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</si>
  <si>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</si>
  <si>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</si>
  <si>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</si>
  <si>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</si>
  <si>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</si>
  <si>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</si>
  <si>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</si>
  <si>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</si>
  <si>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</si>
  <si>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</si>
  <si>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</si>
  <si>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</si>
  <si>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</si>
  <si>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</si>
  <si>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</si>
  <si>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</si>
  <si>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</si>
  <si>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</si>
  <si>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</si>
  <si>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</si>
  <si>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</si>
  <si>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</si>
  <si>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</si>
  <si>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</si>
  <si>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</si>
  <si>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</si>
  <si>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</si>
  <si>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</si>
  <si>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</si>
  <si>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</si>
  <si>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</si>
  <si>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</si>
  <si>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</si>
  <si>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</si>
  <si>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</si>
  <si>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</si>
  <si>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</si>
  <si>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</si>
  <si>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</si>
  <si>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</si>
  <si>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</si>
  <si>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</si>
  <si>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</si>
  <si>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</si>
  <si>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</si>
  <si>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</si>
  <si>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</si>
  <si>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</si>
  <si>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</si>
  <si>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</si>
  <si>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</si>
  <si>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</si>
  <si>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</si>
  <si>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</si>
  <si>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</si>
  <si>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</si>
  <si>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</si>
  <si>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</si>
  <si>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</si>
  <si>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</si>
  <si>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</si>
  <si>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</si>
  <si>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</si>
  <si>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</si>
  <si>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</si>
  <si>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</si>
  <si>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</si>
  <si>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</si>
  <si>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</si>
  <si>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</si>
  <si>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</si>
  <si>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</si>
  <si>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</si>
  <si>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</si>
  <si>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</si>
  <si>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</si>
  <si>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</si>
  <si>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</si>
  <si>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</si>
  <si>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</si>
  <si>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</si>
  <si>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</si>
  <si>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</si>
  <si>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</si>
  <si>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</si>
  <si>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</si>
  <si>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</si>
  <si>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</si>
  <si>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</si>
  <si>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</si>
  <si>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</si>
  <si>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</si>
  <si>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</si>
  <si>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</si>
  <si>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</si>
  <si>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</si>
  <si>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</si>
  <si>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</si>
  <si>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</si>
  <si>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</si>
  <si>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</si>
  <si>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</si>
  <si>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</si>
  <si>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</si>
  <si>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</si>
  <si>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</si>
  <si>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</si>
  <si>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</si>
  <si>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</si>
  <si>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</si>
  <si>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</si>
  <si>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</si>
  <si>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</si>
  <si>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</si>
  <si>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</si>
  <si>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</si>
  <si>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</si>
  <si>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</si>
  <si>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</si>
  <si>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</si>
  <si>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</si>
  <si>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</si>
  <si>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</si>
  <si>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</si>
  <si>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</si>
  <si>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</si>
  <si>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</si>
  <si>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</si>
  <si>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</si>
  <si>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</si>
  <si>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</si>
  <si>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</si>
  <si>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</si>
  <si>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</si>
  <si>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</si>
  <si>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</si>
  <si>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</si>
  <si>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</si>
  <si>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</si>
  <si>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</si>
  <si>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</si>
  <si>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</si>
  <si>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</si>
  <si>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</si>
  <si>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</si>
  <si>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</si>
  <si>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</si>
  <si>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</si>
  <si>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</si>
  <si>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</si>
  <si>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</si>
  <si>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</si>
  <si>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</si>
  <si>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</si>
  <si>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</si>
  <si>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</si>
  <si>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</si>
  <si>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</si>
  <si>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</si>
  <si>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</si>
  <si>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</si>
  <si>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</si>
  <si>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</si>
  <si>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</si>
  <si>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</si>
  <si>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</si>
  <si>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</si>
  <si>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</si>
  <si>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</si>
  <si>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</si>
  <si>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</si>
  <si>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</si>
  <si>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</si>
  <si>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</si>
  <si>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</si>
  <si>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</si>
  <si>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</si>
  <si>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</si>
  <si>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</si>
  <si>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</si>
  <si>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</si>
  <si>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</si>
  <si>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</si>
  <si>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</si>
  <si>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</si>
  <si>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</si>
  <si>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</si>
  <si>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</si>
  <si>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</si>
  <si>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</si>
  <si>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</si>
  <si>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</si>
  <si>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</si>
  <si>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</si>
  <si>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</si>
  <si>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</si>
  <si>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</si>
  <si>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</si>
  <si>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</si>
  <si>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</si>
  <si>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</si>
  <si>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</si>
  <si>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</si>
  <si>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</si>
  <si>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</si>
  <si>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</si>
  <si>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</si>
  <si>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</si>
  <si>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</si>
  <si>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</si>
  <si>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</si>
  <si>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</si>
  <si>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</si>
  <si>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</si>
  <si>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</si>
  <si>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</si>
  <si>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</si>
  <si>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</si>
  <si>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</si>
  <si>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</si>
  <si>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</si>
  <si>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</si>
  <si>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</si>
  <si>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</si>
  <si>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</si>
  <si>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</si>
  <si>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</si>
  <si>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</si>
  <si>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</si>
  <si>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</si>
  <si>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</si>
  <si>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</si>
  <si>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</si>
  <si>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</si>
  <si>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</si>
  <si>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</si>
  <si>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</si>
  <si>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</si>
  <si>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</si>
  <si>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</si>
  <si>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</si>
  <si>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</si>
  <si>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</si>
  <si>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</si>
  <si>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</si>
  <si>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</si>
  <si>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</si>
  <si>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</si>
  <si>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</si>
  <si>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</si>
  <si>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</si>
  <si>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</si>
  <si>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</si>
  <si>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</si>
  <si>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</si>
  <si>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</si>
  <si>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</si>
  <si>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</si>
  <si>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</si>
  <si>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</si>
  <si>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</si>
  <si>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</si>
  <si>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</si>
  <si>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</si>
  <si>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</si>
  <si>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</si>
  <si>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</si>
  <si>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</si>
  <si>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</si>
  <si>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</si>
  <si>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</si>
  <si>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</si>
  <si>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</si>
  <si>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</si>
  <si>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</si>
  <si>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</si>
  <si>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</si>
  <si>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</si>
  <si>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</si>
  <si>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</si>
  <si>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</si>
  <si>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</si>
  <si>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</si>
  <si>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</si>
  <si>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</si>
  <si>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</si>
  <si>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</si>
  <si>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</si>
  <si>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</si>
  <si>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</si>
  <si>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</si>
  <si>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</si>
  <si>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</si>
  <si>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</si>
  <si>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</si>
  <si>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</si>
  <si>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</si>
  <si>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</si>
  <si>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</si>
  <si>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</si>
  <si>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</si>
  <si>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</si>
  <si>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</si>
  <si>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</si>
  <si>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</si>
  <si>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</si>
  <si>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</si>
  <si>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</si>
  <si>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</si>
  <si>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</si>
  <si>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</si>
  <si>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</si>
  <si>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</si>
  <si>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</si>
  <si>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</si>
  <si>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</si>
  <si>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</si>
  <si>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</si>
  <si>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</si>
  <si>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</si>
  <si>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</si>
  <si>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</si>
  <si>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</si>
  <si>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</si>
  <si>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</si>
  <si>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</si>
  <si>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</si>
  <si>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</si>
  <si>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</si>
  <si>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</si>
  <si>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</si>
  <si>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</si>
  <si>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</si>
  <si>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</si>
  <si>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</si>
  <si>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</si>
  <si>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</si>
  <si>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</si>
  <si>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</si>
  <si>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</si>
  <si>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</si>
  <si>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</si>
  <si>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</si>
  <si>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</si>
  <si>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</si>
  <si>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</si>
  <si>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</si>
  <si>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</si>
  <si>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</si>
  <si>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</si>
  <si>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</si>
  <si>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</si>
  <si>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</si>
  <si>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</si>
  <si>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</si>
  <si>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</si>
  <si>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</si>
  <si>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</si>
  <si>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</si>
  <si>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</si>
  <si>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</si>
  <si>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</si>
  <si>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</si>
  <si>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</si>
  <si>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</si>
  <si>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</si>
  <si>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</si>
  <si>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</si>
  <si>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</si>
  <si>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</si>
  <si>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</si>
  <si>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</si>
  <si>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</si>
  <si>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</si>
  <si>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</si>
  <si>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</si>
  <si>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</si>
  <si>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</si>
  <si>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</si>
  <si>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</si>
  <si>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</si>
  <si>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</si>
  <si>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</si>
  <si>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</si>
  <si>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</si>
  <si>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</si>
  <si>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</si>
  <si>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</si>
  <si>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</si>
  <si>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</si>
  <si>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</si>
  <si>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</si>
  <si>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</si>
  <si>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</si>
  <si>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</si>
  <si>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</si>
  <si>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</si>
  <si>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</si>
  <si>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</si>
  <si>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</si>
  <si>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</si>
  <si>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</si>
  <si>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</si>
  <si>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</si>
  <si>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</si>
  <si>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</si>
  <si>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</si>
  <si>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</si>
  <si>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</si>
  <si>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</si>
  <si>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</si>
  <si>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</si>
  <si>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</si>
  <si>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</si>
  <si>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</si>
  <si>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</si>
  <si>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</si>
  <si>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</si>
  <si>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</si>
  <si>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</si>
  <si>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</si>
  <si>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</si>
  <si>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</si>
  <si>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</si>
  <si>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</si>
  <si>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</si>
  <si>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</si>
  <si>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</si>
  <si>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</si>
  <si>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</si>
  <si>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</si>
  <si>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</si>
  <si>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</si>
  <si>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</si>
  <si>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</si>
  <si>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</si>
  <si>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</si>
  <si>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</si>
  <si>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</si>
  <si>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</si>
  <si>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</si>
  <si>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</si>
  <si>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</si>
  <si>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</si>
  <si>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</si>
  <si>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</si>
  <si>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</si>
  <si>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</si>
  <si>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</si>
  <si>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</si>
  <si>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</si>
  <si>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</si>
  <si>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</si>
  <si>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</si>
  <si>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</si>
  <si>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</si>
  <si>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</si>
  <si>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</si>
  <si>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</si>
  <si>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</si>
  <si>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</si>
  <si>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</si>
  <si>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</si>
  <si>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</si>
  <si>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</si>
  <si>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</si>
  <si>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</si>
  <si>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</si>
  <si>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</si>
  <si>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</si>
  <si>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</si>
  <si>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</si>
  <si>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</si>
  <si>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</si>
  <si>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</si>
  <si>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</si>
  <si>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</si>
  <si>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</si>
  <si>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</si>
  <si>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</si>
  <si>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</si>
  <si>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</si>
  <si>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</si>
  <si>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</si>
  <si>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</si>
  <si>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</si>
  <si>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</si>
  <si>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</si>
  <si>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</si>
  <si>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</si>
  <si>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</si>
  <si>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</si>
  <si>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</si>
  <si>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</si>
  <si>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</si>
  <si>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</si>
  <si>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</si>
  <si>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</si>
  <si>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</si>
  <si>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</si>
  <si>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</si>
  <si>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</si>
  <si>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</si>
  <si>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</si>
  <si>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</si>
  <si>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</si>
  <si>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</si>
  <si>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</si>
  <si>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</si>
  <si>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</si>
  <si>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</si>
  <si>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</si>
  <si>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</si>
  <si>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</si>
  <si>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</si>
  <si>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</si>
  <si>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</si>
  <si>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</si>
  <si>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</si>
  <si>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</si>
  <si>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</si>
  <si>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</si>
  <si>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</si>
  <si>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</si>
  <si>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</si>
  <si>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</si>
  <si>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</si>
  <si>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</si>
  <si>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</si>
  <si>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</si>
  <si>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</si>
  <si>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</si>
  <si>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</si>
  <si>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</si>
  <si>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</si>
  <si>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</si>
  <si>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</si>
  <si>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</si>
  <si>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</si>
  <si>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</si>
  <si>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</si>
  <si>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</si>
  <si>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</si>
  <si>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</si>
  <si>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</si>
  <si>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</si>
  <si>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</si>
  <si>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</si>
  <si>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</si>
  <si>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</si>
  <si>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</si>
  <si>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</si>
  <si>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</si>
  <si>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</si>
  <si>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</si>
  <si>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</si>
  <si>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</si>
  <si>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</si>
  <si>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</si>
  <si>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</si>
  <si>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</si>
  <si>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</si>
  <si>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</si>
  <si>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</si>
  <si>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</si>
  <si>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</si>
  <si>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</si>
  <si>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</si>
  <si>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</si>
  <si>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</si>
  <si>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</si>
  <si>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</si>
  <si>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</si>
  <si>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</si>
  <si>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</si>
  <si>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</si>
  <si>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</si>
  <si>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</si>
  <si>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</si>
  <si>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</si>
  <si>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</si>
  <si>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</si>
  <si>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</si>
  <si>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</si>
  <si>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</si>
  <si>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</si>
  <si>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</si>
  <si>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</si>
  <si>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</si>
  <si>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</si>
  <si>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</si>
  <si>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</si>
  <si>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</si>
  <si>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</si>
  <si>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</si>
  <si>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</si>
  <si>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</si>
  <si>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</si>
  <si>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</si>
  <si>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</si>
  <si>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</si>
  <si>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</si>
  <si>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</si>
  <si>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</si>
  <si>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</si>
  <si>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</si>
  <si>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</si>
  <si>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</si>
  <si>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</si>
  <si>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</si>
  <si>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</si>
  <si>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</si>
  <si>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</si>
  <si>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</si>
  <si>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</si>
  <si>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</si>
  <si>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</si>
  <si>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</si>
  <si>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</si>
  <si>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</si>
  <si>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</si>
  <si>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</si>
  <si>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</si>
  <si>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</si>
  <si>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</si>
  <si>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</si>
  <si>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</si>
  <si>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</si>
  <si>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</si>
  <si>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</si>
  <si>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</si>
  <si>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</si>
  <si>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</si>
  <si>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</si>
  <si>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</si>
  <si>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</si>
  <si>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</si>
  <si>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</si>
  <si>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</si>
  <si>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</si>
  <si>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</si>
  <si>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</si>
  <si>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</si>
  <si>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</si>
  <si>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</si>
  <si>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</si>
  <si>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</si>
  <si>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</si>
  <si>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</si>
  <si>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</si>
  <si>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</si>
  <si>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</si>
  <si>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</si>
  <si>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</si>
  <si>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</si>
  <si>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</si>
  <si>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</si>
  <si>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</si>
  <si>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</si>
  <si>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</si>
  <si>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</si>
  <si>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</si>
  <si>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</si>
  <si>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</si>
  <si>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</si>
  <si>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</si>
  <si>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</si>
  <si>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</si>
  <si>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</si>
  <si>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</si>
  <si>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</si>
  <si>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</si>
  <si>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</si>
  <si>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</si>
  <si>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</si>
  <si>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</si>
  <si>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</si>
  <si>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</si>
  <si>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</si>
  <si>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</si>
  <si>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</si>
  <si>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</si>
  <si>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</si>
  <si>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</si>
  <si>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</si>
  <si>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</si>
  <si>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</si>
  <si>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</si>
  <si>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</si>
  <si>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</si>
  <si>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</si>
  <si>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</si>
  <si>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</si>
  <si>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</si>
  <si>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</si>
  <si>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</si>
  <si>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</si>
  <si>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Thundering Valley</t>
  </si>
  <si>
    <t>Whenever a Unit with atleast 5 Power is deployed in this Lane, its Owner draws a Card.</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</si>
  <si>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</si>
  <si>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</si>
  <si>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</si>
  <si>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</si>
  <si>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</si>
  <si>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</si>
  <si>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</si>
  <si>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</si>
  <si>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</si>
  <si>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</si>
  <si>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</si>
  <si>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</si>
  <si>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</si>
  <si>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</si>
  <si>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</si>
  <si>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</si>
  <si>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</si>
  <si>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</si>
  <si>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</si>
  <si>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</si>
  <si>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</si>
  <si>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</si>
  <si>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</si>
  <si>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</si>
  <si>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</si>
  <si>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</si>
  <si>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</si>
  <si>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</si>
  <si>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</si>
  <si>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</si>
  <si>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</si>
  <si>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</si>
  <si>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</si>
  <si>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</si>
  <si>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</si>
  <si>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</si>
  <si>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</si>
  <si>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</si>
  <si>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</si>
  <si>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</si>
  <si>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</si>
  <si>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</si>
  <si>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</si>
  <si>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</si>
  <si>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</si>
  <si>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</si>
  <si>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</si>
  <si>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</si>
  <si>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</si>
  <si>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</si>
  <si>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</si>
  <si>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</si>
  <si>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</si>
  <si>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</si>
  <si>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</si>
  <si>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</si>
  <si>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</si>
  <si>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</si>
  <si>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</si>
  <si>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</si>
  <si>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</si>
  <si>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</si>
  <si>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</si>
  <si>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</si>
  <si>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</si>
  <si>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</si>
  <si>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</si>
  <si>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</si>
  <si>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</si>
  <si>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</si>
  <si>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</si>
  <si>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</si>
  <si>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</si>
  <si>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</si>
  <si>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</si>
  <si>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</si>
  <si>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</si>
  <si>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</si>
  <si>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</si>
  <si>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</si>
  <si>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</si>
  <si>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</si>
  <si>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</si>
  <si>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</si>
  <si>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</si>
  <si>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</si>
  <si>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</si>
  <si>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</si>
  <si>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</si>
  <si>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</si>
  <si>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</si>
  <si>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</si>
  <si>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</si>
  <si>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</si>
  <si>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</si>
  <si>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</si>
  <si>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</si>
  <si>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</si>
  <si>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</si>
  <si>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</si>
  <si>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</si>
  <si>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</si>
  <si>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</si>
  <si>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</si>
  <si>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</si>
  <si>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</si>
  <si>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</si>
  <si>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</si>
  <si>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</si>
  <si>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</si>
  <si>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</si>
  <si>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</si>
  <si>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</si>
  <si>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</si>
  <si>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</si>
  <si>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</si>
  <si>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</si>
  <si>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</si>
  <si>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</si>
  <si>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</si>
  <si>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</si>
  <si>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</si>
  <si>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</si>
  <si>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</si>
  <si>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</si>
  <si>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</si>
  <si>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</si>
  <si>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</si>
  <si>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</si>
  <si>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</si>
  <si>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</si>
  <si>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</si>
  <si>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</si>
  <si>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</si>
  <si>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</si>
  <si>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</si>
  <si>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</si>
  <si>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</si>
  <si>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</si>
  <si>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</si>
  <si>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</si>
  <si>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</si>
  <si>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</si>
  <si>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</si>
  <si>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</si>
  <si>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</si>
  <si>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</si>
  <si>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</si>
  <si>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</si>
  <si>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</si>
  <si>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</si>
  <si>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</si>
  <si>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</si>
  <si>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</si>
  <si>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</si>
  <si>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</si>
  <si>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</si>
  <si>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</si>
  <si>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</si>
  <si>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</si>
  <si>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</si>
  <si>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</si>
  <si>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</si>
  <si>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</si>
  <si>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</si>
  <si>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</si>
  <si>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</si>
  <si>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</si>
  <si>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</si>
  <si>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</si>
  <si>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</si>
  <si>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</si>
  <si>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</si>
  <si>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</si>
  <si>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</si>
  <si>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</si>
  <si>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</si>
  <si>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</si>
  <si>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</si>
  <si>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</si>
  <si>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</si>
  <si>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</si>
  <si>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</si>
  <si>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</si>
  <si>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</si>
  <si>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</si>
  <si>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</si>
  <si>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</si>
  <si>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</si>
  <si>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</si>
  <si>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</si>
  <si>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</si>
  <si>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</si>
  <si>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</si>
  <si>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</si>
  <si>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</si>
  <si>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</si>
  <si>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</si>
  <si>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</si>
  <si>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</si>
  <si>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</si>
  <si>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</si>
  <si>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</si>
  <si>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</si>
  <si>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</si>
  <si>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</si>
  <si>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</si>
  <si>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</si>
  <si>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</si>
  <si>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</si>
  <si>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</si>
  <si>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</si>
  <si>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</si>
  <si>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</si>
  <si>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</si>
  <si>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</si>
  <si>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</si>
  <si>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</si>
  <si>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</si>
  <si>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</si>
  <si>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</si>
  <si>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</si>
  <si>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</si>
  <si>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</si>
  <si>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</si>
  <si>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</si>
  <si>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</si>
  <si>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</si>
  <si>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</si>
  <si>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</si>
  <si>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</si>
  <si>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</si>
  <si>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</si>
  <si>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</si>
  <si>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</si>
  <si>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</si>
  <si>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</si>
  <si>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</si>
  <si>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</si>
  <si>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</si>
  <si>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</si>
  <si>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</si>
  <si>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</si>
  <si>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</si>
  <si>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</si>
  <si>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</si>
  <si>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</si>
  <si>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</si>
  <si>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</si>
  <si>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</si>
  <si>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</si>
  <si>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</si>
  <si>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</si>
  <si>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</si>
  <si>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</si>
  <si>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</si>
  <si>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</si>
  <si>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</si>
  <si>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</si>
  <si>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</si>
  <si>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</si>
  <si>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</si>
  <si>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</si>
  <si>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</si>
  <si>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</si>
  <si>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</si>
  <si>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</si>
  <si>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</si>
  <si>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</si>
  <si>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</si>
  <si>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</si>
  <si>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</si>
  <si>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</si>
  <si>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</si>
  <si>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</si>
  <si>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</si>
  <si>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</si>
  <si>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</si>
  <si>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</si>
  <si>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</si>
  <si>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</si>
  <si>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</si>
  <si>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</si>
  <si>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</si>
  <si>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</si>
  <si>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</si>
  <si>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</si>
  <si>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</si>
  <si>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</si>
  <si>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</si>
  <si>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</si>
  <si>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</si>
  <si>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</si>
  <si>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</si>
  <si>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</si>
  <si>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</si>
  <si>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</si>
  <si>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</si>
  <si>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</si>
  <si>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</si>
  <si>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</si>
  <si>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</si>
  <si>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</si>
  <si>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</si>
  <si>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</si>
  <si>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</si>
  <si>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</si>
  <si>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</si>
  <si>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</si>
  <si>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</si>
  <si>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</si>
  <si>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</si>
  <si>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</si>
  <si>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</si>
  <si>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</si>
  <si>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</si>
  <si>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</si>
  <si>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</si>
  <si>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</si>
  <si>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</si>
  <si>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</si>
  <si>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</si>
  <si>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</si>
  <si>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</si>
  <si>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</si>
  <si>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</si>
  <si>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</si>
  <si>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</si>
  <si>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</si>
  <si>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</si>
  <si>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</si>
  <si>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</si>
  <si>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</si>
  <si>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</si>
  <si>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</si>
  <si>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</si>
  <si>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</si>
  <si>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</si>
  <si>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</si>
  <si>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</si>
  <si>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</si>
  <si>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</si>
  <si>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</si>
  <si>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</si>
  <si>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</si>
  <si>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</si>
  <si>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</si>
  <si>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</si>
  <si>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</si>
  <si>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</si>
  <si>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</si>
  <si>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</si>
  <si>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</si>
  <si>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</si>
  <si>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</si>
  <si>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</si>
  <si>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</si>
  <si>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</si>
  <si>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</si>
  <si>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</si>
  <si>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</si>
  <si>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</si>
  <si>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</si>
  <si>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</si>
  <si>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</si>
  <si>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</si>
  <si>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</si>
  <si>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</si>
  <si>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</si>
  <si>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</si>
  <si>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</si>
  <si>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</si>
  <si>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</si>
  <si>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</si>
  <si>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</si>
  <si>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</si>
  <si>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</si>
  <si>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</si>
  <si>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</si>
  <si>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</si>
  <si>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</si>
  <si>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</si>
  <si>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</si>
  <si>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</si>
  <si>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</si>
  <si>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</si>
  <si>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</si>
  <si>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</si>
  <si>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</si>
  <si>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</si>
  <si>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</si>
  <si>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</si>
  <si>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</si>
  <si>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</si>
  <si>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</si>
  <si>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</si>
  <si>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</si>
  <si>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</si>
  <si>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</si>
  <si>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</si>
  <si>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</si>
  <si>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</si>
  <si>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</si>
  <si>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</si>
  <si>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</si>
  <si>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</si>
  <si>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</si>
  <si>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</si>
  <si>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</si>
  <si>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</si>
  <si>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</si>
  <si>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</si>
  <si>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</si>
  <si>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</si>
  <si>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</si>
  <si>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</si>
  <si>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</si>
  <si>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</si>
  <si>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</si>
  <si>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</si>
  <si>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</si>
  <si>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</si>
  <si>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</si>
  <si>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</si>
  <si>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</si>
  <si>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</si>
  <si>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</si>
  <si>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</si>
  <si>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</si>
  <si>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</si>
  <si>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</si>
  <si>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</si>
  <si>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</si>
  <si>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</si>
  <si>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</si>
  <si>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</si>
  <si>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</si>
  <si>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</si>
  <si>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</si>
  <si>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</si>
  <si>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</si>
  <si>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</si>
  <si>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</si>
  <si>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</si>
  <si>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</si>
  <si>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</si>
  <si>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</si>
  <si>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</si>
  <si>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</si>
  <si>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</si>
  <si>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</si>
  <si>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</si>
  <si>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</si>
  <si>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</si>
  <si>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</si>
  <si>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</si>
  <si>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</si>
  <si>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</si>
  <si>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</si>
  <si>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</si>
  <si>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</si>
  <si>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</si>
  <si>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</si>
  <si>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</si>
  <si>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</si>
  <si>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</si>
  <si>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</si>
  <si>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</si>
  <si>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</si>
  <si>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</si>
  <si>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</si>
  <si>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</si>
  <si>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</si>
  <si>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</si>
  <si>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</si>
  <si>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</si>
  <si>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</si>
  <si>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</si>
  <si>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</si>
  <si>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</si>
  <si>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</si>
  <si>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</si>
  <si>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</si>
  <si>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</si>
  <si>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</si>
  <si>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</si>
  <si>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</si>
  <si>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</si>
  <si>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</si>
  <si>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</si>
  <si>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</si>
  <si>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</si>
  <si>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</si>
  <si>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</si>
  <si>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</si>
  <si>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</si>
  <si>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</si>
  <si>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</si>
  <si>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</si>
  <si>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</si>
  <si>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</si>
  <si>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</si>
  <si>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</si>
  <si>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</si>
  <si>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</si>
  <si>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</si>
  <si>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</si>
  <si>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</si>
  <si>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</si>
  <si>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</si>
  <si>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</si>
  <si>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</si>
  <si>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</si>
  <si>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</si>
  <si>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</si>
  <si>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</si>
  <si>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</si>
  <si>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</si>
  <si>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</si>
  <si>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</si>
  <si>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</si>
  <si>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</si>
  <si>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</si>
  <si>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</si>
  <si>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</si>
  <si>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</si>
  <si>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</si>
  <si>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</si>
  <si>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</si>
  <si>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</si>
  <si>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</si>
  <si>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</si>
  <si>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</si>
  <si>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</si>
  <si>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</si>
  <si>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</si>
  <si>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</si>
  <si>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</si>
  <si>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</si>
  <si>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</si>
  <si>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</si>
  <si>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</si>
  <si>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</si>
  <si>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</si>
  <si>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</si>
  <si>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</si>
  <si>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</si>
  <si>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</si>
  <si>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</si>
  <si>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</si>
  <si>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</si>
  <si>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</si>
  <si>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</si>
  <si>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</si>
  <si>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</si>
  <si>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</si>
  <si>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</si>
  <si>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</si>
  <si>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</si>
  <si>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</si>
  <si>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</si>
  <si>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</si>
  <si>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</si>
  <si>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</si>
  <si>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</si>
  <si>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</si>
  <si>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</si>
  <si>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</si>
  <si>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</si>
  <si>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</si>
  <si>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</si>
  <si>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</si>
  <si>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</si>
  <si>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</si>
  <si>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</si>
  <si>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</si>
  <si>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</si>
  <si>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</si>
  <si>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</si>
  <si>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</si>
  <si>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</si>
  <si>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</si>
  <si>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</si>
  <si>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</si>
  <si>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</si>
  <si>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</si>
  <si>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</si>
  <si>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</si>
  <si>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</si>
  <si>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</si>
  <si>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</si>
  <si>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</si>
  <si>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</si>
  <si>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</si>
  <si>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</si>
  <si>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</si>
  <si>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</si>
  <si>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</si>
  <si>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</si>
  <si>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</si>
  <si>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</si>
  <si>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</si>
  <si>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</si>
  <si>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</si>
  <si>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</si>
  <si>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</si>
  <si>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</si>
  <si>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</si>
  <si>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</si>
  <si>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</si>
  <si>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</si>
  <si>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</si>
  <si>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</si>
  <si>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</si>
  <si>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</si>
  <si>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</si>
  <si>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</si>
  <si>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</si>
  <si>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</si>
  <si>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</si>
  <si>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</si>
  <si>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</si>
  <si>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</si>
  <si>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</si>
  <si>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</si>
  <si>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</si>
  <si>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</si>
  <si>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</si>
  <si>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</si>
  <si>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</si>
  <si>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</si>
  <si>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</si>
  <si>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</si>
  <si>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</si>
  <si>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</si>
  <si>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</si>
  <si>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</si>
  <si>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</si>
  <si>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</si>
  <si>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</si>
  <si>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</si>
  <si>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</si>
  <si>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</si>
  <si>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</si>
  <si>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</si>
  <si>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</si>
  <si>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</si>
  <si>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</si>
  <si>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</si>
  <si>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</si>
  <si>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</si>
  <si>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</si>
  <si>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</si>
  <si>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</si>
  <si>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</si>
  <si>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</si>
  <si>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</si>
  <si>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</si>
  <si>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</si>
  <si>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</si>
  <si>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</si>
  <si>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</si>
  <si>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</si>
  <si>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</si>
  <si>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</si>
  <si>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</si>
  <si>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</si>
  <si>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</si>
  <si>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</si>
  <si>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</si>
  <si>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</si>
  <si>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</si>
  <si>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</si>
  <si>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</si>
  <si>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</si>
  <si>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</si>
  <si>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</si>
  <si>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</si>
  <si>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</si>
  <si>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</si>
  <si>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</si>
  <si>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</si>
  <si>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</si>
  <si>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</si>
  <si>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</si>
  <si>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</si>
  <si>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</si>
  <si>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</si>
  <si>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</si>
  <si>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</si>
  <si>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</si>
  <si>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</si>
  <si>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</si>
  <si>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</si>
  <si>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</si>
  <si>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</si>
  <si>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</si>
  <si>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</si>
  <si>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</si>
  <si>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</si>
  <si>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</si>
  <si>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</si>
  <si>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</si>
  <si>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</si>
  <si>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</si>
  <si>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</si>
  <si>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</si>
  <si>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</si>
  <si>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</si>
  <si>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</si>
  <si>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</si>
  <si>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</si>
  <si>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</si>
  <si>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</si>
  <si>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</si>
  <si>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</si>
  <si>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</si>
  <si>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</si>
  <si>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</si>
  <si>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</si>
  <si>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</si>
  <si>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</si>
  <si>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</si>
  <si>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</si>
  <si>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</si>
  <si>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</si>
  <si>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</si>
  <si>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Thundering</t>
  </si>
  <si>
    <t>Valley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</si>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</sst>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762547498"/>
        <c:axId val="1486103719"/>
      </c:barChart>
      <c:catAx>
        <c:axId val="762547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86103719"/>
      </c:catAx>
      <c:valAx>
        <c:axId val="14861037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254749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8bc651f8-5a74-46c8-a338-5e7470e20d29?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dd8db80a-be81-42cd-8117-d370f2fdce6b?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3bce2cc2-7905-4055-a5c5-f61caeece66e?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902f686b-2aa6-427e-aa01-bd0121e13b27?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5303463c-59b3-4fb2-94c4-4a297ae0ad1a?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486584b2-e68e-44a9-a038-0edfd1135259?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56ad7b68-b4aa-44c6-ba28-2093ea5e6556?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c6073419-0b0b-47be-b834-e6de5a6e38db?index=2" TargetMode="External"/><Relationship Id="rId981" Type="http://schemas.openxmlformats.org/officeDocument/2006/relationships/hyperlink" Target="https://alpha.midjourney.com/jobs/c6073419-0b0b-47be-b834-e6de5a6e38db?index=1" TargetMode="External"/><Relationship Id="rId980" Type="http://schemas.openxmlformats.org/officeDocument/2006/relationships/hyperlink" Target="https://alpha.midjourney.com/jobs/3fd9ed41-930b-449c-a0d8-a582a3a8dc51?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3851d550-a918-4f53-b99a-bfc3302de693?index=0"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f1211b88-62fa-426d-8d5c-1600fcd5f5df?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1e1bd9f6-96ea-406f-974f-434655312d3b?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bf521d3a-8081-4e0f-803f-ab3292dfb2cf?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3ca19e2-2e10-4948-8314-32f44a89dd14?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3ca19e2-2e10-4948-8314-32f44a89dd14?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aa9fce64-251f-4480-9658-e135cc083f2f?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b7288a40-3f0f-413c-b7e7-0bd65060a3f9?index=1" TargetMode="External"/><Relationship Id="rId971" Type="http://schemas.openxmlformats.org/officeDocument/2006/relationships/hyperlink" Target="https://alpha.midjourney.com/jobs/ec0b3c0a-3f13-42a9-8ae5-ccd3a2bde246?index=0" TargetMode="External"/><Relationship Id="rId970" Type="http://schemas.openxmlformats.org/officeDocument/2006/relationships/hyperlink" Target="https://alpha.midjourney.com/jobs/2199afb2-fdf9-42e4-8447-bbcb2272b0ee?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ead00509-22e1-4300-a2f5-37e68b0be839?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46a0753e-b7f5-4268-a101-deb73939d6be?index=2"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ead00509-22e1-4300-a2f5-37e68b0be839?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149f71d5-4d94-4947-8b64-95192764e495?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b66028ef-5e3a-4038-a5ee-304d9808015f?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6c892b4d-9f53-4686-88b5-2ef14a829397?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20c46836-19bc-4c62-8431-98b2760b75d0?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20c46836-19bc-4c62-8431-98b2760b75d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8ddea716-e1f9-491b-aca2-f52b67ebc68d?index=0" TargetMode="External"/><Relationship Id="rId991" Type="http://schemas.openxmlformats.org/officeDocument/2006/relationships/hyperlink" Target="https://alpha.midjourney.com/jobs/6c892b4d-9f53-4686-88b5-2ef14a829397?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4e5785d-426b-4577-8b6f-9860501a149d?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65cffa49-030d-4bf0-8642-4b296917b9f0?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689c4844-d4f2-4395-9092-dc50d63f0541?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9d276849-3be7-4a19-8a23-be0e88fd505b?index=3" TargetMode="External"/><Relationship Id="rId941" Type="http://schemas.openxmlformats.org/officeDocument/2006/relationships/hyperlink" Target="https://www.midjourney.com/jobs/9d276849-3be7-4a19-8a23-be0e88fd505b?index=2" TargetMode="External"/><Relationship Id="rId940" Type="http://schemas.openxmlformats.org/officeDocument/2006/relationships/hyperlink" Target="https://www.midjourney.com/jobs/9d276849-3be7-4a19-8a23-be0e88fd505b?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65cffa49-030d-4bf0-8642-4b296917b9f0?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5c478fb9-7816-41dd-b67b-2e723d70b953?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880ee418-cfc5-4423-92a4-d5c3264c546a?index=2"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689c4844-d4f2-4395-9092-dc50d63f0541?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af796306-fa16-40f5-9f28-2a1b84a1f3ab?index=1" TargetMode="External"/><Relationship Id="rId938" Type="http://schemas.openxmlformats.org/officeDocument/2006/relationships/hyperlink" Target="https://www.midjourney.com/jobs/04324003-0364-4d0e-b28e-cb9f4a2554e2?index=3" TargetMode="External"/><Relationship Id="rId937" Type="http://schemas.openxmlformats.org/officeDocument/2006/relationships/hyperlink" Target="https://www.midjourney.com/jobs/04324003-0364-4d0e-b28e-cb9f4a2554e2?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0b52e1f-9803-4fca-8f47-ba7ad90ee845?index=3" TargetMode="External"/><Relationship Id="rId931" Type="http://schemas.openxmlformats.org/officeDocument/2006/relationships/hyperlink" Target="https://www.midjourney.com/jobs/d0b52e1f-9803-4fca-8f47-ba7ad90ee845?index=2" TargetMode="External"/><Relationship Id="rId930" Type="http://schemas.openxmlformats.org/officeDocument/2006/relationships/hyperlink" Target="https://www.midjourney.com/jobs/07eb6c29-8494-4c11-a4e7-b612a9696f60?index=1" TargetMode="External"/><Relationship Id="rId936" Type="http://schemas.openxmlformats.org/officeDocument/2006/relationships/hyperlink" Target="https://www.midjourney.com/jobs/04324003-0364-4d0e-b28e-cb9f4a2554e2?index=0" TargetMode="External"/><Relationship Id="rId935" Type="http://schemas.openxmlformats.org/officeDocument/2006/relationships/hyperlink" Target="https://www.midjourney.com/jobs/6c58f11f-2c5c-4343-bafa-89c85f0d6bab?index=0" TargetMode="External"/><Relationship Id="rId934" Type="http://schemas.openxmlformats.org/officeDocument/2006/relationships/hyperlink" Target="https://www.midjourney.com/jobs/79bb5089-1ab6-4752-ac4e-59d397d4af89?index=1" TargetMode="External"/><Relationship Id="rId933" Type="http://schemas.openxmlformats.org/officeDocument/2006/relationships/hyperlink" Target="https://www.midjourney.com/jobs/b701efe8-1aeb-4fc1-b2fd-54656d5acc9b?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4da0b68d-28af-4dde-a253-1c020edd6335?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5ffb57a6-694c-47cf-a742-db40c1703c48?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e7678ed2-bc5b-40da-a284-57aab18a35b3?index=1"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e43144d-d6b4-4bd5-94b6-0a6ddeeb751d?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03a2e0f0-0e78-4772-8448-9731440cc43d?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85c573d7-2cdf-43a9-85ba-f42642bf4f47?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85c573d7-2cdf-43a9-85ba-f42642bf4f47?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69af7a08-96cc-4e74-9187-954be8881728?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8adc7c0-5814-4f2a-9b13-b88efe40751e?index=0" TargetMode="External"/><Relationship Id="rId960" Type="http://schemas.openxmlformats.org/officeDocument/2006/relationships/hyperlink" Target="https://www.midjourney.com/jobs/08adc7c0-5814-4f2a-9b13-b88efe40751e?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f7f509f6-018d-40bc-9607-6413df49cc52?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a01f0b5d-1d81-4499-9574-a9009c478114?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a01f0b5d-1d81-4499-9574-a9009c478114?index=2"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f1f51a3a-0295-445c-9c9a-dfd9d9b423b5?index=3" TargetMode="External"/><Relationship Id="rId951" Type="http://schemas.openxmlformats.org/officeDocument/2006/relationships/hyperlink" Target="https://www.midjourney.com/jobs/54e5785d-426b-4577-8b6f-9860501a149d?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22ed9dd0-ef61-4a2c-b520-80e30f3a0494?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3604f6e-a5f0-4ffd-8781-191a91af181c?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35b3b0d5-f19b-454b-afb8-1c9e3ca5c237?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537aae6e-8ea5-477b-af84-e4fd575571d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54e5785d-426b-4577-8b6f-9860501a149d?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e6b4dd99-8a01-416c-8bfc-b09999257964?index=0" TargetMode="External"/><Relationship Id="rId928" Type="http://schemas.openxmlformats.org/officeDocument/2006/relationships/hyperlink" Target="https://www.midjourney.com/jobs/46d3e87b-dfdf-4208-b209-43eb59d25124?index=3" TargetMode="External"/><Relationship Id="rId927" Type="http://schemas.openxmlformats.org/officeDocument/2006/relationships/hyperlink" Target="https://www.midjourney.com/jobs/0dc2f6bf-8e60-4443-8ca9-01ae9d2c452f?index=1" TargetMode="External"/><Relationship Id="rId926" Type="http://schemas.openxmlformats.org/officeDocument/2006/relationships/hyperlink" Target="https://www.midjourney.com/jobs/0dc2f6bf-8e60-4443-8ca9-01ae9d2c452f?index=3" TargetMode="External"/><Relationship Id="rId921" Type="http://schemas.openxmlformats.org/officeDocument/2006/relationships/hyperlink" Target="https://www.midjourney.com/jobs/518a6ecb-c3fa-47f3-9af1-951f280135b2?index=2" TargetMode="External"/><Relationship Id="rId920" Type="http://schemas.openxmlformats.org/officeDocument/2006/relationships/hyperlink" Target="https://www.midjourney.com/jobs/518a6ecb-c3fa-47f3-9af1-951f280135b2?index=0" TargetMode="External"/><Relationship Id="rId925" Type="http://schemas.openxmlformats.org/officeDocument/2006/relationships/hyperlink" Target="https://www.midjourney.com/jobs/fe64b7e6-2440-4d46-a4c5-1101d3bf5f3d?index=2" TargetMode="External"/><Relationship Id="rId924" Type="http://schemas.openxmlformats.org/officeDocument/2006/relationships/hyperlink" Target="https://www.midjourney.com/jobs/d7dca630-c76d-42db-8c8e-098b170c9f61?index=0" TargetMode="External"/><Relationship Id="rId923" Type="http://schemas.openxmlformats.org/officeDocument/2006/relationships/hyperlink" Target="https://www.midjourney.com/jobs/329c884d-b09a-4e73-aaa6-624bb2faf437?index=0" TargetMode="External"/><Relationship Id="rId922" Type="http://schemas.openxmlformats.org/officeDocument/2006/relationships/hyperlink" Target="https://www.midjourney.com/jobs/ceffc422-8f67-4373-b88f-9001f745346e?index=3" TargetMode="External"/><Relationship Id="rId918" Type="http://schemas.openxmlformats.org/officeDocument/2006/relationships/hyperlink" Target="https://www.midjourney.com/jobs/3432df11-bef6-4eda-b76e-b4eb16b94be1?index=3" TargetMode="External"/><Relationship Id="rId917" Type="http://schemas.openxmlformats.org/officeDocument/2006/relationships/hyperlink" Target="https://www.midjourney.com/jobs/54a955fa-4cf9-4ad7-a49d-3d9d28a206ad?index=1"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3a147f13-6f59-44b7-8b20-2b2f8cbec4e3?index=3"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0910dc1c-1abc-4850-9805-126bdbab7799?index=2" TargetMode="External"/><Relationship Id="rId1016" Type="http://schemas.openxmlformats.org/officeDocument/2006/relationships/hyperlink" Target="https://alpha.midjourney.com/jobs/e44b464d-8fb8-4785-b44d-30862c9b331d?index=0" TargetMode="External"/><Relationship Id="rId1017" Type="http://schemas.openxmlformats.org/officeDocument/2006/relationships/drawing" Target="../drawings/drawing1.xm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d18a97fb-acf3-40be-b0ea-1d03a5d4f718?index=0"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e39d57f2-0251-4a7d-83b3-fbf31cdf863d?index=1"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ca25e5d3-d262-4f14-9b5c-79a9a9086431?index=2"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ec5ac332-b6b1-4b86-8b06-ac7403f17f1b?index=3"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ec5ac332-b6b1-4b86-8b06-ac7403f17f1b?index=1" TargetMode="External"/><Relationship Id="rId1004" Type="http://schemas.openxmlformats.org/officeDocument/2006/relationships/hyperlink" Target="https://alpha.midjourney.com/jobs/62caf3af-4107-40ab-861f-b8b9f3da8602?index=2" TargetMode="External"/><Relationship Id="rId1005" Type="http://schemas.openxmlformats.org/officeDocument/2006/relationships/hyperlink" Target="https://alpha.midjourney.com/jobs/9f44ec3c-8312-484b-bc3f-b055f211334b?index=1" TargetMode="External"/><Relationship Id="rId1006" Type="http://schemas.openxmlformats.org/officeDocument/2006/relationships/hyperlink" Target="https://alpha.midjourney.com/jobs/cda9e665-f4f8-47ac-8a96-6bb29eb7cff1?index=0" TargetMode="External"/><Relationship Id="rId1007" Type="http://schemas.openxmlformats.org/officeDocument/2006/relationships/hyperlink" Target="https://alpha.midjourney.com/jobs/cda9e665-f4f8-47ac-8a96-6bb29eb7cff1?index=2" TargetMode="External"/><Relationship Id="rId1008" Type="http://schemas.openxmlformats.org/officeDocument/2006/relationships/hyperlink" Target="https://alpha.midjourney.com/jobs/050c77d2-5182-4382-b5bc-db641bf5cec5?index=2" TargetMode="External"/><Relationship Id="rId1009" Type="http://schemas.openxmlformats.org/officeDocument/2006/relationships/hyperlink" Target="https://alpha.midjourney.com/jobs/9c28fb54-8e94-4d81-8f7f-af5a9d185ca2?index=2"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1f413697-4aa9-4268-8632-34cae7b439c3?index=3"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1e429c2b-5a05-49ab-9489-c12018649b91?index=3"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73e183ab-cd8f-4e66-b328-a4226a72e32b?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93428f42-6dac-49ed-8e69-43a69015a590?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row>
    <row r="413">
      <c r="A413" s="22" t="s">
        <v>2438</v>
      </c>
      <c r="B413" s="7" t="s">
        <v>22</v>
      </c>
      <c r="C413" s="7" t="s">
        <v>1889</v>
      </c>
      <c r="D413" s="9">
        <v>1.0</v>
      </c>
      <c r="E413" s="9" t="s">
        <v>2439</v>
      </c>
      <c r="F413" s="7" t="s">
        <v>2440</v>
      </c>
      <c r="G413" s="10" t="s">
        <v>2441</v>
      </c>
      <c r="H413" s="9">
        <v>2.0</v>
      </c>
      <c r="I413" s="9" t="s">
        <v>1920</v>
      </c>
      <c r="J413" s="9" t="s">
        <v>28</v>
      </c>
    </row>
    <row r="414">
      <c r="A414" s="24" t="s">
        <v>2442</v>
      </c>
      <c r="B414" s="7" t="s">
        <v>22</v>
      </c>
      <c r="C414" s="7" t="s">
        <v>1889</v>
      </c>
      <c r="D414" s="9">
        <v>1.0</v>
      </c>
      <c r="E414" s="9" t="s">
        <v>653</v>
      </c>
      <c r="F414" s="7" t="s">
        <v>2443</v>
      </c>
      <c r="G414" s="17" t="s">
        <v>2444</v>
      </c>
      <c r="H414" s="9">
        <v>10.0</v>
      </c>
      <c r="I414" s="9" t="s">
        <v>1990</v>
      </c>
      <c r="J414" s="21" t="s">
        <v>34</v>
      </c>
      <c r="K414" s="16" t="s">
        <v>2445</v>
      </c>
      <c r="L414" s="13" t="s">
        <v>2446</v>
      </c>
      <c r="M414" s="13" t="s">
        <v>2447</v>
      </c>
      <c r="N414" s="13" t="s">
        <v>2448</v>
      </c>
      <c r="O414" s="13" t="s">
        <v>2449</v>
      </c>
      <c r="P414" s="13" t="s">
        <v>2450</v>
      </c>
    </row>
    <row r="415">
      <c r="A415" s="7" t="s">
        <v>2451</v>
      </c>
      <c r="B415" s="7" t="s">
        <v>22</v>
      </c>
      <c r="C415" s="7" t="s">
        <v>1889</v>
      </c>
      <c r="D415" s="9">
        <v>1.0</v>
      </c>
      <c r="E415" s="9" t="s">
        <v>2452</v>
      </c>
      <c r="F415" s="7" t="s">
        <v>2453</v>
      </c>
      <c r="G415" s="10" t="s">
        <v>2454</v>
      </c>
      <c r="H415" s="9">
        <v>6.0</v>
      </c>
      <c r="I415" s="9" t="s">
        <v>1984</v>
      </c>
      <c r="J415" s="9" t="s">
        <v>34</v>
      </c>
      <c r="K415" s="16" t="s">
        <v>2455</v>
      </c>
      <c r="L415" s="13" t="s">
        <v>2456</v>
      </c>
      <c r="M415" s="13" t="s">
        <v>2457</v>
      </c>
      <c r="N415" s="13" t="s">
        <v>2458</v>
      </c>
    </row>
    <row r="416">
      <c r="A416" s="69" t="s">
        <v>2459</v>
      </c>
      <c r="B416" s="7" t="s">
        <v>22</v>
      </c>
      <c r="C416" s="107" t="s">
        <v>1889</v>
      </c>
      <c r="D416" s="71">
        <v>1.0</v>
      </c>
      <c r="E416" s="71" t="s">
        <v>2176</v>
      </c>
      <c r="F416" s="29" t="s">
        <v>2460</v>
      </c>
      <c r="G416" s="69"/>
      <c r="H416" s="71">
        <v>6.0</v>
      </c>
      <c r="I416" s="71" t="s">
        <v>1911</v>
      </c>
      <c r="J416" s="71" t="s">
        <v>34</v>
      </c>
      <c r="K416" s="29" t="s">
        <v>2461</v>
      </c>
      <c r="L416" s="72" t="s">
        <v>2462</v>
      </c>
      <c r="M416" s="72" t="s">
        <v>2463</v>
      </c>
      <c r="N416" s="72" t="s">
        <v>2464</v>
      </c>
      <c r="O416" s="72" t="s">
        <v>2465</v>
      </c>
      <c r="P416" s="72" t="s">
        <v>2466</v>
      </c>
      <c r="Q416" s="72" t="s">
        <v>2467</v>
      </c>
      <c r="R416" s="72" t="s">
        <v>2468</v>
      </c>
      <c r="S416" s="72" t="s">
        <v>2469</v>
      </c>
      <c r="T416" s="28"/>
      <c r="U416" s="28"/>
    </row>
    <row r="417">
      <c r="A417" s="7" t="s">
        <v>2470</v>
      </c>
      <c r="B417" s="7" t="s">
        <v>22</v>
      </c>
      <c r="C417" s="7" t="s">
        <v>1889</v>
      </c>
      <c r="D417" s="9">
        <v>1.0</v>
      </c>
      <c r="E417" s="9" t="s">
        <v>1448</v>
      </c>
      <c r="G417" s="10" t="s">
        <v>2471</v>
      </c>
      <c r="H417" s="9">
        <v>1.0</v>
      </c>
      <c r="I417" s="9" t="s">
        <v>1892</v>
      </c>
      <c r="J417" s="9" t="s">
        <v>28</v>
      </c>
      <c r="K417" s="16" t="s">
        <v>2472</v>
      </c>
      <c r="L417" s="13" t="s">
        <v>2473</v>
      </c>
      <c r="M417" s="13" t="s">
        <v>2474</v>
      </c>
    </row>
    <row r="418">
      <c r="A418" s="16" t="s">
        <v>2475</v>
      </c>
      <c r="B418" s="7" t="s">
        <v>22</v>
      </c>
      <c r="C418" s="16" t="s">
        <v>1889</v>
      </c>
      <c r="D418" s="15">
        <v>1.0</v>
      </c>
      <c r="E418" s="15" t="s">
        <v>1526</v>
      </c>
      <c r="G418" s="34"/>
      <c r="H418" s="15">
        <v>2.0</v>
      </c>
      <c r="I418" s="15" t="s">
        <v>1920</v>
      </c>
      <c r="J418" s="15" t="s">
        <v>28</v>
      </c>
      <c r="K418" s="16" t="s">
        <v>2476</v>
      </c>
      <c r="L418" s="13" t="s">
        <v>2477</v>
      </c>
      <c r="M418" s="13" t="s">
        <v>2478</v>
      </c>
      <c r="N418" s="13" t="s">
        <v>2479</v>
      </c>
      <c r="O418" s="13" t="s">
        <v>2480</v>
      </c>
      <c r="P418" s="13" t="s">
        <v>2481</v>
      </c>
    </row>
    <row r="419">
      <c r="A419" s="24" t="s">
        <v>2482</v>
      </c>
      <c r="B419" s="7" t="s">
        <v>22</v>
      </c>
      <c r="C419" s="7" t="s">
        <v>1889</v>
      </c>
      <c r="D419" s="9">
        <v>1.0</v>
      </c>
      <c r="E419" s="9" t="s">
        <v>2172</v>
      </c>
      <c r="G419" s="10" t="s">
        <v>2483</v>
      </c>
      <c r="H419" s="9">
        <v>5.0</v>
      </c>
      <c r="I419" s="9" t="s">
        <v>1990</v>
      </c>
      <c r="J419" s="21" t="s">
        <v>28</v>
      </c>
      <c r="K419" s="16" t="s">
        <v>2484</v>
      </c>
      <c r="L419" s="13" t="s">
        <v>2485</v>
      </c>
      <c r="M419" s="13" t="s">
        <v>2486</v>
      </c>
      <c r="N419" s="13" t="s">
        <v>2487</v>
      </c>
      <c r="O419" s="13" t="s">
        <v>2488</v>
      </c>
      <c r="P419" s="13" t="s">
        <v>2489</v>
      </c>
      <c r="Q419" s="13" t="s">
        <v>2490</v>
      </c>
      <c r="R419" s="13" t="s">
        <v>2491</v>
      </c>
    </row>
    <row r="420">
      <c r="A420" s="7" t="s">
        <v>2492</v>
      </c>
      <c r="B420" s="7" t="s">
        <v>22</v>
      </c>
      <c r="C420" s="7" t="s">
        <v>1889</v>
      </c>
      <c r="D420" s="9">
        <v>1.0</v>
      </c>
      <c r="E420" s="9" t="s">
        <v>1908</v>
      </c>
      <c r="G420" s="10" t="s">
        <v>2493</v>
      </c>
      <c r="H420" s="9">
        <v>6.0</v>
      </c>
      <c r="I420" s="50" t="s">
        <v>1906</v>
      </c>
      <c r="J420" s="9" t="s">
        <v>28</v>
      </c>
      <c r="K420" s="16" t="s">
        <v>2494</v>
      </c>
      <c r="L420" s="13" t="s">
        <v>2495</v>
      </c>
      <c r="M420" s="13" t="s">
        <v>2496</v>
      </c>
      <c r="N420" s="13" t="s">
        <v>2497</v>
      </c>
      <c r="O420" s="13" t="s">
        <v>2498</v>
      </c>
      <c r="P420" s="13" t="s">
        <v>2499</v>
      </c>
      <c r="Q420" s="13" t="s">
        <v>2500</v>
      </c>
      <c r="R420" s="13" t="s">
        <v>2501</v>
      </c>
      <c r="S420" s="13" t="s">
        <v>2502</v>
      </c>
    </row>
    <row r="421">
      <c r="A421" s="16" t="s">
        <v>2503</v>
      </c>
      <c r="B421" s="7" t="s">
        <v>22</v>
      </c>
      <c r="C421" s="16" t="s">
        <v>1889</v>
      </c>
      <c r="D421" s="15">
        <v>1.0</v>
      </c>
      <c r="E421" s="15" t="s">
        <v>268</v>
      </c>
      <c r="G421" s="17" t="s">
        <v>2504</v>
      </c>
      <c r="H421" s="15">
        <v>4.0</v>
      </c>
      <c r="I421" s="15" t="s">
        <v>2097</v>
      </c>
      <c r="J421" s="15" t="s">
        <v>28</v>
      </c>
      <c r="K421" s="16" t="s">
        <v>2505</v>
      </c>
      <c r="L421" s="13" t="s">
        <v>2506</v>
      </c>
      <c r="N421" s="13" t="s">
        <v>2507</v>
      </c>
      <c r="O421" s="13" t="s">
        <v>2508</v>
      </c>
      <c r="P421" s="13" t="s">
        <v>2509</v>
      </c>
      <c r="Q421" s="13" t="s">
        <v>2510</v>
      </c>
    </row>
    <row r="422">
      <c r="A422" s="16" t="s">
        <v>2511</v>
      </c>
      <c r="B422" s="7" t="s">
        <v>22</v>
      </c>
      <c r="C422" s="16" t="s">
        <v>1889</v>
      </c>
      <c r="D422" s="15">
        <v>1.0</v>
      </c>
      <c r="E422" s="15" t="s">
        <v>304</v>
      </c>
      <c r="G422" s="34"/>
      <c r="H422" s="15">
        <v>3.0</v>
      </c>
      <c r="I422" s="9" t="s">
        <v>1916</v>
      </c>
      <c r="J422" s="15" t="s">
        <v>28</v>
      </c>
      <c r="K422" s="16" t="s">
        <v>2512</v>
      </c>
      <c r="L422" s="13" t="s">
        <v>2513</v>
      </c>
      <c r="M422" s="13" t="s">
        <v>2514</v>
      </c>
      <c r="N422" s="13" t="s">
        <v>2515</v>
      </c>
      <c r="O422" s="13" t="s">
        <v>2516</v>
      </c>
    </row>
    <row r="423">
      <c r="A423" s="16" t="s">
        <v>2517</v>
      </c>
      <c r="B423" s="7" t="s">
        <v>22</v>
      </c>
      <c r="C423" s="16" t="s">
        <v>1889</v>
      </c>
      <c r="D423" s="15">
        <v>1.0</v>
      </c>
      <c r="E423" s="15" t="s">
        <v>2518</v>
      </c>
      <c r="F423" s="16" t="s">
        <v>62</v>
      </c>
      <c r="G423" s="34"/>
      <c r="H423" s="15">
        <v>5.0</v>
      </c>
      <c r="I423" s="9" t="s">
        <v>2519</v>
      </c>
      <c r="J423" s="15" t="s">
        <v>28</v>
      </c>
      <c r="K423" s="16" t="s">
        <v>2520</v>
      </c>
      <c r="L423" s="13" t="s">
        <v>2521</v>
      </c>
      <c r="M423" s="13" t="s">
        <v>2522</v>
      </c>
      <c r="N423" s="13" t="s">
        <v>2523</v>
      </c>
    </row>
    <row r="424">
      <c r="A424" s="31" t="s">
        <v>2524</v>
      </c>
      <c r="B424" s="7" t="s">
        <v>22</v>
      </c>
      <c r="C424" s="16" t="s">
        <v>1889</v>
      </c>
      <c r="D424" s="15">
        <v>1.0</v>
      </c>
      <c r="E424" s="15" t="s">
        <v>815</v>
      </c>
      <c r="F424" s="31" t="s">
        <v>2525</v>
      </c>
      <c r="G424" s="34"/>
      <c r="H424" s="15">
        <v>3.0</v>
      </c>
      <c r="I424" s="16" t="s">
        <v>1906</v>
      </c>
      <c r="J424" s="9" t="s">
        <v>72</v>
      </c>
      <c r="K424" s="16" t="s">
        <v>2526</v>
      </c>
      <c r="L424" s="13" t="s">
        <v>2527</v>
      </c>
      <c r="M424" s="13" t="s">
        <v>2528</v>
      </c>
      <c r="N424" s="13" t="s">
        <v>2529</v>
      </c>
      <c r="O424" s="13" t="s">
        <v>2530</v>
      </c>
    </row>
    <row r="425">
      <c r="A425" s="16" t="s">
        <v>2531</v>
      </c>
      <c r="B425" s="7" t="s">
        <v>22</v>
      </c>
      <c r="C425" s="16" t="s">
        <v>1889</v>
      </c>
      <c r="D425" s="15">
        <v>1.0</v>
      </c>
      <c r="E425" s="15" t="s">
        <v>1844</v>
      </c>
      <c r="F425" s="16" t="s">
        <v>2532</v>
      </c>
      <c r="G425" s="34"/>
      <c r="H425" s="15">
        <v>3.0</v>
      </c>
      <c r="I425" s="15" t="s">
        <v>2281</v>
      </c>
      <c r="J425" s="9" t="s">
        <v>72</v>
      </c>
      <c r="K425" s="16" t="s">
        <v>2533</v>
      </c>
      <c r="L425" s="13" t="s">
        <v>2534</v>
      </c>
      <c r="M425" s="13" t="s">
        <v>2535</v>
      </c>
      <c r="N425" s="13" t="s">
        <v>2536</v>
      </c>
    </row>
    <row r="426">
      <c r="A426" s="79" t="s">
        <v>2537</v>
      </c>
      <c r="B426" s="7" t="s">
        <v>22</v>
      </c>
      <c r="C426" s="7" t="s">
        <v>1889</v>
      </c>
      <c r="D426" s="9">
        <v>1.0</v>
      </c>
      <c r="E426" s="9" t="s">
        <v>2187</v>
      </c>
      <c r="F426" s="16" t="s">
        <v>2538</v>
      </c>
      <c r="G426" s="10" t="s">
        <v>2539</v>
      </c>
      <c r="H426" s="9">
        <v>3.0</v>
      </c>
      <c r="I426" s="9" t="s">
        <v>1932</v>
      </c>
      <c r="J426" s="9" t="s">
        <v>34</v>
      </c>
      <c r="K426" s="16" t="s">
        <v>2540</v>
      </c>
      <c r="L426" s="13" t="s">
        <v>2541</v>
      </c>
      <c r="M426" s="13" t="s">
        <v>2542</v>
      </c>
      <c r="N426" s="13" t="s">
        <v>2543</v>
      </c>
    </row>
    <row r="427">
      <c r="A427" s="31" t="s">
        <v>2544</v>
      </c>
      <c r="B427" s="7" t="s">
        <v>22</v>
      </c>
      <c r="C427" s="16" t="s">
        <v>1889</v>
      </c>
      <c r="D427" s="15">
        <v>1.0</v>
      </c>
      <c r="E427" s="15" t="s">
        <v>1367</v>
      </c>
      <c r="F427" s="16" t="s">
        <v>2545</v>
      </c>
      <c r="G427" s="34"/>
      <c r="H427" s="15">
        <v>4.0</v>
      </c>
      <c r="I427" s="9" t="s">
        <v>2097</v>
      </c>
      <c r="J427" s="9" t="s">
        <v>34</v>
      </c>
      <c r="K427" s="16" t="s">
        <v>2546</v>
      </c>
      <c r="L427" s="13" t="s">
        <v>2547</v>
      </c>
      <c r="M427" s="13" t="s">
        <v>2548</v>
      </c>
      <c r="N427" s="13" t="s">
        <v>2549</v>
      </c>
      <c r="O427" s="13" t="s">
        <v>2550</v>
      </c>
    </row>
    <row r="428">
      <c r="A428" s="31" t="s">
        <v>2551</v>
      </c>
      <c r="B428" s="7" t="s">
        <v>22</v>
      </c>
      <c r="C428" s="16" t="s">
        <v>1889</v>
      </c>
      <c r="D428" s="15">
        <v>1.0</v>
      </c>
      <c r="E428" s="15" t="s">
        <v>362</v>
      </c>
      <c r="F428" s="16" t="s">
        <v>2552</v>
      </c>
      <c r="G428" s="17" t="s">
        <v>2553</v>
      </c>
      <c r="H428" s="15">
        <v>3.0</v>
      </c>
      <c r="I428" s="15" t="s">
        <v>1920</v>
      </c>
      <c r="J428" s="15" t="s">
        <v>34</v>
      </c>
      <c r="K428" s="16" t="s">
        <v>2554</v>
      </c>
      <c r="L428" s="13" t="s">
        <v>2555</v>
      </c>
      <c r="M428" s="13" t="s">
        <v>2556</v>
      </c>
      <c r="N428" s="13" t="s">
        <v>2557</v>
      </c>
    </row>
    <row r="429">
      <c r="A429" s="16" t="s">
        <v>2558</v>
      </c>
      <c r="B429" s="7" t="s">
        <v>22</v>
      </c>
      <c r="C429" s="16" t="s">
        <v>1889</v>
      </c>
      <c r="D429" s="15">
        <v>1.0</v>
      </c>
      <c r="E429" s="15" t="s">
        <v>1839</v>
      </c>
      <c r="F429" s="16" t="s">
        <v>2559</v>
      </c>
      <c r="G429" s="34"/>
      <c r="H429" s="15">
        <v>2.0</v>
      </c>
      <c r="I429" s="15" t="s">
        <v>2281</v>
      </c>
      <c r="J429" s="15" t="s">
        <v>34</v>
      </c>
      <c r="K429" s="16" t="s">
        <v>2560</v>
      </c>
      <c r="L429" s="13" t="s">
        <v>2561</v>
      </c>
      <c r="M429" s="13" t="s">
        <v>2562</v>
      </c>
      <c r="N429" s="13" t="s">
        <v>2563</v>
      </c>
      <c r="O429" s="13" t="s">
        <v>2564</v>
      </c>
    </row>
    <row r="430">
      <c r="A430" s="16" t="s">
        <v>2565</v>
      </c>
      <c r="B430" s="7" t="s">
        <v>22</v>
      </c>
      <c r="C430" s="91" t="s">
        <v>1889</v>
      </c>
      <c r="D430" s="15">
        <v>1.0</v>
      </c>
      <c r="E430" s="15" t="s">
        <v>653</v>
      </c>
      <c r="F430" s="16" t="s">
        <v>2566</v>
      </c>
      <c r="G430" s="17" t="s">
        <v>2567</v>
      </c>
      <c r="H430" s="15">
        <v>3.0</v>
      </c>
      <c r="I430" s="9" t="s">
        <v>1916</v>
      </c>
      <c r="J430" s="15" t="s">
        <v>34</v>
      </c>
      <c r="K430" s="16" t="s">
        <v>2568</v>
      </c>
      <c r="L430" s="13" t="s">
        <v>2569</v>
      </c>
      <c r="M430" s="13" t="s">
        <v>2570</v>
      </c>
      <c r="N430" s="13" t="s">
        <v>2571</v>
      </c>
      <c r="O430" s="13" t="s">
        <v>2572</v>
      </c>
      <c r="P430" s="13" t="s">
        <v>2573</v>
      </c>
      <c r="Q430" s="13" t="s">
        <v>2574</v>
      </c>
      <c r="R430" s="13" t="s">
        <v>2575</v>
      </c>
      <c r="S430" s="13" t="s">
        <v>2576</v>
      </c>
    </row>
    <row r="431">
      <c r="A431" s="108" t="s">
        <v>2577</v>
      </c>
      <c r="B431" s="7" t="s">
        <v>22</v>
      </c>
      <c r="C431" s="7"/>
      <c r="D431" s="9">
        <v>1.0</v>
      </c>
      <c r="E431" s="21" t="s">
        <v>82</v>
      </c>
      <c r="G431" s="10" t="s">
        <v>2578</v>
      </c>
      <c r="H431" s="9">
        <v>3.0</v>
      </c>
      <c r="I431" s="9" t="s">
        <v>2220</v>
      </c>
      <c r="J431" s="21" t="s">
        <v>28</v>
      </c>
      <c r="K431" s="16" t="s">
        <v>2579</v>
      </c>
      <c r="L431" s="13" t="s">
        <v>2580</v>
      </c>
      <c r="M431" s="13" t="s">
        <v>2581</v>
      </c>
      <c r="N431" s="13" t="s">
        <v>2582</v>
      </c>
    </row>
    <row r="432">
      <c r="A432" s="7" t="s">
        <v>2583</v>
      </c>
      <c r="B432" s="7" t="s">
        <v>22</v>
      </c>
      <c r="C432" s="7"/>
      <c r="D432" s="9">
        <v>1.0</v>
      </c>
      <c r="E432" s="9" t="s">
        <v>61</v>
      </c>
      <c r="G432" s="10" t="s">
        <v>2584</v>
      </c>
      <c r="H432" s="9">
        <v>6.0</v>
      </c>
      <c r="I432" s="9" t="s">
        <v>2585</v>
      </c>
      <c r="J432" s="9" t="s">
        <v>28</v>
      </c>
      <c r="K432" s="16" t="s">
        <v>2586</v>
      </c>
      <c r="L432" s="13" t="s">
        <v>2587</v>
      </c>
      <c r="M432" s="13" t="s">
        <v>2588</v>
      </c>
    </row>
    <row r="433">
      <c r="A433" s="54" t="s">
        <v>2589</v>
      </c>
      <c r="B433" s="7" t="s">
        <v>22</v>
      </c>
      <c r="C433" s="7" t="s">
        <v>23</v>
      </c>
      <c r="D433" s="9">
        <v>1.0</v>
      </c>
      <c r="E433" s="9" t="s">
        <v>244</v>
      </c>
      <c r="F433" s="16" t="s">
        <v>2590</v>
      </c>
      <c r="G433" s="10"/>
      <c r="H433" s="9">
        <v>4.0</v>
      </c>
      <c r="I433" s="9" t="s">
        <v>270</v>
      </c>
      <c r="J433" s="9" t="s">
        <v>28</v>
      </c>
      <c r="K433" s="16" t="s">
        <v>2591</v>
      </c>
      <c r="L433" s="13" t="s">
        <v>2592</v>
      </c>
      <c r="M433" s="13" t="s">
        <v>2593</v>
      </c>
      <c r="N433" s="13" t="s">
        <v>2594</v>
      </c>
      <c r="O433" s="13" t="s">
        <v>2595</v>
      </c>
      <c r="P433" s="13" t="s">
        <v>2596</v>
      </c>
      <c r="Q433" s="13" t="s">
        <v>2597</v>
      </c>
      <c r="R433" s="13" t="s">
        <v>2598</v>
      </c>
      <c r="S433" s="13" t="s">
        <v>2599</v>
      </c>
    </row>
    <row r="434">
      <c r="A434" s="16" t="s">
        <v>2600</v>
      </c>
      <c r="B434" s="7" t="s">
        <v>22</v>
      </c>
      <c r="C434" s="7"/>
      <c r="D434" s="9">
        <v>1.0</v>
      </c>
      <c r="E434" s="15" t="s">
        <v>113</v>
      </c>
      <c r="F434" s="7" t="s">
        <v>2601</v>
      </c>
      <c r="G434" s="10" t="s">
        <v>2602</v>
      </c>
      <c r="H434" s="9">
        <v>3.0</v>
      </c>
      <c r="I434" s="9" t="s">
        <v>2220</v>
      </c>
      <c r="J434" s="9" t="s">
        <v>34</v>
      </c>
      <c r="K434" s="16" t="s">
        <v>2603</v>
      </c>
      <c r="L434" s="13" t="s">
        <v>2604</v>
      </c>
      <c r="M434" s="13" t="s">
        <v>2605</v>
      </c>
    </row>
    <row r="435">
      <c r="A435" s="7" t="s">
        <v>2606</v>
      </c>
      <c r="B435" s="7" t="s">
        <v>22</v>
      </c>
      <c r="C435" s="7"/>
      <c r="D435" s="15">
        <v>1.0</v>
      </c>
      <c r="E435" s="9"/>
      <c r="F435" s="7" t="s">
        <v>2607</v>
      </c>
      <c r="G435" s="10" t="s">
        <v>2608</v>
      </c>
      <c r="H435" s="9">
        <v>2.0</v>
      </c>
      <c r="I435" s="9" t="s">
        <v>2609</v>
      </c>
      <c r="J435" s="9" t="s">
        <v>34</v>
      </c>
      <c r="K435" s="16" t="s">
        <v>2610</v>
      </c>
      <c r="L435" s="13" t="s">
        <v>2611</v>
      </c>
      <c r="M435" s="13" t="s">
        <v>2612</v>
      </c>
    </row>
    <row r="436">
      <c r="A436" s="7" t="s">
        <v>2613</v>
      </c>
      <c r="B436" s="7" t="s">
        <v>22</v>
      </c>
      <c r="C436" s="16"/>
      <c r="D436" s="15">
        <v>1.0</v>
      </c>
      <c r="E436" s="9"/>
      <c r="F436" s="7" t="s">
        <v>2614</v>
      </c>
      <c r="G436" s="10" t="s">
        <v>2615</v>
      </c>
      <c r="H436" s="9">
        <v>2.0</v>
      </c>
      <c r="I436" s="9" t="s">
        <v>2609</v>
      </c>
      <c r="J436" s="9" t="s">
        <v>34</v>
      </c>
      <c r="K436" s="16" t="s">
        <v>2616</v>
      </c>
      <c r="L436" s="13" t="s">
        <v>2617</v>
      </c>
      <c r="M436" s="13" t="s">
        <v>2618</v>
      </c>
      <c r="N436" s="13" t="s">
        <v>2619</v>
      </c>
      <c r="O436" s="13" t="s">
        <v>2620</v>
      </c>
    </row>
    <row r="437" hidden="1">
      <c r="A437" s="16" t="s">
        <v>2621</v>
      </c>
      <c r="B437" s="7" t="s">
        <v>22</v>
      </c>
      <c r="C437" s="16" t="s">
        <v>1503</v>
      </c>
      <c r="D437" s="15">
        <v>0.0</v>
      </c>
      <c r="E437" s="15" t="s">
        <v>389</v>
      </c>
      <c r="F437" s="16" t="s">
        <v>2622</v>
      </c>
      <c r="G437" s="34"/>
      <c r="H437" s="15">
        <v>6.0</v>
      </c>
      <c r="I437" s="15" t="s">
        <v>1537</v>
      </c>
      <c r="J437" s="15" t="s">
        <v>34</v>
      </c>
    </row>
    <row r="438" hidden="1">
      <c r="A438" s="16" t="s">
        <v>2623</v>
      </c>
      <c r="B438" s="7" t="s">
        <v>22</v>
      </c>
      <c r="C438" s="16" t="s">
        <v>1503</v>
      </c>
      <c r="D438" s="15">
        <v>0.0</v>
      </c>
      <c r="E438" s="15" t="s">
        <v>389</v>
      </c>
      <c r="F438" s="16" t="s">
        <v>2624</v>
      </c>
      <c r="G438" s="34"/>
      <c r="H438" s="15">
        <v>4.0</v>
      </c>
      <c r="I438" s="15" t="s">
        <v>1706</v>
      </c>
      <c r="J438" s="15" t="s">
        <v>72</v>
      </c>
    </row>
    <row r="439">
      <c r="A439" s="16" t="s">
        <v>2625</v>
      </c>
      <c r="B439" s="16" t="s">
        <v>2626</v>
      </c>
      <c r="D439" s="15">
        <v>1.0</v>
      </c>
      <c r="E439" s="104"/>
      <c r="G439" s="34"/>
      <c r="H439" s="104"/>
      <c r="I439" s="104"/>
      <c r="J439" s="15" t="s">
        <v>2626</v>
      </c>
    </row>
    <row r="440">
      <c r="A440" s="16" t="s">
        <v>2627</v>
      </c>
      <c r="B440" s="16" t="s">
        <v>2626</v>
      </c>
      <c r="D440" s="15">
        <v>1.0</v>
      </c>
      <c r="E440" s="104"/>
      <c r="G440" s="34"/>
      <c r="H440" s="104"/>
      <c r="I440" s="104"/>
      <c r="J440" s="15" t="s">
        <v>2626</v>
      </c>
    </row>
    <row r="441">
      <c r="A441" s="16" t="s">
        <v>2628</v>
      </c>
      <c r="B441" s="16" t="s">
        <v>2626</v>
      </c>
      <c r="D441" s="15">
        <v>1.0</v>
      </c>
      <c r="E441" s="104"/>
      <c r="F441" s="16" t="s">
        <v>2629</v>
      </c>
      <c r="G441" s="34"/>
      <c r="H441" s="104"/>
      <c r="I441" s="104"/>
      <c r="J441" s="15" t="s">
        <v>2626</v>
      </c>
    </row>
    <row r="442">
      <c r="A442" s="16" t="s">
        <v>2630</v>
      </c>
      <c r="B442" s="16" t="s">
        <v>2626</v>
      </c>
      <c r="D442" s="15">
        <v>1.0</v>
      </c>
      <c r="E442" s="104"/>
      <c r="F442" s="16" t="s">
        <v>2631</v>
      </c>
      <c r="G442" s="34"/>
      <c r="H442" s="104"/>
      <c r="I442" s="104"/>
      <c r="J442" s="15" t="s">
        <v>2626</v>
      </c>
    </row>
    <row r="443">
      <c r="A443" s="16" t="s">
        <v>2632</v>
      </c>
      <c r="B443" s="16" t="s">
        <v>2626</v>
      </c>
      <c r="D443" s="15">
        <v>1.0</v>
      </c>
      <c r="E443" s="104"/>
      <c r="F443" s="16" t="s">
        <v>2633</v>
      </c>
      <c r="G443" s="34"/>
      <c r="H443" s="104"/>
      <c r="I443" s="104"/>
      <c r="J443" s="15" t="s">
        <v>2626</v>
      </c>
    </row>
    <row r="444">
      <c r="A444" s="16" t="s">
        <v>2634</v>
      </c>
      <c r="B444" s="16" t="s">
        <v>2626</v>
      </c>
      <c r="D444" s="15">
        <v>1.0</v>
      </c>
      <c r="E444" s="104"/>
      <c r="F444" s="16" t="s">
        <v>2635</v>
      </c>
      <c r="G444" s="34"/>
      <c r="H444" s="104"/>
      <c r="I444" s="104"/>
      <c r="J444" s="15" t="s">
        <v>2626</v>
      </c>
    </row>
    <row r="445">
      <c r="A445" s="16" t="s">
        <v>2636</v>
      </c>
      <c r="B445" s="16" t="s">
        <v>2626</v>
      </c>
      <c r="D445" s="15">
        <v>1.0</v>
      </c>
      <c r="E445" s="104"/>
      <c r="F445" s="16" t="s">
        <v>2631</v>
      </c>
      <c r="G445" s="34"/>
      <c r="H445" s="104"/>
      <c r="I445" s="104"/>
      <c r="J445" s="15" t="s">
        <v>2626</v>
      </c>
    </row>
    <row r="446">
      <c r="A446" s="16" t="s">
        <v>2637</v>
      </c>
      <c r="B446" s="16" t="s">
        <v>2626</v>
      </c>
      <c r="D446" s="15">
        <v>1.0</v>
      </c>
      <c r="E446" s="104"/>
      <c r="F446" s="16" t="s">
        <v>2638</v>
      </c>
      <c r="G446" s="34"/>
      <c r="H446" s="104"/>
      <c r="I446" s="104"/>
      <c r="J446" s="15" t="s">
        <v>2626</v>
      </c>
    </row>
    <row r="447">
      <c r="A447" s="16" t="s">
        <v>2639</v>
      </c>
      <c r="B447" s="16" t="s">
        <v>2626</v>
      </c>
      <c r="D447" s="15">
        <v>1.0</v>
      </c>
      <c r="E447" s="104"/>
      <c r="F447" s="16" t="s">
        <v>2640</v>
      </c>
      <c r="G447" s="34"/>
      <c r="H447" s="104"/>
      <c r="I447" s="104"/>
      <c r="J447" s="15" t="s">
        <v>2626</v>
      </c>
    </row>
    <row r="448">
      <c r="A448" s="16" t="s">
        <v>2641</v>
      </c>
      <c r="B448" s="16" t="s">
        <v>2626</v>
      </c>
      <c r="D448" s="15">
        <v>1.0</v>
      </c>
      <c r="E448" s="104"/>
      <c r="F448" s="16" t="s">
        <v>2642</v>
      </c>
      <c r="G448" s="34"/>
      <c r="H448" s="104"/>
      <c r="I448" s="104"/>
      <c r="J448" s="15" t="s">
        <v>2626</v>
      </c>
    </row>
    <row r="449">
      <c r="A449" s="16" t="s">
        <v>2643</v>
      </c>
      <c r="B449" s="16" t="s">
        <v>2626</v>
      </c>
      <c r="D449" s="15">
        <v>1.0</v>
      </c>
      <c r="E449" s="104"/>
      <c r="G449" s="34"/>
      <c r="H449" s="104"/>
      <c r="I449" s="104"/>
      <c r="J449" s="15" t="s">
        <v>2626</v>
      </c>
    </row>
    <row r="450">
      <c r="A450" s="16" t="s">
        <v>2644</v>
      </c>
      <c r="B450" s="16" t="s">
        <v>2626</v>
      </c>
      <c r="D450" s="15">
        <v>1.0</v>
      </c>
      <c r="E450" s="104"/>
      <c r="F450" s="16" t="s">
        <v>2645</v>
      </c>
      <c r="G450" s="34"/>
      <c r="H450" s="104"/>
      <c r="I450" s="104"/>
      <c r="J450" s="15" t="s">
        <v>2626</v>
      </c>
    </row>
    <row r="451">
      <c r="A451" s="16" t="s">
        <v>2646</v>
      </c>
      <c r="B451" s="16" t="s">
        <v>2626</v>
      </c>
      <c r="D451" s="15">
        <v>1.0</v>
      </c>
      <c r="E451" s="104"/>
      <c r="F451" s="16" t="s">
        <v>2647</v>
      </c>
      <c r="G451" s="34"/>
      <c r="H451" s="104"/>
      <c r="I451" s="104"/>
      <c r="J451" s="15" t="s">
        <v>2626</v>
      </c>
    </row>
    <row r="452">
      <c r="A452" s="16" t="s">
        <v>2648</v>
      </c>
      <c r="B452" s="16" t="s">
        <v>2626</v>
      </c>
      <c r="D452" s="15">
        <v>1.0</v>
      </c>
      <c r="E452" s="104"/>
      <c r="F452" s="16" t="s">
        <v>2649</v>
      </c>
      <c r="G452" s="34"/>
      <c r="H452" s="104"/>
      <c r="I452" s="104"/>
      <c r="J452" s="15" t="s">
        <v>2626</v>
      </c>
    </row>
    <row r="453">
      <c r="A453" s="16" t="s">
        <v>2650</v>
      </c>
      <c r="B453" s="16" t="s">
        <v>2626</v>
      </c>
      <c r="D453" s="15">
        <v>1.0</v>
      </c>
      <c r="E453" s="104"/>
      <c r="G453" s="34"/>
      <c r="H453" s="104"/>
      <c r="I453" s="104"/>
      <c r="J453" s="15" t="s">
        <v>2626</v>
      </c>
    </row>
    <row r="454">
      <c r="A454" s="16" t="s">
        <v>2651</v>
      </c>
      <c r="B454" s="16" t="s">
        <v>2626</v>
      </c>
      <c r="D454" s="15">
        <v>1.0</v>
      </c>
      <c r="E454" s="104"/>
      <c r="G454" s="34"/>
      <c r="H454" s="104"/>
      <c r="I454" s="104"/>
      <c r="J454" s="15" t="s">
        <v>2626</v>
      </c>
    </row>
    <row r="455">
      <c r="A455" s="16" t="s">
        <v>2652</v>
      </c>
      <c r="B455" s="16" t="s">
        <v>2626</v>
      </c>
      <c r="D455" s="15">
        <v>1.0</v>
      </c>
      <c r="E455" s="104"/>
      <c r="G455" s="34"/>
      <c r="H455" s="104"/>
      <c r="I455" s="104"/>
      <c r="J455" s="15" t="s">
        <v>2626</v>
      </c>
    </row>
    <row r="456">
      <c r="A456" s="16" t="s">
        <v>2653</v>
      </c>
      <c r="B456" s="16" t="s">
        <v>2626</v>
      </c>
      <c r="D456" s="15">
        <v>1.0</v>
      </c>
      <c r="E456" s="104"/>
      <c r="G456" s="34"/>
      <c r="H456" s="104"/>
      <c r="I456" s="104"/>
      <c r="J456" s="15" t="s">
        <v>2626</v>
      </c>
    </row>
    <row r="457">
      <c r="A457" s="16" t="s">
        <v>2654</v>
      </c>
      <c r="B457" s="16" t="s">
        <v>2626</v>
      </c>
      <c r="D457" s="15">
        <v>1.0</v>
      </c>
      <c r="E457" s="104"/>
      <c r="G457" s="34"/>
      <c r="H457" s="104"/>
      <c r="I457" s="104"/>
      <c r="J457" s="15" t="s">
        <v>2626</v>
      </c>
    </row>
    <row r="458">
      <c r="A458" s="16" t="s">
        <v>2655</v>
      </c>
      <c r="B458" s="16" t="s">
        <v>2626</v>
      </c>
      <c r="D458" s="15">
        <v>1.0</v>
      </c>
      <c r="E458" s="104"/>
      <c r="G458" s="34"/>
      <c r="H458" s="104"/>
      <c r="I458" s="104"/>
      <c r="J458" s="15" t="s">
        <v>2626</v>
      </c>
    </row>
    <row r="459">
      <c r="A459" s="16" t="s">
        <v>2656</v>
      </c>
      <c r="B459" s="16" t="s">
        <v>2626</v>
      </c>
      <c r="D459" s="15">
        <v>1.0</v>
      </c>
      <c r="E459" s="104"/>
      <c r="G459" s="34"/>
      <c r="H459" s="104"/>
      <c r="I459" s="104"/>
      <c r="J459" s="15" t="s">
        <v>2626</v>
      </c>
    </row>
    <row r="460">
      <c r="A460" s="16" t="s">
        <v>2657</v>
      </c>
      <c r="B460" s="16" t="s">
        <v>2626</v>
      </c>
      <c r="D460" s="15">
        <v>1.0</v>
      </c>
      <c r="E460" s="104"/>
      <c r="G460" s="34"/>
      <c r="H460" s="104"/>
      <c r="I460" s="104"/>
      <c r="J460" s="15" t="s">
        <v>2626</v>
      </c>
    </row>
    <row r="461">
      <c r="A461" s="16" t="s">
        <v>2658</v>
      </c>
      <c r="B461" s="16" t="s">
        <v>2626</v>
      </c>
      <c r="D461" s="15">
        <v>1.0</v>
      </c>
      <c r="E461" s="104"/>
      <c r="G461" s="34"/>
      <c r="H461" s="104"/>
      <c r="I461" s="104"/>
      <c r="J461" s="15" t="s">
        <v>2626</v>
      </c>
    </row>
    <row r="462">
      <c r="A462" s="16" t="s">
        <v>2659</v>
      </c>
      <c r="B462" s="16" t="s">
        <v>2626</v>
      </c>
      <c r="D462" s="15">
        <v>1.0</v>
      </c>
      <c r="E462" s="104"/>
      <c r="F462" s="16" t="s">
        <v>2660</v>
      </c>
      <c r="G462" s="34"/>
      <c r="H462" s="104"/>
      <c r="I462" s="104"/>
      <c r="J462" s="15" t="s">
        <v>2626</v>
      </c>
    </row>
    <row r="463">
      <c r="A463" s="16" t="s">
        <v>2661</v>
      </c>
      <c r="B463" s="16" t="s">
        <v>2626</v>
      </c>
      <c r="D463" s="15">
        <v>1.0</v>
      </c>
      <c r="E463" s="104"/>
      <c r="F463" s="16" t="s">
        <v>2662</v>
      </c>
      <c r="G463" s="34"/>
      <c r="H463" s="104"/>
      <c r="I463" s="104"/>
      <c r="J463" s="15" t="s">
        <v>2626</v>
      </c>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4"/>
    <hyperlink r:id="rId918" ref="M414"/>
    <hyperlink r:id="rId919" ref="N414"/>
    <hyperlink r:id="rId920" ref="O414"/>
    <hyperlink r:id="rId921" ref="P414"/>
    <hyperlink r:id="rId922" ref="L415"/>
    <hyperlink r:id="rId923" ref="M415"/>
    <hyperlink r:id="rId924" ref="N415"/>
    <hyperlink r:id="rId925" ref="L416"/>
    <hyperlink r:id="rId926" ref="M416"/>
    <hyperlink r:id="rId927" ref="N416"/>
    <hyperlink r:id="rId928" ref="O416"/>
    <hyperlink r:id="rId929" ref="P416"/>
    <hyperlink r:id="rId930" ref="Q416"/>
    <hyperlink r:id="rId931" ref="R416"/>
    <hyperlink r:id="rId932" ref="S416"/>
    <hyperlink r:id="rId933" ref="L417"/>
    <hyperlink r:id="rId934" ref="M417"/>
    <hyperlink r:id="rId935" ref="L418"/>
    <hyperlink r:id="rId936" ref="M418"/>
    <hyperlink r:id="rId937" ref="N418"/>
    <hyperlink r:id="rId938" ref="O418"/>
    <hyperlink r:id="rId939" ref="P418"/>
    <hyperlink r:id="rId940" ref="L419"/>
    <hyperlink r:id="rId941" ref="M419"/>
    <hyperlink r:id="rId942" ref="N419"/>
    <hyperlink r:id="rId943" ref="O419"/>
    <hyperlink r:id="rId944" ref="P419"/>
    <hyperlink r:id="rId945" ref="Q419"/>
    <hyperlink r:id="rId946" ref="R419"/>
    <hyperlink r:id="rId947" ref="L420"/>
    <hyperlink r:id="rId948" ref="M420"/>
    <hyperlink r:id="rId949" ref="N420"/>
    <hyperlink r:id="rId950" ref="O420"/>
    <hyperlink r:id="rId951" ref="P420"/>
    <hyperlink r:id="rId952" ref="Q420"/>
    <hyperlink r:id="rId953" ref="R420"/>
    <hyperlink r:id="rId954" ref="S420"/>
    <hyperlink r:id="rId955" ref="L421"/>
    <hyperlink r:id="rId956" ref="N421"/>
    <hyperlink r:id="rId957" ref="O421"/>
    <hyperlink r:id="rId958" ref="P421"/>
    <hyperlink r:id="rId959" ref="Q421"/>
    <hyperlink r:id="rId960" ref="L422"/>
    <hyperlink r:id="rId961" ref="M422"/>
    <hyperlink r:id="rId962" ref="N422"/>
    <hyperlink r:id="rId963" ref="O422"/>
    <hyperlink r:id="rId964" ref="L423"/>
    <hyperlink r:id="rId965" ref="M423"/>
    <hyperlink r:id="rId966" ref="N423"/>
    <hyperlink r:id="rId967" ref="L424"/>
    <hyperlink r:id="rId968" ref="M424"/>
    <hyperlink r:id="rId969" ref="N424"/>
    <hyperlink r:id="rId970" ref="O424"/>
    <hyperlink r:id="rId971" ref="L425"/>
    <hyperlink r:id="rId972" ref="M425"/>
    <hyperlink r:id="rId973" ref="N425"/>
    <hyperlink r:id="rId974" ref="L426"/>
    <hyperlink r:id="rId975" ref="M426"/>
    <hyperlink r:id="rId976" ref="N426"/>
    <hyperlink r:id="rId977" ref="L427"/>
    <hyperlink r:id="rId978" ref="M427"/>
    <hyperlink r:id="rId979" ref="N427"/>
    <hyperlink r:id="rId980" ref="O427"/>
    <hyperlink r:id="rId981" ref="L428"/>
    <hyperlink r:id="rId982" ref="M428"/>
    <hyperlink r:id="rId983" ref="N428"/>
    <hyperlink r:id="rId984" ref="L429"/>
    <hyperlink r:id="rId985" ref="M429"/>
    <hyperlink r:id="rId986" ref="N429"/>
    <hyperlink r:id="rId987" ref="O429"/>
    <hyperlink r:id="rId988" ref="L430"/>
    <hyperlink r:id="rId989" ref="M430"/>
    <hyperlink r:id="rId990" ref="N430"/>
    <hyperlink r:id="rId991" ref="O430"/>
    <hyperlink r:id="rId992" ref="P430"/>
    <hyperlink r:id="rId993" ref="Q430"/>
    <hyperlink r:id="rId994" ref="R430"/>
    <hyperlink r:id="rId995" ref="S430"/>
    <hyperlink r:id="rId996" ref="L431"/>
    <hyperlink r:id="rId997" ref="M431"/>
    <hyperlink r:id="rId998" ref="N431"/>
    <hyperlink r:id="rId999" ref="L432"/>
    <hyperlink r:id="rId1000" ref="M432"/>
    <hyperlink r:id="rId1001" ref="L433"/>
    <hyperlink r:id="rId1002" ref="M433"/>
    <hyperlink r:id="rId1003" ref="N433"/>
    <hyperlink r:id="rId1004" ref="O433"/>
    <hyperlink r:id="rId1005" ref="P433"/>
    <hyperlink r:id="rId1006" ref="Q433"/>
    <hyperlink r:id="rId1007" ref="R433"/>
    <hyperlink r:id="rId1008" ref="S433"/>
    <hyperlink r:id="rId1009" ref="L434"/>
    <hyperlink r:id="rId1010" ref="M434"/>
    <hyperlink r:id="rId1011" ref="L435"/>
    <hyperlink r:id="rId1012" ref="M435"/>
    <hyperlink r:id="rId1013" ref="L436"/>
    <hyperlink r:id="rId1014" ref="M436"/>
    <hyperlink r:id="rId1015" ref="N436"/>
    <hyperlink r:id="rId1016" ref="O436"/>
  </hyperlinks>
  <drawing r:id="rId10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2663</v>
      </c>
    </row>
    <row r="2">
      <c r="A2" s="16" t="s">
        <v>2664</v>
      </c>
      <c r="B2" s="16" t="s">
        <v>2665</v>
      </c>
    </row>
    <row r="3">
      <c r="A3" s="16" t="s">
        <v>2666</v>
      </c>
      <c r="B3" s="16" t="s">
        <v>2667</v>
      </c>
    </row>
    <row r="4">
      <c r="A4" s="16" t="s">
        <v>2668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2669</v>
      </c>
      <c r="B1" s="112"/>
      <c r="C1" s="113" t="s">
        <v>2670</v>
      </c>
      <c r="D1" s="114" t="s">
        <v>2671</v>
      </c>
      <c r="E1" s="114" t="s">
        <v>28</v>
      </c>
      <c r="F1" s="114" t="s">
        <v>72</v>
      </c>
      <c r="G1" s="115" t="s">
        <v>34</v>
      </c>
      <c r="H1" s="28"/>
      <c r="I1" s="116" t="s">
        <v>2672</v>
      </c>
      <c r="J1" s="116" t="s">
        <v>2673</v>
      </c>
      <c r="K1" s="116" t="s">
        <v>2674</v>
      </c>
    </row>
    <row r="2">
      <c r="A2" s="117">
        <f>IFERROR(__xludf.DUMMYFUNCTION("COUNTIF(QUERY(Cards!A:J,""SELECT A WHERE D="" &amp; $A$4) ,""*"")-1"),240.0)</f>
        <v>240</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2675</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2676</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2677</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2678</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2679</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2680</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2681</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2682</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2683</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2684</v>
      </c>
      <c r="J13" s="137">
        <f>ROUND(AVERAGE('Extended Card Stats'!H:H),2)</f>
        <v>3.24</v>
      </c>
      <c r="K13" s="137">
        <f>ROUND(AVERAGE('Extended Card Stats'!K:K),2)</f>
        <v>2.84</v>
      </c>
    </row>
    <row r="14">
      <c r="B14" s="132" t="s">
        <v>2685</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2686</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2687</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2688</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2689</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2690</v>
      </c>
      <c r="C20" s="143"/>
      <c r="D20" s="144">
        <f>IFERROR(__xludf.DUMMYFUNCTION("IFNA(QUERY(Cards!$A:$J,""select count(A) where (D="" &amp; $A$4 &amp; "") label Count(A) ''""),0)"),240.0)</f>
        <v>240</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2691</v>
      </c>
      <c r="K20" s="146" t="s">
        <v>2692</v>
      </c>
      <c r="L20" s="147" t="s">
        <v>2693</v>
      </c>
      <c r="M20" s="148" t="s">
        <v>2694</v>
      </c>
      <c r="N20" s="149" t="s">
        <v>2695</v>
      </c>
      <c r="O20" s="150" t="s">
        <v>2696</v>
      </c>
      <c r="Q20" s="142" t="s">
        <v>2697</v>
      </c>
      <c r="R20" s="151" t="s">
        <v>28</v>
      </c>
      <c r="S20" s="151" t="s">
        <v>72</v>
      </c>
      <c r="T20" s="151" t="s">
        <v>34</v>
      </c>
      <c r="U20" s="152" t="s">
        <v>2698</v>
      </c>
      <c r="V20" s="153"/>
    </row>
    <row r="21">
      <c r="B21" s="154">
        <f>3*$E$20 + 2*$F$20 + $G$20</f>
        <v>479</v>
      </c>
      <c r="C21" s="155"/>
      <c r="D21" s="156">
        <v>1.0</v>
      </c>
      <c r="E21" s="157" t="str">
        <f t="shared" ref="E21:G21" si="1">ROUND(E$20/$D$20*100,2) &amp; "%"</f>
        <v>42,5%</v>
      </c>
      <c r="F21" s="157" t="str">
        <f t="shared" si="1"/>
        <v>25%</v>
      </c>
      <c r="G21" s="158" t="str">
        <f t="shared" si="1"/>
        <v>22,08%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0.1041666667</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0.1083333333</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0.1375</v>
      </c>
    </row>
    <row r="24">
      <c r="B24" s="142" t="s">
        <v>2699</v>
      </c>
      <c r="C24" s="151" t="s">
        <v>28</v>
      </c>
      <c r="D24" s="151" t="s">
        <v>72</v>
      </c>
      <c r="E24" s="151" t="s">
        <v>34</v>
      </c>
      <c r="F24" s="152" t="s">
        <v>2698</v>
      </c>
      <c r="G24" s="166" t="s">
        <v>2700</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0.02083333333</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0.09583333333</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0.01666666667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0.1083333333</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0.02083333333</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0.1458333333</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0.1291666667</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0.0375</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0.08333333333</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0.1166666667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0.09583333333</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0.07083333333</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0.02083333333</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0.04166666667</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0.0875</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0.09166666667</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0.1041666667</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0.07083333333</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0.1666666667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2701</v>
      </c>
      <c r="B1" s="182" t="s">
        <v>2702</v>
      </c>
      <c r="C1" s="182" t="s">
        <v>2703</v>
      </c>
      <c r="D1" s="183" t="s">
        <v>2704</v>
      </c>
      <c r="E1" s="183" t="s">
        <v>2703</v>
      </c>
    </row>
    <row r="2">
      <c r="A2" s="184" t="str">
        <f>IFERROR(__xludf.DUMMYFUNCTION("FLATTEN(UNIQUE(MAP(QUERY(Cards!$A$2:A5041,""select A""),LAMBDA(x,SPLIT(x,"" "")))))"),"Aethergolem")</f>
        <v>Aethergolem</v>
      </c>
      <c r="B2" s="185" t="str">
        <f>IFERROR(__xludf.DUMMYFUNCTION("UNIQUE($A$2:$A5041)"),"Aethergolem")</f>
        <v>Aethergolem</v>
      </c>
      <c r="C2" s="185">
        <f t="shared" ref="C2:C826" si="1">COUNTIF($A$2:A5041,$B2)</f>
        <v>1</v>
      </c>
      <c r="D2" s="20" t="str">
        <f t="array" ref="D2:E5041">SORT($B$2:$C5041,2,FALSE)</f>
        <v>of</v>
      </c>
      <c r="E2" s="20">
        <v>36.0</v>
      </c>
    </row>
    <row r="3">
      <c r="A3" s="184"/>
      <c r="B3" s="185"/>
      <c r="C3" s="185">
        <f t="shared" si="1"/>
        <v>0</v>
      </c>
      <c r="D3" s="20" t="s">
        <v>2705</v>
      </c>
      <c r="E3" s="20">
        <v>31.0</v>
      </c>
    </row>
    <row r="4">
      <c r="A4" s="184"/>
      <c r="B4" s="185" t="str">
        <f>IFERROR(__xludf.DUMMYFUNCTION("""COMPUTED_VALUE"""),"Alabaster")</f>
        <v>Alabaster</v>
      </c>
      <c r="C4" s="185">
        <f t="shared" si="1"/>
        <v>1</v>
      </c>
      <c r="D4" s="20" t="s">
        <v>2706</v>
      </c>
      <c r="E4" s="20">
        <v>31.0</v>
      </c>
    </row>
    <row r="5">
      <c r="A5" s="184"/>
      <c r="B5" s="185" t="str">
        <f>IFERROR(__xludf.DUMMYFUNCTION("""COMPUTED_VALUE"""),"Exarch")</f>
        <v>Exarch</v>
      </c>
      <c r="C5" s="185">
        <f t="shared" si="1"/>
        <v>1</v>
      </c>
      <c r="D5" s="20" t="s">
        <v>2626</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2681</v>
      </c>
      <c r="E8" s="20">
        <v>5.0</v>
      </c>
    </row>
    <row r="9">
      <c r="A9" s="184"/>
      <c r="B9" s="185" t="str">
        <f>IFERROR(__xludf.DUMMYFUNCTION("""COMPUTED_VALUE"""),"Force")</f>
        <v>Force</v>
      </c>
      <c r="C9" s="185">
        <f t="shared" si="1"/>
        <v>1</v>
      </c>
      <c r="D9" s="20" t="s">
        <v>2689</v>
      </c>
      <c r="E9" s="20">
        <v>5.0</v>
      </c>
    </row>
    <row r="10">
      <c r="A10" s="184"/>
      <c r="B10" s="185" t="str">
        <f>IFERROR(__xludf.DUMMYFUNCTION("""COMPUTED_VALUE"""),"Baby")</f>
        <v>Baby</v>
      </c>
      <c r="C10" s="185">
        <f t="shared" si="1"/>
        <v>1</v>
      </c>
      <c r="D10" s="20" t="s">
        <v>2707</v>
      </c>
      <c r="E10" s="20">
        <v>5.0</v>
      </c>
    </row>
    <row r="11">
      <c r="A11" s="184"/>
      <c r="B11" s="185" t="str">
        <f>IFERROR(__xludf.DUMMYFUNCTION("""COMPUTED_VALUE"""),"Lamassu")</f>
        <v>Lamassu</v>
      </c>
      <c r="C11" s="185">
        <f t="shared" si="1"/>
        <v>1</v>
      </c>
      <c r="D11" s="20" t="s">
        <v>2708</v>
      </c>
      <c r="E11" s="20">
        <v>4.0</v>
      </c>
    </row>
    <row r="12">
      <c r="A12" s="184" t="str">
        <f>IFERROR(__xludf.DUMMYFUNCTION("""COMPUTED_VALUE"""),"Ascendant")</f>
        <v>Ascendant</v>
      </c>
      <c r="B12" s="185" t="str">
        <f>IFERROR(__xludf.DUMMYFUNCTION("""COMPUTED_VALUE"""),"Blackmarble")</f>
        <v>Blackmarble</v>
      </c>
      <c r="C12" s="185">
        <f t="shared" si="1"/>
        <v>1</v>
      </c>
      <c r="D12" s="20" t="s">
        <v>2709</v>
      </c>
      <c r="E12" s="20">
        <v>4.0</v>
      </c>
    </row>
    <row r="13">
      <c r="A13" s="184" t="str">
        <f>IFERROR(__xludf.DUMMYFUNCTION("""COMPUTED_VALUE"""),"Faithweaver")</f>
        <v>Faithweaver</v>
      </c>
      <c r="B13" s="185" t="str">
        <f>IFERROR(__xludf.DUMMYFUNCTION("""COMPUTED_VALUE"""),"Gargoyle")</f>
        <v>Gargoyle</v>
      </c>
      <c r="C13" s="185">
        <f t="shared" si="1"/>
        <v>1</v>
      </c>
      <c r="D13" s="20" t="s">
        <v>2679</v>
      </c>
      <c r="E13" s="20">
        <v>4.0</v>
      </c>
    </row>
    <row r="14">
      <c r="A14" s="184"/>
      <c r="B14" s="185" t="str">
        <f>IFERROR(__xludf.DUMMYFUNCTION("""COMPUTED_VALUE"""),"Chronosand")</f>
        <v>Chronosand</v>
      </c>
      <c r="C14" s="185">
        <f t="shared" si="1"/>
        <v>1</v>
      </c>
      <c r="D14" s="20" t="s">
        <v>2710</v>
      </c>
      <c r="E14" s="20">
        <v>4.0</v>
      </c>
    </row>
    <row r="15">
      <c r="A15" s="184"/>
      <c r="B15" s="185" t="str">
        <f>IFERROR(__xludf.DUMMYFUNCTION("""COMPUTED_VALUE"""),"Sphinx")</f>
        <v>Sphinx</v>
      </c>
      <c r="C15" s="185">
        <f t="shared" si="1"/>
        <v>2</v>
      </c>
      <c r="D15" s="20" t="s">
        <v>2686</v>
      </c>
      <c r="E15" s="20">
        <v>4.0</v>
      </c>
    </row>
    <row r="16">
      <c r="A16" s="184"/>
      <c r="B16" s="185" t="str">
        <f>IFERROR(__xludf.DUMMYFUNCTION("""COMPUTED_VALUE"""),"Crusader")</f>
        <v>Crusader</v>
      </c>
      <c r="C16" s="185">
        <f t="shared" si="1"/>
        <v>7</v>
      </c>
      <c r="D16" s="20" t="s">
        <v>2685</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2711</v>
      </c>
      <c r="E18" s="20">
        <v>3.0</v>
      </c>
    </row>
    <row r="19">
      <c r="A19" s="184"/>
      <c r="B19" s="185" t="str">
        <f>IFERROR(__xludf.DUMMYFUNCTION("""COMPUTED_VALUE"""),"Desert")</f>
        <v>Desert</v>
      </c>
      <c r="C19" s="185">
        <f t="shared" si="1"/>
        <v>2</v>
      </c>
      <c r="D19" s="20" t="s">
        <v>2712</v>
      </c>
      <c r="E19" s="20">
        <v>3.0</v>
      </c>
    </row>
    <row r="20">
      <c r="A20" s="184"/>
      <c r="B20" s="185" t="str">
        <f>IFERROR(__xludf.DUMMYFUNCTION("""COMPUTED_VALUE"""),"Winds")</f>
        <v>Winds</v>
      </c>
      <c r="C20" s="185">
        <f t="shared" si="1"/>
        <v>1</v>
      </c>
      <c r="D20" s="20" t="s">
        <v>2713</v>
      </c>
      <c r="E20" s="20">
        <v>3.0</v>
      </c>
    </row>
    <row r="21">
      <c r="A21" s="184"/>
      <c r="B21" s="185" t="str">
        <f>IFERROR(__xludf.DUMMYFUNCTION("""COMPUTED_VALUE"""),"Cryptosphinx")</f>
        <v>Cryptosphinx</v>
      </c>
      <c r="C21" s="185">
        <f t="shared" si="1"/>
        <v>1</v>
      </c>
      <c r="D21" s="20" t="s">
        <v>2714</v>
      </c>
      <c r="E21" s="20">
        <v>3.0</v>
      </c>
    </row>
    <row r="22">
      <c r="A22" s="184" t="str">
        <f>IFERROR(__xludf.DUMMYFUNCTION("""COMPUTED_VALUE"""),"Baby")</f>
        <v>Baby</v>
      </c>
      <c r="B22" s="185" t="str">
        <f>IFERROR(__xludf.DUMMYFUNCTION("""COMPUTED_VALUE"""),"Damaged")</f>
        <v>Damaged</v>
      </c>
      <c r="C22" s="185">
        <f t="shared" si="1"/>
        <v>1</v>
      </c>
      <c r="D22" s="20" t="s">
        <v>2715</v>
      </c>
      <c r="E22" s="20">
        <v>3.0</v>
      </c>
    </row>
    <row r="23">
      <c r="A23" s="184" t="str">
        <f>IFERROR(__xludf.DUMMYFUNCTION("""COMPUTED_VALUE"""),"Lamassu")</f>
        <v>Lamassu</v>
      </c>
      <c r="B23" s="185" t="str">
        <f>IFERROR(__xludf.DUMMYFUNCTION("""COMPUTED_VALUE"""),"Automaton")</f>
        <v>Automaton</v>
      </c>
      <c r="C23" s="185">
        <f t="shared" si="1"/>
        <v>2</v>
      </c>
      <c r="D23" s="20" t="s">
        <v>2716</v>
      </c>
      <c r="E23" s="20">
        <v>3.0</v>
      </c>
    </row>
    <row r="24">
      <c r="A24" s="184"/>
      <c r="B24" s="185" t="str">
        <f>IFERROR(__xludf.DUMMYFUNCTION("""COMPUTED_VALUE"""),"Diviner")</f>
        <v>Diviner</v>
      </c>
      <c r="C24" s="185">
        <f t="shared" si="1"/>
        <v>2</v>
      </c>
      <c r="D24" s="20" t="s">
        <v>2717</v>
      </c>
      <c r="E24" s="20">
        <v>3.0</v>
      </c>
    </row>
    <row r="25">
      <c r="A25" s="184"/>
      <c r="B25" s="185" t="str">
        <f>IFERROR(__xludf.DUMMYFUNCTION("""COMPUTED_VALUE"""),"Fates")</f>
        <v>Fates</v>
      </c>
      <c r="C25" s="185">
        <f t="shared" si="1"/>
        <v>1</v>
      </c>
      <c r="D25" s="20" t="s">
        <v>2688</v>
      </c>
      <c r="E25" s="20">
        <v>3.0</v>
      </c>
    </row>
    <row r="26">
      <c r="A26" s="184"/>
      <c r="B26" s="185" t="str">
        <f>IFERROR(__xludf.DUMMYFUNCTION("""COMPUTED_VALUE"""),"Doma")</f>
        <v>Doma</v>
      </c>
      <c r="C26" s="185">
        <f t="shared" si="1"/>
        <v>1</v>
      </c>
      <c r="D26" s="20" t="s">
        <v>2718</v>
      </c>
      <c r="E26" s="20">
        <v>3.0</v>
      </c>
    </row>
    <row r="27">
      <c r="A27" s="184" t="str">
        <f>IFERROR(__xludf.DUMMYFUNCTION("""COMPUTED_VALUE"""),"Blackmarble")</f>
        <v>Blackmarble</v>
      </c>
      <c r="B27" s="185" t="str">
        <f>IFERROR(__xludf.DUMMYFUNCTION("""COMPUTED_VALUE"""),"Angel")</f>
        <v>Angel</v>
      </c>
      <c r="C27" s="185">
        <f t="shared" si="1"/>
        <v>3</v>
      </c>
      <c r="D27" s="20" t="s">
        <v>2719</v>
      </c>
      <c r="E27" s="20">
        <v>3.0</v>
      </c>
    </row>
    <row r="28">
      <c r="A28" s="184" t="str">
        <f>IFERROR(__xludf.DUMMYFUNCTION("""COMPUTED_VALUE"""),"Gargoyle")</f>
        <v>Gargoyle</v>
      </c>
      <c r="B28" s="185" t="str">
        <f>IFERROR(__xludf.DUMMYFUNCTION("""COMPUTED_VALUE"""),"Dove")</f>
        <v>Dove</v>
      </c>
      <c r="C28" s="185">
        <f t="shared" si="1"/>
        <v>1</v>
      </c>
      <c r="D28" s="20" t="s">
        <v>2720</v>
      </c>
      <c r="E28" s="20">
        <v>3.0</v>
      </c>
    </row>
    <row r="29">
      <c r="A29" s="184"/>
      <c r="B29" s="185" t="str">
        <f>IFERROR(__xludf.DUMMYFUNCTION("""COMPUTED_VALUE"""),"Serenity")</f>
        <v>Serenity</v>
      </c>
      <c r="C29" s="185">
        <f t="shared" si="1"/>
        <v>1</v>
      </c>
      <c r="D29" s="20" t="s">
        <v>2721</v>
      </c>
      <c r="E29" s="20">
        <v>3.0</v>
      </c>
    </row>
    <row r="30">
      <c r="A30" s="184"/>
      <c r="B30" s="185" t="str">
        <f>IFERROR(__xludf.DUMMYFUNCTION("""COMPUTED_VALUE"""),"Dream")</f>
        <v>Dream</v>
      </c>
      <c r="C30" s="185">
        <f t="shared" si="1"/>
        <v>1</v>
      </c>
      <c r="D30" s="20" t="s">
        <v>2722</v>
      </c>
      <c r="E30" s="20">
        <v>3.0</v>
      </c>
    </row>
    <row r="31">
      <c r="A31" s="184"/>
      <c r="B31" s="185" t="str">
        <f>IFERROR(__xludf.DUMMYFUNCTION("""COMPUTED_VALUE"""),"Traveler")</f>
        <v>Traveler</v>
      </c>
      <c r="C31" s="185">
        <f t="shared" si="1"/>
        <v>1</v>
      </c>
      <c r="D31" s="20" t="s">
        <v>2723</v>
      </c>
      <c r="E31" s="20">
        <v>2.0</v>
      </c>
    </row>
    <row r="32">
      <c r="A32" s="184" t="str">
        <f>IFERROR(__xludf.DUMMYFUNCTION("""COMPUTED_VALUE"""),"Chronosand")</f>
        <v>Chronosand</v>
      </c>
      <c r="B32" s="185" t="str">
        <f>IFERROR(__xludf.DUMMYFUNCTION("""COMPUTED_VALUE"""),"Embalmed")</f>
        <v>Embalmed</v>
      </c>
      <c r="C32" s="185">
        <f t="shared" si="1"/>
        <v>1</v>
      </c>
      <c r="D32" s="20" t="s">
        <v>2724</v>
      </c>
      <c r="E32" s="20">
        <v>2.0</v>
      </c>
    </row>
    <row r="33">
      <c r="A33" s="184" t="str">
        <f>IFERROR(__xludf.DUMMYFUNCTION("""COMPUTED_VALUE"""),"Sphinx")</f>
        <v>Sphinx</v>
      </c>
      <c r="B33" s="185" t="str">
        <f>IFERROR(__xludf.DUMMYFUNCTION("""COMPUTED_VALUE"""),"Apophis")</f>
        <v>Apophis</v>
      </c>
      <c r="C33" s="185">
        <f t="shared" si="1"/>
        <v>1</v>
      </c>
      <c r="D33" s="20" t="s">
        <v>2725</v>
      </c>
      <c r="E33" s="20">
        <v>2.0</v>
      </c>
    </row>
    <row r="34">
      <c r="A34" s="184"/>
      <c r="B34" s="185" t="str">
        <f>IFERROR(__xludf.DUMMYFUNCTION("""COMPUTED_VALUE"""),"Feline")</f>
        <v>Feline</v>
      </c>
      <c r="C34" s="185">
        <f t="shared" si="1"/>
        <v>1</v>
      </c>
      <c r="D34" s="20" t="s">
        <v>2726</v>
      </c>
      <c r="E34" s="20">
        <v>2.0</v>
      </c>
    </row>
    <row r="35">
      <c r="A35" s="184"/>
      <c r="B35" s="185" t="str">
        <f>IFERROR(__xludf.DUMMYFUNCTION("""COMPUTED_VALUE"""),"Ushabti")</f>
        <v>Ushabti</v>
      </c>
      <c r="C35" s="185">
        <f t="shared" si="1"/>
        <v>4</v>
      </c>
      <c r="D35" s="20" t="s">
        <v>2727</v>
      </c>
      <c r="E35" s="20">
        <v>2.0</v>
      </c>
    </row>
    <row r="36">
      <c r="A36" s="184"/>
      <c r="B36" s="185" t="str">
        <f>IFERROR(__xludf.DUMMYFUNCTION("""COMPUTED_VALUE"""),"Guardian")</f>
        <v>Guardian</v>
      </c>
      <c r="C36" s="185">
        <f t="shared" si="1"/>
        <v>4</v>
      </c>
      <c r="D36" s="20" t="s">
        <v>2728</v>
      </c>
      <c r="E36" s="20">
        <v>2.0</v>
      </c>
    </row>
    <row r="37">
      <c r="A37" s="184" t="str">
        <f>IFERROR(__xludf.DUMMYFUNCTION("""COMPUTED_VALUE"""),"Crusader")</f>
        <v>Crusader</v>
      </c>
      <c r="B37" s="185" t="str">
        <f>IFERROR(__xludf.DUMMYFUNCTION("""COMPUTED_VALUE"""),"Gates")</f>
        <v>Gates</v>
      </c>
      <c r="C37" s="185">
        <f t="shared" si="1"/>
        <v>1</v>
      </c>
      <c r="D37" s="20" t="s">
        <v>2729</v>
      </c>
      <c r="E37" s="20">
        <v>2.0</v>
      </c>
    </row>
    <row r="38">
      <c r="A38" s="184" t="str">
        <f>IFERROR(__xludf.DUMMYFUNCTION("""COMPUTED_VALUE"""),"of")</f>
        <v>of</v>
      </c>
      <c r="B38" s="185" t="str">
        <f>IFERROR(__xludf.DUMMYFUNCTION("""COMPUTED_VALUE"""),"Hallowed")</f>
        <v>Hallowed</v>
      </c>
      <c r="C38" s="185">
        <f t="shared" si="1"/>
        <v>1</v>
      </c>
      <c r="D38" s="20" t="s">
        <v>2730</v>
      </c>
      <c r="E38" s="20">
        <v>2.0</v>
      </c>
    </row>
    <row r="39">
      <c r="A39" s="184" t="str">
        <f>IFERROR(__xludf.DUMMYFUNCTION("""COMPUTED_VALUE"""),"the")</f>
        <v>the</v>
      </c>
      <c r="B39" s="185" t="str">
        <f>IFERROR(__xludf.DUMMYFUNCTION("""COMPUTED_VALUE"""),"Exorcist")</f>
        <v>Exorcist</v>
      </c>
      <c r="C39" s="185">
        <f t="shared" si="1"/>
        <v>1</v>
      </c>
      <c r="D39" s="20" t="s">
        <v>2731</v>
      </c>
      <c r="E39" s="20">
        <v>2.0</v>
      </c>
    </row>
    <row r="40">
      <c r="A40" s="184" t="str">
        <f>IFERROR(__xludf.DUMMYFUNCTION("""COMPUTED_VALUE"""),"Desert")</f>
        <v>Desert</v>
      </c>
      <c r="B40" s="185" t="str">
        <f>IFERROR(__xludf.DUMMYFUNCTION("""COMPUTED_VALUE"""),"Harmonic")</f>
        <v>Harmonic</v>
      </c>
      <c r="C40" s="185">
        <f t="shared" si="1"/>
        <v>1</v>
      </c>
      <c r="D40" s="20" t="s">
        <v>2344</v>
      </c>
      <c r="E40" s="20">
        <v>2.0</v>
      </c>
    </row>
    <row r="41">
      <c r="A41" s="184" t="str">
        <f>IFERROR(__xludf.DUMMYFUNCTION("""COMPUTED_VALUE"""),"Winds")</f>
        <v>Winds</v>
      </c>
      <c r="B41" s="185" t="str">
        <f>IFERROR(__xludf.DUMMYFUNCTION("""COMPUTED_VALUE"""),"Echo")</f>
        <v>Echo</v>
      </c>
      <c r="C41" s="185">
        <f t="shared" si="1"/>
        <v>2</v>
      </c>
      <c r="D41" s="20" t="s">
        <v>2732</v>
      </c>
      <c r="E41" s="20">
        <v>2.0</v>
      </c>
    </row>
    <row r="42">
      <c r="A42" s="184" t="str">
        <f>IFERROR(__xludf.DUMMYFUNCTION("""COMPUTED_VALUE"""),"Cryptosphinx")</f>
        <v>Cryptosphinx</v>
      </c>
      <c r="B42" s="185" t="str">
        <f>IFERROR(__xludf.DUMMYFUNCTION("""COMPUTED_VALUE"""),"Ibis")</f>
        <v>Ibis</v>
      </c>
      <c r="C42" s="185">
        <f t="shared" si="1"/>
        <v>1</v>
      </c>
      <c r="D42" s="20" t="s">
        <v>2733</v>
      </c>
      <c r="E42" s="20">
        <v>2.0</v>
      </c>
    </row>
    <row r="43">
      <c r="A43" s="184"/>
      <c r="B43" s="185" t="str">
        <f>IFERROR(__xludf.DUMMYFUNCTION("""COMPUTED_VALUE"""),"Herald")</f>
        <v>Herald</v>
      </c>
      <c r="C43" s="185">
        <f t="shared" si="1"/>
        <v>1</v>
      </c>
      <c r="D43" s="20" t="s">
        <v>2734</v>
      </c>
      <c r="E43" s="20">
        <v>2.0</v>
      </c>
    </row>
    <row r="44">
      <c r="A44" s="184"/>
      <c r="B44" s="185" t="str">
        <f>IFERROR(__xludf.DUMMYFUNCTION("""COMPUTED_VALUE"""),"Eternal")</f>
        <v>Eternal</v>
      </c>
      <c r="C44" s="185">
        <f t="shared" si="1"/>
        <v>1</v>
      </c>
      <c r="D44" s="20" t="s">
        <v>2735</v>
      </c>
      <c r="E44" s="20">
        <v>2.0</v>
      </c>
    </row>
    <row r="45">
      <c r="A45" s="184"/>
      <c r="B45" s="185" t="str">
        <f>IFERROR(__xludf.DUMMYFUNCTION("""COMPUTED_VALUE"""),"Grace")</f>
        <v>Grace</v>
      </c>
      <c r="C45" s="185">
        <f t="shared" si="1"/>
        <v>1</v>
      </c>
      <c r="D45" s="20" t="s">
        <v>2736</v>
      </c>
      <c r="E45" s="20">
        <v>2.0</v>
      </c>
    </row>
    <row r="46">
      <c r="A46" s="184"/>
      <c r="B46" s="185" t="str">
        <f>IFERROR(__xludf.DUMMYFUNCTION("""COMPUTED_VALUE"""),"Maze")</f>
        <v>Maze</v>
      </c>
      <c r="C46" s="185">
        <f t="shared" si="1"/>
        <v>1</v>
      </c>
      <c r="D46" s="20" t="s">
        <v>2737</v>
      </c>
      <c r="E46" s="20">
        <v>2.0</v>
      </c>
    </row>
    <row r="47">
      <c r="A47" s="184" t="str">
        <f>IFERROR(__xludf.DUMMYFUNCTION("""COMPUTED_VALUE"""),"Damaged")</f>
        <v>Damaged</v>
      </c>
      <c r="B47" s="185" t="str">
        <f>IFERROR(__xludf.DUMMYFUNCTION("""COMPUTED_VALUE"""),"Master")</f>
        <v>Master</v>
      </c>
      <c r="C47" s="185">
        <f t="shared" si="1"/>
        <v>3</v>
      </c>
      <c r="D47" s="20" t="s">
        <v>2738</v>
      </c>
      <c r="E47" s="20">
        <v>2.0</v>
      </c>
    </row>
    <row r="48">
      <c r="A48" s="184" t="str">
        <f>IFERROR(__xludf.DUMMYFUNCTION("""COMPUTED_VALUE"""),"Automaton")</f>
        <v>Automaton</v>
      </c>
      <c r="B48" s="185" t="str">
        <f>IFERROR(__xludf.DUMMYFUNCTION("""COMPUTED_VALUE"""),"Ivoryscar")</f>
        <v>Ivoryscar</v>
      </c>
      <c r="C48" s="185">
        <f t="shared" si="1"/>
        <v>4</v>
      </c>
      <c r="D48" s="20" t="s">
        <v>2739</v>
      </c>
      <c r="E48" s="20">
        <v>2.0</v>
      </c>
    </row>
    <row r="49">
      <c r="A49" s="184"/>
      <c r="B49" s="185" t="str">
        <f>IFERROR(__xludf.DUMMYFUNCTION("""COMPUTED_VALUE"""),"Cursewing")</f>
        <v>Cursewing</v>
      </c>
      <c r="C49" s="185">
        <f t="shared" si="1"/>
        <v>1</v>
      </c>
      <c r="D49" s="20" t="s">
        <v>2740</v>
      </c>
      <c r="E49" s="20">
        <v>2.0</v>
      </c>
    </row>
    <row r="50">
      <c r="A50" s="184"/>
      <c r="B50" s="185" t="str">
        <f>IFERROR(__xludf.DUMMYFUNCTION("""COMPUTED_VALUE"""),"Magistrate")</f>
        <v>Magistrate</v>
      </c>
      <c r="C50" s="185">
        <f t="shared" si="1"/>
        <v>1</v>
      </c>
      <c r="D50" s="20" t="s">
        <v>2741</v>
      </c>
      <c r="E50" s="20">
        <v>2.0</v>
      </c>
    </row>
    <row r="51">
      <c r="A51" s="184"/>
      <c r="B51" s="185" t="str">
        <f>IFERROR(__xludf.DUMMYFUNCTION("""COMPUTED_VALUE"""),"Kylix")</f>
        <v>Kylix</v>
      </c>
      <c r="C51" s="185">
        <f t="shared" si="1"/>
        <v>1</v>
      </c>
      <c r="D51" s="20" t="s">
        <v>2742</v>
      </c>
      <c r="E51" s="20">
        <v>2.0</v>
      </c>
    </row>
    <row r="52">
      <c r="A52" s="184" t="str">
        <f>IFERROR(__xludf.DUMMYFUNCTION("""COMPUTED_VALUE"""),"Diviner")</f>
        <v>Diviner</v>
      </c>
      <c r="B52" s="185" t="str">
        <f>IFERROR(__xludf.DUMMYFUNCTION("""COMPUTED_VALUE"""),"Excess")</f>
        <v>Excess</v>
      </c>
      <c r="C52" s="185">
        <f t="shared" si="1"/>
        <v>1</v>
      </c>
      <c r="D52" s="20" t="s">
        <v>2743</v>
      </c>
      <c r="E52" s="20">
        <v>2.0</v>
      </c>
    </row>
    <row r="53">
      <c r="A53" s="184" t="str">
        <f>IFERROR(__xludf.DUMMYFUNCTION("""COMPUTED_VALUE"""),"of")</f>
        <v>of</v>
      </c>
      <c r="B53" s="185" t="str">
        <f>IFERROR(__xludf.DUMMYFUNCTION("""COMPUTED_VALUE"""),"Mystic")</f>
        <v>Mystic</v>
      </c>
      <c r="C53" s="185">
        <f t="shared" si="1"/>
        <v>1</v>
      </c>
      <c r="D53" s="20" t="s">
        <v>2744</v>
      </c>
      <c r="E53" s="20">
        <v>2.0</v>
      </c>
    </row>
    <row r="54">
      <c r="A54" s="184" t="str">
        <f>IFERROR(__xludf.DUMMYFUNCTION("""COMPUTED_VALUE"""),"Fates")</f>
        <v>Fates</v>
      </c>
      <c r="B54" s="185" t="str">
        <f>IFERROR(__xludf.DUMMYFUNCTION("""COMPUTED_VALUE"""),"Puzzle")</f>
        <v>Puzzle</v>
      </c>
      <c r="C54" s="185">
        <f t="shared" si="1"/>
        <v>1</v>
      </c>
      <c r="D54" s="20" t="s">
        <v>2745</v>
      </c>
      <c r="E54" s="20">
        <v>2.0</v>
      </c>
    </row>
    <row r="55">
      <c r="A55" s="184"/>
      <c r="B55" s="185" t="str">
        <f>IFERROR(__xludf.DUMMYFUNCTION("""COMPUTED_VALUE"""),"Box")</f>
        <v>Box</v>
      </c>
      <c r="C55" s="185">
        <f t="shared" si="1"/>
        <v>1</v>
      </c>
      <c r="D55" s="20" t="s">
        <v>2746</v>
      </c>
      <c r="E55" s="20">
        <v>2.0</v>
      </c>
    </row>
    <row r="56">
      <c r="A56" s="184"/>
      <c r="B56" s="185" t="str">
        <f>IFERROR(__xludf.DUMMYFUNCTION("""COMPUTED_VALUE"""),"Monolith")</f>
        <v>Monolith</v>
      </c>
      <c r="C56" s="185">
        <f t="shared" si="1"/>
        <v>1</v>
      </c>
      <c r="D56" s="20" t="s">
        <v>2747</v>
      </c>
      <c r="E56" s="20">
        <v>2.0</v>
      </c>
    </row>
    <row r="57">
      <c r="A57" s="184" t="str">
        <f>IFERROR(__xludf.DUMMYFUNCTION("""COMPUTED_VALUE"""),"Doma")</f>
        <v>Doma</v>
      </c>
      <c r="B57" s="185" t="str">
        <f>IFERROR(__xludf.DUMMYFUNCTION("""COMPUTED_VALUE"""),"Meditation")</f>
        <v>Meditation</v>
      </c>
      <c r="C57" s="185">
        <f t="shared" si="1"/>
        <v>1</v>
      </c>
      <c r="D57" s="20" t="s">
        <v>2748</v>
      </c>
      <c r="E57" s="20">
        <v>2.0</v>
      </c>
    </row>
    <row r="58">
      <c r="A58" s="184" t="str">
        <f>IFERROR(__xludf.DUMMYFUNCTION("""COMPUTED_VALUE"""),"Angel")</f>
        <v>Angel</v>
      </c>
      <c r="B58" s="185" t="str">
        <f>IFERROR(__xludf.DUMMYFUNCTION("""COMPUTED_VALUE"""),"Oasis")</f>
        <v>Oasis</v>
      </c>
      <c r="C58" s="185">
        <f t="shared" si="1"/>
        <v>1</v>
      </c>
      <c r="D58" s="20" t="s">
        <v>2683</v>
      </c>
      <c r="E58" s="20">
        <v>2.0</v>
      </c>
    </row>
    <row r="59">
      <c r="A59" s="184"/>
      <c r="B59" s="185" t="str">
        <f>IFERROR(__xludf.DUMMYFUNCTION("""COMPUTED_VALUE"""),"Sprite")</f>
        <v>Sprite</v>
      </c>
      <c r="C59" s="185">
        <f t="shared" si="1"/>
        <v>4</v>
      </c>
      <c r="D59" s="20" t="s">
        <v>2749</v>
      </c>
      <c r="E59" s="20">
        <v>2.0</v>
      </c>
    </row>
    <row r="60">
      <c r="A60" s="184"/>
      <c r="B60" s="185" t="str">
        <f>IFERROR(__xludf.DUMMYFUNCTION("""COMPUTED_VALUE"""),"Pharaoh's")</f>
        <v>Pharaoh's</v>
      </c>
      <c r="C60" s="185">
        <f t="shared" si="1"/>
        <v>1</v>
      </c>
      <c r="D60" s="20" t="s">
        <v>2750</v>
      </c>
      <c r="E60" s="20">
        <v>2.0</v>
      </c>
    </row>
    <row r="61">
      <c r="A61" s="184"/>
      <c r="B61" s="185" t="str">
        <f>IFERROR(__xludf.DUMMYFUNCTION("""COMPUTED_VALUE"""),"Bodyguard")</f>
        <v>Bodyguard</v>
      </c>
      <c r="C61" s="185">
        <f t="shared" si="1"/>
        <v>1</v>
      </c>
      <c r="D61" s="20" t="s">
        <v>2751</v>
      </c>
      <c r="E61" s="20">
        <v>2.0</v>
      </c>
    </row>
    <row r="62">
      <c r="A62" s="184" t="str">
        <f>IFERROR(__xludf.DUMMYFUNCTION("""COMPUTED_VALUE"""),"Dove")</f>
        <v>Dove</v>
      </c>
      <c r="B62" s="185" t="str">
        <f>IFERROR(__xludf.DUMMYFUNCTION("""COMPUTED_VALUE"""),"Scripture")</f>
        <v>Scripture</v>
      </c>
      <c r="C62" s="185">
        <f t="shared" si="1"/>
        <v>1</v>
      </c>
      <c r="D62" s="20" t="s">
        <v>2752</v>
      </c>
      <c r="E62" s="20">
        <v>2.0</v>
      </c>
    </row>
    <row r="63">
      <c r="A63" s="184" t="str">
        <f>IFERROR(__xludf.DUMMYFUNCTION("""COMPUTED_VALUE"""),"of")</f>
        <v>of</v>
      </c>
      <c r="B63" s="185" t="str">
        <f>IFERROR(__xludf.DUMMYFUNCTION("""COMPUTED_VALUE"""),"Monkey")</f>
        <v>Monkey</v>
      </c>
      <c r="C63" s="185">
        <f t="shared" si="1"/>
        <v>1</v>
      </c>
      <c r="D63" s="20" t="s">
        <v>2753</v>
      </c>
      <c r="E63" s="20">
        <v>2.0</v>
      </c>
    </row>
    <row r="64">
      <c r="A64" s="184" t="str">
        <f>IFERROR(__xludf.DUMMYFUNCTION("""COMPUTED_VALUE"""),"Serenity")</f>
        <v>Serenity</v>
      </c>
      <c r="B64" s="185" t="str">
        <f>IFERROR(__xludf.DUMMYFUNCTION("""COMPUTED_VALUE"""),"Pyramidion")</f>
        <v>Pyramidion</v>
      </c>
      <c r="C64" s="185">
        <f t="shared" si="1"/>
        <v>1</v>
      </c>
      <c r="D64" s="20" t="s">
        <v>2687</v>
      </c>
      <c r="E64" s="20">
        <v>2.0</v>
      </c>
    </row>
    <row r="65">
      <c r="A65" s="184"/>
      <c r="B65" s="185" t="str">
        <f>IFERROR(__xludf.DUMMYFUNCTION("""COMPUTED_VALUE"""),"Sekhem")</f>
        <v>Sekhem</v>
      </c>
      <c r="C65" s="185">
        <f t="shared" si="1"/>
        <v>1</v>
      </c>
      <c r="D65" s="20" t="s">
        <v>2754</v>
      </c>
      <c r="E65" s="20">
        <v>2.0</v>
      </c>
    </row>
    <row r="66">
      <c r="A66" s="184"/>
      <c r="B66" s="185" t="str">
        <f>IFERROR(__xludf.DUMMYFUNCTION("""COMPUTED_VALUE"""),"Chariot")</f>
        <v>Chariot</v>
      </c>
      <c r="C66" s="185">
        <f t="shared" si="1"/>
        <v>1</v>
      </c>
      <c r="D66" s="20" t="s">
        <v>2755</v>
      </c>
      <c r="E66" s="20">
        <v>2.0</v>
      </c>
    </row>
    <row r="67">
      <c r="A67" s="184" t="str">
        <f>IFERROR(__xludf.DUMMYFUNCTION("""COMPUTED_VALUE"""),"Dream")</f>
        <v>Dream</v>
      </c>
      <c r="B67" s="185" t="str">
        <f>IFERROR(__xludf.DUMMYFUNCTION("""COMPUTED_VALUE"""),"Obsidian")</f>
        <v>Obsidian</v>
      </c>
      <c r="C67" s="185">
        <f t="shared" si="1"/>
        <v>1</v>
      </c>
      <c r="D67" s="20" t="s">
        <v>2756</v>
      </c>
      <c r="E67" s="20">
        <v>2.0</v>
      </c>
    </row>
    <row r="68">
      <c r="A68" s="184" t="str">
        <f>IFERROR(__xludf.DUMMYFUNCTION("""COMPUTED_VALUE"""),"Traveler")</f>
        <v>Traveler</v>
      </c>
      <c r="B68" s="185" t="str">
        <f>IFERROR(__xludf.DUMMYFUNCTION("""COMPUTED_VALUE"""),"Scarab")</f>
        <v>Scarab</v>
      </c>
      <c r="C68" s="185">
        <f t="shared" si="1"/>
        <v>2</v>
      </c>
      <c r="D68" s="20" t="s">
        <v>2757</v>
      </c>
      <c r="E68" s="20">
        <v>2.0</v>
      </c>
    </row>
    <row r="69">
      <c r="A69" s="184"/>
      <c r="B69" s="185" t="str">
        <f>IFERROR(__xludf.DUMMYFUNCTION("""COMPUTED_VALUE"""),"Solarsteel")</f>
        <v>Solarsteel</v>
      </c>
      <c r="C69" s="185">
        <f t="shared" si="1"/>
        <v>1</v>
      </c>
      <c r="D69" s="20" t="s">
        <v>2758</v>
      </c>
      <c r="E69" s="20">
        <v>2.0</v>
      </c>
    </row>
    <row r="70">
      <c r="A70" s="184"/>
      <c r="B70" s="185" t="str">
        <f>IFERROR(__xludf.DUMMYFUNCTION("""COMPUTED_VALUE"""),"Prodigy")</f>
        <v>Prodigy</v>
      </c>
      <c r="C70" s="185">
        <f t="shared" si="1"/>
        <v>1</v>
      </c>
      <c r="D70" s="20" t="s">
        <v>2759</v>
      </c>
      <c r="E70" s="20">
        <v>2.0</v>
      </c>
    </row>
    <row r="71">
      <c r="A71" s="184"/>
      <c r="B71" s="185" t="str">
        <f>IFERROR(__xludf.DUMMYFUNCTION("""COMPUTED_VALUE"""),"Starforger")</f>
        <v>Starforger</v>
      </c>
      <c r="C71" s="185">
        <f t="shared" si="1"/>
        <v>1</v>
      </c>
      <c r="D71" s="20" t="s">
        <v>2760</v>
      </c>
      <c r="E71" s="20">
        <v>2.0</v>
      </c>
    </row>
    <row r="72">
      <c r="A72" s="184" t="str">
        <f>IFERROR(__xludf.DUMMYFUNCTION("""COMPUTED_VALUE"""),"Embalmed")</f>
        <v>Embalmed</v>
      </c>
      <c r="B72" s="185" t="str">
        <f>IFERROR(__xludf.DUMMYFUNCTION("""COMPUTED_VALUE"""),"Swiftblade")</f>
        <v>Swiftblade</v>
      </c>
      <c r="C72" s="185">
        <f t="shared" si="1"/>
        <v>1</v>
      </c>
      <c r="D72" s="20" t="s">
        <v>2761</v>
      </c>
      <c r="E72" s="20">
        <v>2.0</v>
      </c>
    </row>
    <row r="73">
      <c r="A73" s="184" t="str">
        <f>IFERROR(__xludf.DUMMYFUNCTION("""COMPUTED_VALUE"""),"Apophis")</f>
        <v>Apophis</v>
      </c>
      <c r="B73" s="185" t="str">
        <f>IFERROR(__xludf.DUMMYFUNCTION("""COMPUTED_VALUE"""),"Revenger")</f>
        <v>Revenger</v>
      </c>
      <c r="C73" s="185">
        <f t="shared" si="1"/>
        <v>1</v>
      </c>
      <c r="D73" s="20" t="s">
        <v>2762</v>
      </c>
      <c r="E73" s="20">
        <v>2.0</v>
      </c>
    </row>
    <row r="74">
      <c r="A74" s="184"/>
      <c r="B74" s="185" t="str">
        <f>IFERROR(__xludf.DUMMYFUNCTION("""COMPUTED_VALUE"""),"The")</f>
        <v>The</v>
      </c>
      <c r="C74" s="185">
        <f t="shared" si="1"/>
        <v>31</v>
      </c>
      <c r="D74" s="20" t="s">
        <v>2763</v>
      </c>
      <c r="E74" s="20">
        <v>2.0</v>
      </c>
    </row>
    <row r="75">
      <c r="A75" s="184"/>
      <c r="B75" s="185" t="str">
        <f>IFERROR(__xludf.DUMMYFUNCTION("""COMPUTED_VALUE"""),"Kitty")</f>
        <v>Kitty</v>
      </c>
      <c r="C75" s="185">
        <f t="shared" si="1"/>
        <v>1</v>
      </c>
      <c r="D75" s="20" t="s">
        <v>2764</v>
      </c>
      <c r="E75" s="20">
        <v>2.0</v>
      </c>
    </row>
    <row r="76">
      <c r="A76" s="184"/>
      <c r="B76" s="185" t="str">
        <f>IFERROR(__xludf.DUMMYFUNCTION("""COMPUTED_VALUE"""),"Thamiel")</f>
        <v>Thamiel</v>
      </c>
      <c r="C76" s="185">
        <f t="shared" si="1"/>
        <v>1</v>
      </c>
      <c r="D76" s="20" t="s">
        <v>2765</v>
      </c>
      <c r="E76" s="20">
        <v>2.0</v>
      </c>
    </row>
    <row r="77">
      <c r="A77" s="184" t="str">
        <f>IFERROR(__xludf.DUMMYFUNCTION("""COMPUTED_VALUE"""),"Feline")</f>
        <v>Feline</v>
      </c>
      <c r="B77" s="185" t="str">
        <f>IFERROR(__xludf.DUMMYFUNCTION("""COMPUTED_VALUE"""),"Thunderswarm")</f>
        <v>Thunderswarm</v>
      </c>
      <c r="C77" s="185">
        <f t="shared" si="1"/>
        <v>4</v>
      </c>
      <c r="D77" s="20" t="s">
        <v>2766</v>
      </c>
      <c r="E77" s="20">
        <v>2.0</v>
      </c>
    </row>
    <row r="78">
      <c r="A78" s="184" t="str">
        <f>IFERROR(__xludf.DUMMYFUNCTION("""COMPUTED_VALUE"""),"Ushabti")</f>
        <v>Ushabti</v>
      </c>
      <c r="B78" s="185" t="str">
        <f>IFERROR(__xludf.DUMMYFUNCTION("""COMPUTED_VALUE"""),"Skirmisher")</f>
        <v>Skirmisher</v>
      </c>
      <c r="C78" s="185">
        <f t="shared" si="1"/>
        <v>1</v>
      </c>
      <c r="D78" s="20" t="s">
        <v>2767</v>
      </c>
      <c r="E78" s="20">
        <v>2.0</v>
      </c>
    </row>
    <row r="79">
      <c r="A79" s="184"/>
      <c r="B79" s="185" t="str">
        <f>IFERROR(__xludf.DUMMYFUNCTION("""COMPUTED_VALUE"""),"Tranquil")</f>
        <v>Tranquil</v>
      </c>
      <c r="C79" s="185">
        <f t="shared" si="1"/>
        <v>3</v>
      </c>
      <c r="D79" s="20" t="s">
        <v>2768</v>
      </c>
      <c r="E79" s="20">
        <v>2.0</v>
      </c>
    </row>
    <row r="80">
      <c r="A80" s="184"/>
      <c r="B80" s="185" t="str">
        <f>IFERROR(__xludf.DUMMYFUNCTION("""COMPUTED_VALUE"""),"Herd")</f>
        <v>Herd</v>
      </c>
      <c r="C80" s="185">
        <f t="shared" si="1"/>
        <v>3</v>
      </c>
      <c r="D80" s="20" t="s">
        <v>2769</v>
      </c>
      <c r="E80" s="20">
        <v>2.0</v>
      </c>
    </row>
    <row r="81">
      <c r="A81" s="184"/>
      <c r="B81" s="185" t="str">
        <f>IFERROR(__xludf.DUMMYFUNCTION("""COMPUTED_VALUE"""),"Gem")</f>
        <v>Gem</v>
      </c>
      <c r="C81" s="185">
        <f t="shared" si="1"/>
        <v>2</v>
      </c>
      <c r="D81" s="20" t="s">
        <v>2770</v>
      </c>
      <c r="E81" s="20">
        <v>2.0</v>
      </c>
    </row>
    <row r="82">
      <c r="A82" s="184" t="str">
        <f>IFERROR(__xludf.DUMMYFUNCTION("""COMPUTED_VALUE"""),"Guardian")</f>
        <v>Guardian</v>
      </c>
      <c r="B82" s="185" t="str">
        <f>IFERROR(__xludf.DUMMYFUNCTION("""COMPUTED_VALUE"""),"Titan")</f>
        <v>Titan</v>
      </c>
      <c r="C82" s="185">
        <f t="shared" si="1"/>
        <v>2</v>
      </c>
      <c r="D82" s="20" t="s">
        <v>2771</v>
      </c>
      <c r="E82" s="20">
        <v>2.0</v>
      </c>
    </row>
    <row r="83">
      <c r="A83" s="184" t="str">
        <f>IFERROR(__xludf.DUMMYFUNCTION("""COMPUTED_VALUE"""),"of")</f>
        <v>of</v>
      </c>
      <c r="B83" s="185" t="str">
        <f>IFERROR(__xludf.DUMMYFUNCTION("""COMPUTED_VALUE"""),"Towering")</f>
        <v>Towering</v>
      </c>
      <c r="C83" s="185">
        <f t="shared" si="1"/>
        <v>1</v>
      </c>
      <c r="D83" s="20" t="s">
        <v>2772</v>
      </c>
      <c r="E83" s="20">
        <v>2.0</v>
      </c>
    </row>
    <row r="84">
      <c r="A84" s="184" t="str">
        <f>IFERROR(__xludf.DUMMYFUNCTION("""COMPUTED_VALUE"""),"the")</f>
        <v>the</v>
      </c>
      <c r="B84" s="185" t="str">
        <f>IFERROR(__xludf.DUMMYFUNCTION("""COMPUTED_VALUE"""),"Obelisk")</f>
        <v>Obelisk</v>
      </c>
      <c r="C84" s="185">
        <f t="shared" si="1"/>
        <v>2</v>
      </c>
      <c r="D84" s="20" t="s">
        <v>2773</v>
      </c>
      <c r="E84" s="20">
        <v>2.0</v>
      </c>
    </row>
    <row r="85">
      <c r="A85" s="184" t="str">
        <f>IFERROR(__xludf.DUMMYFUNCTION("""COMPUTED_VALUE"""),"Gates")</f>
        <v>Gates</v>
      </c>
      <c r="B85" s="185" t="str">
        <f>IFERROR(__xludf.DUMMYFUNCTION("""COMPUTED_VALUE"""),"Xi")</f>
        <v>Xi</v>
      </c>
      <c r="C85" s="185">
        <f t="shared" si="1"/>
        <v>1</v>
      </c>
      <c r="D85" s="20" t="s">
        <v>2774</v>
      </c>
      <c r="E85" s="20">
        <v>2.0</v>
      </c>
    </row>
    <row r="86">
      <c r="A86" s="184"/>
      <c r="B86" s="185" t="str">
        <f>IFERROR(__xludf.DUMMYFUNCTION("""COMPUTED_VALUE"""),"Pegasus")</f>
        <v>Pegasus</v>
      </c>
      <c r="C86" s="185">
        <f t="shared" si="1"/>
        <v>2</v>
      </c>
      <c r="D86" s="20" t="s">
        <v>2775</v>
      </c>
      <c r="E86" s="20">
        <v>2.0</v>
      </c>
    </row>
    <row r="87">
      <c r="A87" s="184" t="str">
        <f>IFERROR(__xludf.DUMMYFUNCTION("""COMPUTED_VALUE"""),"Guardian")</f>
        <v>Guardian</v>
      </c>
      <c r="B87" s="185" t="str">
        <f>IFERROR(__xludf.DUMMYFUNCTION("""COMPUTED_VALUE"""),"Winged")</f>
        <v>Winged</v>
      </c>
      <c r="C87" s="185">
        <f t="shared" si="1"/>
        <v>1</v>
      </c>
      <c r="D87" s="20" t="s">
        <v>2776</v>
      </c>
      <c r="E87" s="20">
        <v>2.0</v>
      </c>
    </row>
    <row r="88">
      <c r="A88" s="184" t="str">
        <f>IFERROR(__xludf.DUMMYFUNCTION("""COMPUTED_VALUE"""),"Angel")</f>
        <v>Angel</v>
      </c>
      <c r="B88" s="185" t="str">
        <f>IFERROR(__xludf.DUMMYFUNCTION("""COMPUTED_VALUE"""),"Ghostfire")</f>
        <v>Ghostfire</v>
      </c>
      <c r="C88" s="185">
        <f t="shared" si="1"/>
        <v>1</v>
      </c>
      <c r="D88" s="20" t="s">
        <v>2777</v>
      </c>
      <c r="E88" s="20">
        <v>2.0</v>
      </c>
    </row>
    <row r="89">
      <c r="A89" s="184"/>
      <c r="B89" s="185" t="str">
        <f>IFERROR(__xludf.DUMMYFUNCTION("""COMPUTED_VALUE"""),"Basilisk")</f>
        <v>Basilisk</v>
      </c>
      <c r="C89" s="185">
        <f t="shared" si="1"/>
        <v>2</v>
      </c>
      <c r="D89" s="20" t="s">
        <v>2778</v>
      </c>
      <c r="E89" s="20">
        <v>2.0</v>
      </c>
    </row>
    <row r="90">
      <c r="A90" s="184"/>
      <c r="B90" s="185" t="str">
        <f>IFERROR(__xludf.DUMMYFUNCTION("""COMPUTED_VALUE"""),"Yellow")</f>
        <v>Yellow</v>
      </c>
      <c r="C90" s="185">
        <f t="shared" si="1"/>
        <v>2</v>
      </c>
      <c r="D90" s="20" t="s">
        <v>2779</v>
      </c>
      <c r="E90" s="20">
        <v>2.0</v>
      </c>
    </row>
    <row r="91">
      <c r="A91" s="184"/>
      <c r="B91" s="185" t="str">
        <f>IFERROR(__xludf.DUMMYFUNCTION("""COMPUTED_VALUE"""),"Young")</f>
        <v>Young</v>
      </c>
      <c r="C91" s="185">
        <f t="shared" si="1"/>
        <v>2</v>
      </c>
      <c r="D91" s="20" t="s">
        <v>2780</v>
      </c>
      <c r="E91" s="20">
        <v>2.0</v>
      </c>
    </row>
    <row r="92">
      <c r="A92" s="184" t="str">
        <f>IFERROR(__xludf.DUMMYFUNCTION("""COMPUTED_VALUE"""),"Hallowed")</f>
        <v>Hallowed</v>
      </c>
      <c r="B92" s="185" t="str">
        <f>IFERROR(__xludf.DUMMYFUNCTION("""COMPUTED_VALUE"""),"Monk")</f>
        <v>Monk</v>
      </c>
      <c r="C92" s="185">
        <f t="shared" si="1"/>
        <v>1</v>
      </c>
      <c r="D92" s="20" t="s">
        <v>2781</v>
      </c>
      <c r="E92" s="20">
        <v>2.0</v>
      </c>
    </row>
    <row r="93">
      <c r="A93" s="184" t="str">
        <f>IFERROR(__xludf.DUMMYFUNCTION("""COMPUTED_VALUE"""),"Exorcist")</f>
        <v>Exorcist</v>
      </c>
      <c r="B93" s="185" t="str">
        <f>IFERROR(__xludf.DUMMYFUNCTION("""COMPUTED_VALUE"""),"Cartouche")</f>
        <v>Cartouche</v>
      </c>
      <c r="C93" s="185">
        <f t="shared" si="1"/>
        <v>1</v>
      </c>
      <c r="D93" s="20" t="s">
        <v>2782</v>
      </c>
      <c r="E93" s="20">
        <v>2.0</v>
      </c>
    </row>
    <row r="94">
      <c r="A94" s="184"/>
      <c r="B94" s="185" t="str">
        <f>IFERROR(__xludf.DUMMYFUNCTION("""COMPUTED_VALUE"""),"Luster")</f>
        <v>Luster</v>
      </c>
      <c r="C94" s="185">
        <f t="shared" si="1"/>
        <v>1</v>
      </c>
      <c r="D94" s="20" t="s">
        <v>2783</v>
      </c>
      <c r="E94" s="20">
        <v>2.0</v>
      </c>
    </row>
    <row r="95">
      <c r="A95" s="184"/>
      <c r="B95" s="185" t="str">
        <f>IFERROR(__xludf.DUMMYFUNCTION("""COMPUTED_VALUE"""),"Golden")</f>
        <v>Golden</v>
      </c>
      <c r="C95" s="185">
        <f t="shared" si="1"/>
        <v>1</v>
      </c>
      <c r="D95" s="20" t="s">
        <v>2784</v>
      </c>
      <c r="E95" s="20">
        <v>2.0</v>
      </c>
    </row>
    <row r="96">
      <c r="A96" s="184"/>
      <c r="B96" s="185" t="str">
        <f>IFERROR(__xludf.DUMMYFUNCTION("""COMPUTED_VALUE"""),"Phoenix")</f>
        <v>Phoenix</v>
      </c>
      <c r="C96" s="185">
        <f t="shared" si="1"/>
        <v>1</v>
      </c>
      <c r="D96" s="20" t="s">
        <v>2785</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2786</v>
      </c>
      <c r="E98" s="20">
        <v>1.0</v>
      </c>
    </row>
    <row r="99">
      <c r="A99" s="184"/>
      <c r="B99" s="185" t="str">
        <f>IFERROR(__xludf.DUMMYFUNCTION("""COMPUTED_VALUE"""),"Scittering")</f>
        <v>Scittering</v>
      </c>
      <c r="C99" s="185">
        <f t="shared" si="1"/>
        <v>1</v>
      </c>
      <c r="D99" s="20" t="s">
        <v>2787</v>
      </c>
      <c r="E99" s="20">
        <v>1.0</v>
      </c>
    </row>
    <row r="100">
      <c r="A100" s="184"/>
      <c r="B100" s="185" t="str">
        <f>IFERROR(__xludf.DUMMYFUNCTION("""COMPUTED_VALUE"""),"Scorpion")</f>
        <v>Scorpion</v>
      </c>
      <c r="C100" s="185">
        <f t="shared" si="1"/>
        <v>2</v>
      </c>
      <c r="D100" s="20" t="s">
        <v>2788</v>
      </c>
      <c r="E100" s="20">
        <v>1.0</v>
      </c>
    </row>
    <row r="101">
      <c r="A101" s="184"/>
      <c r="B101" s="185" t="str">
        <f>IFERROR(__xludf.DUMMYFUNCTION("""COMPUTED_VALUE"""),"Wrath")</f>
        <v>Wrath</v>
      </c>
      <c r="C101" s="185">
        <f t="shared" si="1"/>
        <v>1</v>
      </c>
      <c r="D101" s="20" t="s">
        <v>2789</v>
      </c>
      <c r="E101" s="20">
        <v>1.0</v>
      </c>
    </row>
    <row r="102">
      <c r="A102" s="184" t="str">
        <f>IFERROR(__xludf.DUMMYFUNCTION("""COMPUTED_VALUE"""),"Ibis")</f>
        <v>Ibis</v>
      </c>
      <c r="B102" s="185" t="str">
        <f>IFERROR(__xludf.DUMMYFUNCTION("""COMPUTED_VALUE"""),"Pharaoh")</f>
        <v>Pharaoh</v>
      </c>
      <c r="C102" s="185">
        <f t="shared" si="1"/>
        <v>1</v>
      </c>
      <c r="D102" s="20" t="s">
        <v>2790</v>
      </c>
      <c r="E102" s="20">
        <v>1.0</v>
      </c>
    </row>
    <row r="103">
      <c r="A103" s="184" t="str">
        <f>IFERROR(__xludf.DUMMYFUNCTION("""COMPUTED_VALUE"""),"Ushabti")</f>
        <v>Ushabti</v>
      </c>
      <c r="B103" s="185" t="str">
        <f>IFERROR(__xludf.DUMMYFUNCTION("""COMPUTED_VALUE"""),"Bringer")</f>
        <v>Bringer</v>
      </c>
      <c r="C103" s="185">
        <f t="shared" si="1"/>
        <v>3</v>
      </c>
      <c r="D103" s="20" t="s">
        <v>2791</v>
      </c>
      <c r="E103" s="20">
        <v>1.0</v>
      </c>
    </row>
    <row r="104">
      <c r="A104" s="184"/>
      <c r="B104" s="185" t="str">
        <f>IFERROR(__xludf.DUMMYFUNCTION("""COMPUTED_VALUE"""),"Good")</f>
        <v>Good</v>
      </c>
      <c r="C104" s="185">
        <f t="shared" si="1"/>
        <v>1</v>
      </c>
      <c r="D104" s="20" t="s">
        <v>2792</v>
      </c>
      <c r="E104" s="20">
        <v>1.0</v>
      </c>
    </row>
    <row r="105">
      <c r="A105" s="184"/>
      <c r="B105" s="185" t="str">
        <f>IFERROR(__xludf.DUMMYFUNCTION("""COMPUTED_VALUE"""),"News")</f>
        <v>News</v>
      </c>
      <c r="C105" s="185">
        <f t="shared" si="1"/>
        <v>1</v>
      </c>
      <c r="D105" s="20" t="s">
        <v>2793</v>
      </c>
      <c r="E105" s="20">
        <v>1.0</v>
      </c>
    </row>
    <row r="106">
      <c r="A106" s="184"/>
      <c r="B106" s="185" t="str">
        <f>IFERROR(__xludf.DUMMYFUNCTION("""COMPUTED_VALUE"""),"Lightning")</f>
        <v>Lightning</v>
      </c>
      <c r="C106" s="185">
        <f t="shared" si="1"/>
        <v>2</v>
      </c>
      <c r="D106" s="20" t="s">
        <v>2794</v>
      </c>
      <c r="E106" s="20">
        <v>1.0</v>
      </c>
    </row>
    <row r="107">
      <c r="A107" s="184" t="str">
        <f>IFERROR(__xludf.DUMMYFUNCTION("""COMPUTED_VALUE"""),"Herald")</f>
        <v>Herald</v>
      </c>
      <c r="B107" s="185" t="str">
        <f>IFERROR(__xludf.DUMMYFUNCTION("""COMPUTED_VALUE"""),"Rider")</f>
        <v>Rider</v>
      </c>
      <c r="C107" s="185">
        <f t="shared" si="1"/>
        <v>2</v>
      </c>
      <c r="D107" s="20" t="s">
        <v>2795</v>
      </c>
      <c r="E107" s="20">
        <v>1.0</v>
      </c>
    </row>
    <row r="108">
      <c r="A108" s="184" t="str">
        <f>IFERROR(__xludf.DUMMYFUNCTION("""COMPUTED_VALUE"""),"of")</f>
        <v>of</v>
      </c>
      <c r="B108" s="185" t="str">
        <f>IFERROR(__xludf.DUMMYFUNCTION("""COMPUTED_VALUE"""),"Desertwind")</f>
        <v>Desertwind</v>
      </c>
      <c r="C108" s="185">
        <f t="shared" si="1"/>
        <v>1</v>
      </c>
      <c r="D108" s="20" t="s">
        <v>2796</v>
      </c>
      <c r="E108" s="20">
        <v>1.0</v>
      </c>
    </row>
    <row r="109">
      <c r="A109" s="184" t="str">
        <f>IFERROR(__xludf.DUMMYFUNCTION("""COMPUTED_VALUE"""),"Eternal")</f>
        <v>Eternal</v>
      </c>
      <c r="B109" s="185" t="str">
        <f>IFERROR(__xludf.DUMMYFUNCTION("""COMPUTED_VALUE"""),"Relic")</f>
        <v>Relic</v>
      </c>
      <c r="C109" s="185">
        <f t="shared" si="1"/>
        <v>1</v>
      </c>
      <c r="D109" s="20" t="s">
        <v>2797</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2798</v>
      </c>
      <c r="E111" s="20">
        <v>1.0</v>
      </c>
    </row>
    <row r="112">
      <c r="A112" s="184" t="str">
        <f>IFERROR(__xludf.DUMMYFUNCTION("""COMPUTED_VALUE"""),"Maze")</f>
        <v>Maze</v>
      </c>
      <c r="B112" s="185" t="str">
        <f>IFERROR(__xludf.DUMMYFUNCTION("""COMPUTED_VALUE"""),"Lunar")</f>
        <v>Lunar</v>
      </c>
      <c r="C112" s="185">
        <f t="shared" si="1"/>
        <v>1</v>
      </c>
      <c r="D112" s="20" t="s">
        <v>2799</v>
      </c>
      <c r="E112" s="20">
        <v>1.0</v>
      </c>
    </row>
    <row r="113">
      <c r="A113" s="184" t="str">
        <f>IFERROR(__xludf.DUMMYFUNCTION("""COMPUTED_VALUE"""),"Master")</f>
        <v>Master</v>
      </c>
      <c r="B113" s="185" t="str">
        <f>IFERROR(__xludf.DUMMYFUNCTION("""COMPUTED_VALUE"""),"Gleam")</f>
        <v>Gleam</v>
      </c>
      <c r="C113" s="185">
        <f t="shared" si="1"/>
        <v>1</v>
      </c>
      <c r="D113" s="20" t="s">
        <v>2800</v>
      </c>
      <c r="E113" s="20">
        <v>1.0</v>
      </c>
    </row>
    <row r="114">
      <c r="A114" s="184" t="str">
        <f>IFERROR(__xludf.DUMMYFUNCTION("""COMPUTED_VALUE"""),"Sphinx")</f>
        <v>Sphinx</v>
      </c>
      <c r="B114" s="185" t="str">
        <f>IFERROR(__xludf.DUMMYFUNCTION("""COMPUTED_VALUE"""),"Pomegrake")</f>
        <v>Pomegrake</v>
      </c>
      <c r="C114" s="185">
        <f t="shared" si="1"/>
        <v>1</v>
      </c>
      <c r="D114" s="20" t="s">
        <v>2801</v>
      </c>
      <c r="E114" s="20">
        <v>1.0</v>
      </c>
    </row>
    <row r="115">
      <c r="A115" s="184"/>
      <c r="B115" s="185" t="str">
        <f>IFERROR(__xludf.DUMMYFUNCTION("""COMPUTED_VALUE"""),"Embalmer")</f>
        <v>Embalmer</v>
      </c>
      <c r="C115" s="185">
        <f t="shared" si="1"/>
        <v>1</v>
      </c>
      <c r="D115" s="20" t="s">
        <v>2802</v>
      </c>
      <c r="E115" s="20">
        <v>1.0</v>
      </c>
    </row>
    <row r="116">
      <c r="A116" s="184"/>
      <c r="B116" s="185" t="str">
        <f>IFERROR(__xludf.DUMMYFUNCTION("""COMPUTED_VALUE"""),"Carver")</f>
        <v>Carver</v>
      </c>
      <c r="C116" s="185">
        <f t="shared" si="1"/>
        <v>2</v>
      </c>
      <c r="D116" s="20" t="s">
        <v>2803</v>
      </c>
      <c r="E116" s="20">
        <v>1.0</v>
      </c>
    </row>
    <row r="117">
      <c r="A117" s="184" t="str">
        <f>IFERROR(__xludf.DUMMYFUNCTION("""COMPUTED_VALUE"""),"Ivoryscar")</f>
        <v>Ivoryscar</v>
      </c>
      <c r="B117" s="185" t="str">
        <f>IFERROR(__xludf.DUMMYFUNCTION("""COMPUTED_VALUE"""),"Shattercrown")</f>
        <v>Shattercrown</v>
      </c>
      <c r="C117" s="185">
        <f t="shared" si="1"/>
        <v>1</v>
      </c>
      <c r="D117" s="20" t="s">
        <v>2804</v>
      </c>
      <c r="E117" s="20">
        <v>1.0</v>
      </c>
    </row>
    <row r="118">
      <c r="A118" s="184" t="str">
        <f>IFERROR(__xludf.DUMMYFUNCTION("""COMPUTED_VALUE"""),"Cursewing")</f>
        <v>Cursewing</v>
      </c>
      <c r="B118" s="185" t="str">
        <f>IFERROR(__xludf.DUMMYFUNCTION("""COMPUTED_VALUE"""),"Luminary")</f>
        <v>Luminary</v>
      </c>
      <c r="C118" s="185">
        <f t="shared" si="1"/>
        <v>1</v>
      </c>
      <c r="D118" s="20" t="s">
        <v>2805</v>
      </c>
      <c r="E118" s="20">
        <v>1.0</v>
      </c>
    </row>
    <row r="119">
      <c r="A119" s="184"/>
      <c r="B119" s="185" t="str">
        <f>IFERROR(__xludf.DUMMYFUNCTION("""COMPUTED_VALUE"""),"Shepard")</f>
        <v>Shepard</v>
      </c>
      <c r="C119" s="185">
        <f t="shared" si="1"/>
        <v>1</v>
      </c>
      <c r="D119" s="20" t="s">
        <v>2806</v>
      </c>
      <c r="E119" s="20">
        <v>1.0</v>
      </c>
    </row>
    <row r="120">
      <c r="A120" s="184"/>
      <c r="B120" s="185" t="str">
        <f>IFERROR(__xludf.DUMMYFUNCTION("""COMPUTED_VALUE"""),"Morning")</f>
        <v>Morning</v>
      </c>
      <c r="C120" s="185">
        <f t="shared" si="1"/>
        <v>1</v>
      </c>
      <c r="D120" s="20" t="s">
        <v>2807</v>
      </c>
      <c r="E120" s="20">
        <v>1.0</v>
      </c>
    </row>
    <row r="121">
      <c r="A121" s="184"/>
      <c r="B121" s="185" t="str">
        <f>IFERROR(__xludf.DUMMYFUNCTION("""COMPUTED_VALUE"""),"Dew")</f>
        <v>Dew</v>
      </c>
      <c r="C121" s="185">
        <f t="shared" si="1"/>
        <v>1</v>
      </c>
      <c r="D121" s="20" t="s">
        <v>2808</v>
      </c>
      <c r="E121" s="20">
        <v>1.0</v>
      </c>
    </row>
    <row r="122">
      <c r="A122" s="184" t="str">
        <f>IFERROR(__xludf.DUMMYFUNCTION("""COMPUTED_VALUE"""),"Ivoryscar")</f>
        <v>Ivoryscar</v>
      </c>
      <c r="B122" s="185" t="str">
        <f>IFERROR(__xludf.DUMMYFUNCTION("""COMPUTED_VALUE"""),"Arboreal")</f>
        <v>Arboreal</v>
      </c>
      <c r="C122" s="185">
        <f t="shared" si="1"/>
        <v>1</v>
      </c>
      <c r="D122" s="20" t="s">
        <v>2809</v>
      </c>
      <c r="E122" s="20">
        <v>1.0</v>
      </c>
    </row>
    <row r="123">
      <c r="A123" s="184" t="str">
        <f>IFERROR(__xludf.DUMMYFUNCTION("""COMPUTED_VALUE"""),"Magistrate")</f>
        <v>Magistrate</v>
      </c>
      <c r="B123" s="185" t="str">
        <f>IFERROR(__xludf.DUMMYFUNCTION("""COMPUTED_VALUE"""),"Messenger")</f>
        <v>Messenger</v>
      </c>
      <c r="C123" s="185">
        <f t="shared" si="1"/>
        <v>1</v>
      </c>
      <c r="D123" s="20" t="s">
        <v>2810</v>
      </c>
      <c r="E123" s="20">
        <v>1.0</v>
      </c>
    </row>
    <row r="124">
      <c r="A124" s="184"/>
      <c r="B124" s="185" t="str">
        <f>IFERROR(__xludf.DUMMYFUNCTION("""COMPUTED_VALUE"""),"Auric")</f>
        <v>Auric</v>
      </c>
      <c r="C124" s="185">
        <f t="shared" si="1"/>
        <v>1</v>
      </c>
      <c r="D124" s="20" t="s">
        <v>2811</v>
      </c>
      <c r="E124" s="20">
        <v>1.0</v>
      </c>
    </row>
    <row r="125">
      <c r="A125" s="184"/>
      <c r="B125" s="185" t="str">
        <f>IFERROR(__xludf.DUMMYFUNCTION("""COMPUTED_VALUE"""),"Ant")</f>
        <v>Ant</v>
      </c>
      <c r="C125" s="185">
        <f t="shared" si="1"/>
        <v>2</v>
      </c>
      <c r="D125" s="20" t="s">
        <v>2812</v>
      </c>
      <c r="E125" s="20">
        <v>1.0</v>
      </c>
    </row>
    <row r="126">
      <c r="A126" s="184"/>
      <c r="B126" s="185" t="str">
        <f>IFERROR(__xludf.DUMMYFUNCTION("""COMPUTED_VALUE"""),"Regent")</f>
        <v>Regent</v>
      </c>
      <c r="C126" s="185">
        <f t="shared" si="1"/>
        <v>1</v>
      </c>
      <c r="D126" s="20" t="s">
        <v>2813</v>
      </c>
      <c r="E126" s="20">
        <v>1.0</v>
      </c>
    </row>
    <row r="127">
      <c r="A127" s="184" t="str">
        <f>IFERROR(__xludf.DUMMYFUNCTION("""COMPUTED_VALUE"""),"Kylix")</f>
        <v>Kylix</v>
      </c>
      <c r="B127" s="185" t="str">
        <f>IFERROR(__xludf.DUMMYFUNCTION("""COMPUTED_VALUE"""),"Blessing")</f>
        <v>Blessing</v>
      </c>
      <c r="C127" s="185">
        <f t="shared" si="1"/>
        <v>1</v>
      </c>
      <c r="D127" s="20" t="s">
        <v>2814</v>
      </c>
      <c r="E127" s="20">
        <v>1.0</v>
      </c>
    </row>
    <row r="128">
      <c r="A128" s="184" t="str">
        <f>IFERROR(__xludf.DUMMYFUNCTION("""COMPUTED_VALUE"""),"of")</f>
        <v>of</v>
      </c>
      <c r="B128" s="185" t="str">
        <f>IFERROR(__xludf.DUMMYFUNCTION("""COMPUTED_VALUE"""),"Bestower")</f>
        <v>Bestower</v>
      </c>
      <c r="C128" s="185">
        <f t="shared" si="1"/>
        <v>1</v>
      </c>
      <c r="D128" s="20" t="s">
        <v>2815</v>
      </c>
      <c r="E128" s="20">
        <v>1.0</v>
      </c>
    </row>
    <row r="129">
      <c r="A129" s="184" t="str">
        <f>IFERROR(__xludf.DUMMYFUNCTION("""COMPUTED_VALUE"""),"Excess")</f>
        <v>Excess</v>
      </c>
      <c r="B129" s="185" t="str">
        <f>IFERROR(__xludf.DUMMYFUNCTION("""COMPUTED_VALUE"""),"Waypost")</f>
        <v>Waypost</v>
      </c>
      <c r="C129" s="185">
        <f t="shared" si="1"/>
        <v>1</v>
      </c>
      <c r="D129" s="20" t="s">
        <v>2816</v>
      </c>
      <c r="E129" s="20">
        <v>1.0</v>
      </c>
    </row>
    <row r="130">
      <c r="A130" s="184"/>
      <c r="B130" s="185" t="str">
        <f>IFERROR(__xludf.DUMMYFUNCTION("""COMPUTED_VALUE"""),"Crimson")</f>
        <v>Crimson</v>
      </c>
      <c r="C130" s="185">
        <f t="shared" si="1"/>
        <v>1</v>
      </c>
      <c r="D130" s="20" t="s">
        <v>2817</v>
      </c>
      <c r="E130" s="20">
        <v>1.0</v>
      </c>
    </row>
    <row r="131">
      <c r="A131" s="184"/>
      <c r="B131" s="185" t="str">
        <f>IFERROR(__xludf.DUMMYFUNCTION("""COMPUTED_VALUE"""),"Flamechick")</f>
        <v>Flamechick</v>
      </c>
      <c r="C131" s="185">
        <f t="shared" si="1"/>
        <v>1</v>
      </c>
      <c r="D131" s="20" t="s">
        <v>2818</v>
      </c>
      <c r="E131" s="20">
        <v>1.0</v>
      </c>
    </row>
    <row r="132">
      <c r="A132" s="184" t="str">
        <f>IFERROR(__xludf.DUMMYFUNCTION("""COMPUTED_VALUE"""),"Mystic")</f>
        <v>Mystic</v>
      </c>
      <c r="B132" s="185" t="str">
        <f>IFERROR(__xludf.DUMMYFUNCTION("""COMPUTED_VALUE"""),"Ascended")</f>
        <v>Ascended</v>
      </c>
      <c r="C132" s="185">
        <f t="shared" si="1"/>
        <v>1</v>
      </c>
      <c r="D132" s="20" t="s">
        <v>2819</v>
      </c>
      <c r="E132" s="20">
        <v>1.0</v>
      </c>
    </row>
    <row r="133">
      <c r="A133" s="184" t="str">
        <f>IFERROR(__xludf.DUMMYFUNCTION("""COMPUTED_VALUE"""),"Puzzle")</f>
        <v>Puzzle</v>
      </c>
      <c r="B133" s="185" t="str">
        <f>IFERROR(__xludf.DUMMYFUNCTION("""COMPUTED_VALUE"""),"One")</f>
        <v>One</v>
      </c>
      <c r="C133" s="185">
        <f t="shared" si="1"/>
        <v>2</v>
      </c>
      <c r="D133" s="20" t="s">
        <v>2820</v>
      </c>
      <c r="E133" s="20">
        <v>1.0</v>
      </c>
    </row>
    <row r="134">
      <c r="A134" s="184" t="str">
        <f>IFERROR(__xludf.DUMMYFUNCTION("""COMPUTED_VALUE"""),"Box")</f>
        <v>Box</v>
      </c>
      <c r="B134" s="185" t="str">
        <f>IFERROR(__xludf.DUMMYFUNCTION("""COMPUTED_VALUE"""),"Rubyskull")</f>
        <v>Rubyskull</v>
      </c>
      <c r="C134" s="185">
        <f t="shared" si="1"/>
        <v>1</v>
      </c>
      <c r="D134" s="20" t="s">
        <v>2821</v>
      </c>
      <c r="E134" s="20">
        <v>1.0</v>
      </c>
    </row>
    <row r="135">
      <c r="A135" s="184"/>
      <c r="B135" s="185" t="str">
        <f>IFERROR(__xludf.DUMMYFUNCTION("""COMPUTED_VALUE"""),"Blackwing")</f>
        <v>Blackwing</v>
      </c>
      <c r="C135" s="185">
        <f t="shared" si="1"/>
        <v>1</v>
      </c>
      <c r="D135" s="20" t="s">
        <v>2822</v>
      </c>
      <c r="E135" s="20">
        <v>1.0</v>
      </c>
    </row>
    <row r="136">
      <c r="A136" s="184"/>
      <c r="B136" s="185" t="str">
        <f>IFERROR(__xludf.DUMMYFUNCTION("""COMPUTED_VALUE"""),"Usurper")</f>
        <v>Usurper</v>
      </c>
      <c r="C136" s="185">
        <f t="shared" si="1"/>
        <v>1</v>
      </c>
      <c r="D136" s="20" t="s">
        <v>2823</v>
      </c>
      <c r="E136" s="20">
        <v>1.0</v>
      </c>
    </row>
    <row r="137">
      <c r="A137" s="184" t="str">
        <f>IFERROR(__xludf.DUMMYFUNCTION("""COMPUTED_VALUE"""),"Monolith")</f>
        <v>Monolith</v>
      </c>
      <c r="B137" s="185" t="str">
        <f>IFERROR(__xludf.DUMMYFUNCTION("""COMPUTED_VALUE"""),"Celestial")</f>
        <v>Celestial</v>
      </c>
      <c r="C137" s="185">
        <f t="shared" si="1"/>
        <v>1</v>
      </c>
      <c r="D137" s="20" t="s">
        <v>2824</v>
      </c>
      <c r="E137" s="20">
        <v>1.0</v>
      </c>
    </row>
    <row r="138">
      <c r="A138" s="184" t="str">
        <f>IFERROR(__xludf.DUMMYFUNCTION("""COMPUTED_VALUE"""),"of")</f>
        <v>of</v>
      </c>
      <c r="B138" s="185" t="str">
        <f>IFERROR(__xludf.DUMMYFUNCTION("""COMPUTED_VALUE"""),"Second")</f>
        <v>Second</v>
      </c>
      <c r="C138" s="185">
        <f t="shared" si="1"/>
        <v>1</v>
      </c>
      <c r="D138" s="20" t="s">
        <v>2825</v>
      </c>
      <c r="E138" s="20">
        <v>1.0</v>
      </c>
    </row>
    <row r="139">
      <c r="A139" s="184" t="str">
        <f>IFERROR(__xludf.DUMMYFUNCTION("""COMPUTED_VALUE"""),"Meditation")</f>
        <v>Meditation</v>
      </c>
      <c r="B139" s="185" t="str">
        <f>IFERROR(__xludf.DUMMYFUNCTION("""COMPUTED_VALUE"""),"Wing")</f>
        <v>Wing</v>
      </c>
      <c r="C139" s="185">
        <f t="shared" si="1"/>
        <v>1</v>
      </c>
      <c r="D139" s="20" t="s">
        <v>2826</v>
      </c>
      <c r="E139" s="20">
        <v>1.0</v>
      </c>
    </row>
    <row r="140">
      <c r="A140" s="184"/>
      <c r="B140" s="185" t="str">
        <f>IFERROR(__xludf.DUMMYFUNCTION("""COMPUTED_VALUE"""),"Fatebreaker")</f>
        <v>Fatebreaker</v>
      </c>
      <c r="C140" s="185">
        <f t="shared" si="1"/>
        <v>1</v>
      </c>
      <c r="D140" s="20" t="s">
        <v>2827</v>
      </c>
      <c r="E140" s="20">
        <v>1.0</v>
      </c>
    </row>
    <row r="141">
      <c r="A141" s="184"/>
      <c r="B141" s="185" t="str">
        <f>IFERROR(__xludf.DUMMYFUNCTION("""COMPUTED_VALUE"""),"Moon")</f>
        <v>Moon</v>
      </c>
      <c r="C141" s="185">
        <f t="shared" si="1"/>
        <v>2</v>
      </c>
      <c r="D141" s="20" t="s">
        <v>2828</v>
      </c>
      <c r="E141" s="20">
        <v>1.0</v>
      </c>
    </row>
    <row r="142">
      <c r="A142" s="184" t="str">
        <f>IFERROR(__xludf.DUMMYFUNCTION("""COMPUTED_VALUE"""),"Oasis")</f>
        <v>Oasis</v>
      </c>
      <c r="B142" s="185" t="str">
        <f>IFERROR(__xludf.DUMMYFUNCTION("""COMPUTED_VALUE"""),"Priestess")</f>
        <v>Priestess</v>
      </c>
      <c r="C142" s="185">
        <f t="shared" si="1"/>
        <v>1</v>
      </c>
      <c r="D142" s="20" t="s">
        <v>2829</v>
      </c>
      <c r="E142" s="20">
        <v>1.0</v>
      </c>
    </row>
    <row r="143">
      <c r="A143" s="184" t="str">
        <f>IFERROR(__xludf.DUMMYFUNCTION("""COMPUTED_VALUE"""),"Sprite")</f>
        <v>Sprite</v>
      </c>
      <c r="B143" s="185" t="str">
        <f>IFERROR(__xludf.DUMMYFUNCTION("""COMPUTED_VALUE"""),"Airstep")</f>
        <v>Airstep</v>
      </c>
      <c r="C143" s="185">
        <f t="shared" si="1"/>
        <v>1</v>
      </c>
      <c r="D143" s="20" t="s">
        <v>2830</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2831</v>
      </c>
      <c r="E145" s="20">
        <v>1.0</v>
      </c>
    </row>
    <row r="146">
      <c r="A146" s="184"/>
      <c r="B146" s="185" t="str">
        <f>IFERROR(__xludf.DUMMYFUNCTION("""COMPUTED_VALUE"""),"Paladin")</f>
        <v>Paladin</v>
      </c>
      <c r="C146" s="185">
        <f t="shared" si="1"/>
        <v>1</v>
      </c>
      <c r="D146" s="20" t="s">
        <v>2832</v>
      </c>
      <c r="E146" s="20">
        <v>1.0</v>
      </c>
    </row>
    <row r="147">
      <c r="A147" s="184" t="str">
        <f>IFERROR(__xludf.DUMMYFUNCTION("""COMPUTED_VALUE"""),"Pharaoh's")</f>
        <v>Pharaoh's</v>
      </c>
      <c r="B147" s="185" t="str">
        <f>IFERROR(__xludf.DUMMYFUNCTION("""COMPUTED_VALUE"""),"Arcanum")</f>
        <v>Arcanum</v>
      </c>
      <c r="C147" s="185">
        <f t="shared" si="1"/>
        <v>1</v>
      </c>
      <c r="D147" s="20" t="s">
        <v>2833</v>
      </c>
      <c r="E147" s="20">
        <v>1.0</v>
      </c>
    </row>
    <row r="148">
      <c r="A148" s="184" t="str">
        <f>IFERROR(__xludf.DUMMYFUNCTION("""COMPUTED_VALUE"""),"Bodyguard")</f>
        <v>Bodyguard</v>
      </c>
      <c r="B148" s="185" t="str">
        <f>IFERROR(__xludf.DUMMYFUNCTION("""COMPUTED_VALUE"""),"Grandmaster")</f>
        <v>Grandmaster</v>
      </c>
      <c r="C148" s="185">
        <f t="shared" si="1"/>
        <v>1</v>
      </c>
      <c r="D148" s="20" t="s">
        <v>2834</v>
      </c>
      <c r="E148" s="20">
        <v>1.0</v>
      </c>
    </row>
    <row r="149">
      <c r="A149" s="184"/>
      <c r="B149" s="185" t="str">
        <f>IFERROR(__xludf.DUMMYFUNCTION("""COMPUTED_VALUE"""),"Auraborne")</f>
        <v>Auraborne</v>
      </c>
      <c r="C149" s="185">
        <f t="shared" si="1"/>
        <v>1</v>
      </c>
      <c r="D149" s="20" t="s">
        <v>2835</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2836</v>
      </c>
      <c r="E151" s="20">
        <v>1.0</v>
      </c>
    </row>
    <row r="152">
      <c r="A152" s="184" t="str">
        <f>IFERROR(__xludf.DUMMYFUNCTION("""COMPUTED_VALUE"""),"Scripture")</f>
        <v>Scripture</v>
      </c>
      <c r="B152" s="185" t="str">
        <f>IFERROR(__xludf.DUMMYFUNCTION("""COMPUTED_VALUE"""),"Kitsune")</f>
        <v>Kitsune</v>
      </c>
      <c r="C152" s="185">
        <f t="shared" si="1"/>
        <v>1</v>
      </c>
      <c r="D152" s="20" t="s">
        <v>2837</v>
      </c>
      <c r="E152" s="20">
        <v>1.0</v>
      </c>
    </row>
    <row r="153">
      <c r="A153" s="184" t="str">
        <f>IFERROR(__xludf.DUMMYFUNCTION("""COMPUTED_VALUE"""),"Monkey")</f>
        <v>Monkey</v>
      </c>
      <c r="B153" s="185" t="str">
        <f>IFERROR(__xludf.DUMMYFUNCTION("""COMPUTED_VALUE"""),"Glowing")</f>
        <v>Glowing</v>
      </c>
      <c r="C153" s="185">
        <f t="shared" si="1"/>
        <v>1</v>
      </c>
      <c r="D153" s="20" t="s">
        <v>2838</v>
      </c>
      <c r="E153" s="20">
        <v>1.0</v>
      </c>
    </row>
    <row r="154">
      <c r="A154" s="184"/>
      <c r="B154" s="185" t="str">
        <f>IFERROR(__xludf.DUMMYFUNCTION("""COMPUTED_VALUE"""),"Gearhulk")</f>
        <v>Gearhulk</v>
      </c>
      <c r="C154" s="185">
        <f t="shared" si="1"/>
        <v>1</v>
      </c>
      <c r="D154" s="20" t="s">
        <v>2839</v>
      </c>
      <c r="E154" s="20">
        <v>1.0</v>
      </c>
    </row>
    <row r="155">
      <c r="A155" s="184"/>
      <c r="B155" s="185" t="str">
        <f>IFERROR(__xludf.DUMMYFUNCTION("""COMPUTED_VALUE"""),"Boiling")</f>
        <v>Boiling</v>
      </c>
      <c r="C155" s="185">
        <f t="shared" si="1"/>
        <v>1</v>
      </c>
      <c r="D155" s="20" t="s">
        <v>2840</v>
      </c>
      <c r="E155" s="20">
        <v>1.0</v>
      </c>
    </row>
    <row r="156">
      <c r="A156" s="184"/>
      <c r="B156" s="185" t="str">
        <f>IFERROR(__xludf.DUMMYFUNCTION("""COMPUTED_VALUE"""),"Blood")</f>
        <v>Blood</v>
      </c>
      <c r="C156" s="185">
        <f t="shared" si="1"/>
        <v>2</v>
      </c>
      <c r="D156" s="20" t="s">
        <v>2841</v>
      </c>
      <c r="E156" s="20">
        <v>1.0</v>
      </c>
    </row>
    <row r="157">
      <c r="A157" s="184" t="str">
        <f>IFERROR(__xludf.DUMMYFUNCTION("""COMPUTED_VALUE"""),"Pyramidion")</f>
        <v>Pyramidion</v>
      </c>
      <c r="B157" s="185" t="str">
        <f>IFERROR(__xludf.DUMMYFUNCTION("""COMPUTED_VALUE"""),"Berserker")</f>
        <v>Berserker</v>
      </c>
      <c r="C157" s="185">
        <f t="shared" si="1"/>
        <v>1</v>
      </c>
      <c r="D157" s="20" t="s">
        <v>2842</v>
      </c>
      <c r="E157" s="20">
        <v>1.0</v>
      </c>
    </row>
    <row r="158">
      <c r="A158" s="184"/>
      <c r="B158" s="185" t="str">
        <f>IFERROR(__xludf.DUMMYFUNCTION("""COMPUTED_VALUE"""),"Goat")</f>
        <v>Goat</v>
      </c>
      <c r="C158" s="185">
        <f t="shared" si="1"/>
        <v>1</v>
      </c>
      <c r="D158" s="20" t="s">
        <v>2843</v>
      </c>
      <c r="E158" s="20">
        <v>1.0</v>
      </c>
    </row>
    <row r="159">
      <c r="A159" s="184"/>
      <c r="B159" s="185" t="str">
        <f>IFERROR(__xludf.DUMMYFUNCTION("""COMPUTED_VALUE"""),"Oracle")</f>
        <v>Oracle</v>
      </c>
      <c r="C159" s="185">
        <f t="shared" si="1"/>
        <v>2</v>
      </c>
      <c r="D159" s="20" t="s">
        <v>2844</v>
      </c>
      <c r="E159" s="20">
        <v>1.0</v>
      </c>
    </row>
    <row r="160">
      <c r="A160" s="184"/>
      <c r="B160" s="185" t="str">
        <f>IFERROR(__xludf.DUMMYFUNCTION("""COMPUTED_VALUE"""),"Sagehorn")</f>
        <v>Sagehorn</v>
      </c>
      <c r="C160" s="185">
        <f t="shared" si="1"/>
        <v>1</v>
      </c>
      <c r="D160" s="20" t="s">
        <v>2845</v>
      </c>
      <c r="E160" s="20">
        <v>1.0</v>
      </c>
    </row>
    <row r="161">
      <c r="A161" s="184"/>
      <c r="B161" s="185" t="str">
        <f>IFERROR(__xludf.DUMMYFUNCTION("""COMPUTED_VALUE"""),"Sunblessed")</f>
        <v>Sunblessed</v>
      </c>
      <c r="C161" s="185">
        <f t="shared" si="1"/>
        <v>1</v>
      </c>
      <c r="D161" s="20" t="s">
        <v>2846</v>
      </c>
      <c r="E161" s="20">
        <v>1.0</v>
      </c>
    </row>
    <row r="162">
      <c r="A162" s="184" t="str">
        <f>IFERROR(__xludf.DUMMYFUNCTION("""COMPUTED_VALUE"""),"Sekhem")</f>
        <v>Sekhem</v>
      </c>
      <c r="B162" s="185" t="str">
        <f>IFERROR(__xludf.DUMMYFUNCTION("""COMPUTED_VALUE"""),"Crocodile")</f>
        <v>Crocodile</v>
      </c>
      <c r="C162" s="185">
        <f t="shared" si="1"/>
        <v>1</v>
      </c>
      <c r="D162" s="20" t="s">
        <v>2847</v>
      </c>
      <c r="E162" s="20">
        <v>1.0</v>
      </c>
    </row>
    <row r="163">
      <c r="A163" s="184" t="str">
        <f>IFERROR(__xludf.DUMMYFUNCTION("""COMPUTED_VALUE"""),"Chariot")</f>
        <v>Chariot</v>
      </c>
      <c r="B163" s="185" t="str">
        <f>IFERROR(__xludf.DUMMYFUNCTION("""COMPUTED_VALUE"""),"Kois")</f>
        <v>Kois</v>
      </c>
      <c r="C163" s="185">
        <f t="shared" si="1"/>
        <v>1</v>
      </c>
      <c r="D163" s="20" t="s">
        <v>2848</v>
      </c>
      <c r="E163" s="20">
        <v>1.0</v>
      </c>
    </row>
    <row r="164">
      <c r="A164" s="184"/>
      <c r="B164" s="185" t="str">
        <f>IFERROR(__xludf.DUMMYFUNCTION("""COMPUTED_VALUE"""),"Duality")</f>
        <v>Duality</v>
      </c>
      <c r="C164" s="185">
        <f t="shared" si="1"/>
        <v>1</v>
      </c>
      <c r="D164" s="20" t="s">
        <v>2849</v>
      </c>
      <c r="E164" s="20">
        <v>1.0</v>
      </c>
    </row>
    <row r="165">
      <c r="A165" s="184"/>
      <c r="B165" s="185" t="str">
        <f>IFERROR(__xludf.DUMMYFUNCTION("""COMPUTED_VALUE"""),"Eclipsion")</f>
        <v>Eclipsion</v>
      </c>
      <c r="C165" s="185">
        <f t="shared" si="1"/>
        <v>1</v>
      </c>
      <c r="D165" s="20" t="s">
        <v>2850</v>
      </c>
      <c r="E165" s="20">
        <v>1.0</v>
      </c>
    </row>
    <row r="166">
      <c r="A166" s="184"/>
      <c r="B166" s="185" t="str">
        <f>IFERROR(__xludf.DUMMYFUNCTION("""COMPUTED_VALUE"""),"Fallen")</f>
        <v>Fallen</v>
      </c>
      <c r="C166" s="185">
        <f t="shared" si="1"/>
        <v>1</v>
      </c>
      <c r="D166" s="20" t="s">
        <v>2851</v>
      </c>
      <c r="E166" s="20">
        <v>1.0</v>
      </c>
    </row>
    <row r="167">
      <c r="A167" s="184" t="str">
        <f>IFERROR(__xludf.DUMMYFUNCTION("""COMPUTED_VALUE"""),"Obsidian")</f>
        <v>Obsidian</v>
      </c>
      <c r="B167" s="185" t="str">
        <f>IFERROR(__xludf.DUMMYFUNCTION("""COMPUTED_VALUE"""),"Diamond")</f>
        <v>Diamond</v>
      </c>
      <c r="C167" s="185">
        <f t="shared" si="1"/>
        <v>1</v>
      </c>
      <c r="D167" s="20" t="s">
        <v>2852</v>
      </c>
      <c r="E167" s="20">
        <v>1.0</v>
      </c>
    </row>
    <row r="168">
      <c r="A168" s="184" t="str">
        <f>IFERROR(__xludf.DUMMYFUNCTION("""COMPUTED_VALUE"""),"Scarab")</f>
        <v>Scarab</v>
      </c>
      <c r="B168" s="185" t="str">
        <f>IFERROR(__xludf.DUMMYFUNCTION("""COMPUTED_VALUE"""),"Phantom")</f>
        <v>Phantom</v>
      </c>
      <c r="C168" s="185">
        <f t="shared" si="1"/>
        <v>1</v>
      </c>
      <c r="D168" s="20" t="s">
        <v>2853</v>
      </c>
      <c r="E168" s="20">
        <v>1.0</v>
      </c>
    </row>
    <row r="169">
      <c r="A169" s="184"/>
      <c r="B169" s="185" t="str">
        <f>IFERROR(__xludf.DUMMYFUNCTION("""COMPUTED_VALUE"""),"Draconic")</f>
        <v>Draconic</v>
      </c>
      <c r="C169" s="185">
        <f t="shared" si="1"/>
        <v>1</v>
      </c>
      <c r="D169" s="20" t="s">
        <v>2854</v>
      </c>
      <c r="E169" s="20">
        <v>1.0</v>
      </c>
    </row>
    <row r="170">
      <c r="A170" s="184"/>
      <c r="B170" s="185" t="str">
        <f>IFERROR(__xludf.DUMMYFUNCTION("""COMPUTED_VALUE"""),"Highpriest")</f>
        <v>Highpriest</v>
      </c>
      <c r="C170" s="185">
        <f t="shared" si="1"/>
        <v>1</v>
      </c>
      <c r="D170" s="20" t="s">
        <v>2855</v>
      </c>
      <c r="E170" s="20">
        <v>1.0</v>
      </c>
    </row>
    <row r="171">
      <c r="A171" s="184"/>
      <c r="B171" s="185" t="str">
        <f>IFERROR(__xludf.DUMMYFUNCTION("""COMPUTED_VALUE"""),"Cavern")</f>
        <v>Cavern</v>
      </c>
      <c r="C171" s="185">
        <f t="shared" si="1"/>
        <v>1</v>
      </c>
      <c r="D171" s="20" t="s">
        <v>2856</v>
      </c>
      <c r="E171" s="20">
        <v>1.0</v>
      </c>
    </row>
    <row r="172">
      <c r="A172" s="184" t="str">
        <f>IFERROR(__xludf.DUMMYFUNCTION("""COMPUTED_VALUE"""),"Solarsteel")</f>
        <v>Solarsteel</v>
      </c>
      <c r="B172" s="185" t="str">
        <f>IFERROR(__xludf.DUMMYFUNCTION("""COMPUTED_VALUE"""),"Lindwurm")</f>
        <v>Lindwurm</v>
      </c>
      <c r="C172" s="185">
        <f t="shared" si="1"/>
        <v>1</v>
      </c>
      <c r="D172" s="20" t="s">
        <v>2857</v>
      </c>
      <c r="E172" s="20">
        <v>1.0</v>
      </c>
    </row>
    <row r="173">
      <c r="A173" s="184" t="str">
        <f>IFERROR(__xludf.DUMMYFUNCTION("""COMPUTED_VALUE"""),"Prodigy")</f>
        <v>Prodigy</v>
      </c>
      <c r="B173" s="185" t="str">
        <f>IFERROR(__xludf.DUMMYFUNCTION("""COMPUTED_VALUE"""),"Cheerful")</f>
        <v>Cheerful</v>
      </c>
      <c r="C173" s="185">
        <f t="shared" si="1"/>
        <v>1</v>
      </c>
      <c r="D173" s="20" t="s">
        <v>2858</v>
      </c>
      <c r="E173" s="20">
        <v>1.0</v>
      </c>
    </row>
    <row r="174">
      <c r="A174" s="184"/>
      <c r="B174" s="185" t="str">
        <f>IFERROR(__xludf.DUMMYFUNCTION("""COMPUTED_VALUE"""),"Pixies")</f>
        <v>Pixies</v>
      </c>
      <c r="C174" s="185">
        <f t="shared" si="1"/>
        <v>1</v>
      </c>
      <c r="D174" s="20" t="s">
        <v>2859</v>
      </c>
      <c r="E174" s="20">
        <v>1.0</v>
      </c>
    </row>
    <row r="175">
      <c r="A175" s="184"/>
      <c r="B175" s="185" t="str">
        <f>IFERROR(__xludf.DUMMYFUNCTION("""COMPUTED_VALUE"""),"Cinderguard")</f>
        <v>Cinderguard</v>
      </c>
      <c r="C175" s="185">
        <f t="shared" si="1"/>
        <v>5</v>
      </c>
      <c r="D175" s="20" t="s">
        <v>2860</v>
      </c>
      <c r="E175" s="20">
        <v>1.0</v>
      </c>
    </row>
    <row r="176">
      <c r="A176" s="184"/>
      <c r="B176" s="185" t="str">
        <f>IFERROR(__xludf.DUMMYFUNCTION("""COMPUTED_VALUE"""),"Scribe")</f>
        <v>Scribe</v>
      </c>
      <c r="C176" s="185">
        <f t="shared" si="1"/>
        <v>1</v>
      </c>
      <c r="D176" s="20" t="s">
        <v>2861</v>
      </c>
      <c r="E176" s="20">
        <v>1.0</v>
      </c>
    </row>
    <row r="177">
      <c r="A177" s="184" t="str">
        <f>IFERROR(__xludf.DUMMYFUNCTION("""COMPUTED_VALUE"""),"Starforger")</f>
        <v>Starforger</v>
      </c>
      <c r="B177" s="185" t="str">
        <f>IFERROR(__xludf.DUMMYFUNCTION("""COMPUTED_VALUE"""),"Daredevil")</f>
        <v>Daredevil</v>
      </c>
      <c r="C177" s="185">
        <f t="shared" si="1"/>
        <v>1</v>
      </c>
      <c r="D177" s="20" t="s">
        <v>2862</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2863</v>
      </c>
      <c r="E179" s="20">
        <v>1.0</v>
      </c>
    </row>
    <row r="180">
      <c r="A180" s="184"/>
      <c r="B180" s="185" t="str">
        <f>IFERROR(__xludf.DUMMYFUNCTION("""COMPUTED_VALUE"""),"Ember")</f>
        <v>Ember</v>
      </c>
      <c r="C180" s="185">
        <f t="shared" si="1"/>
        <v>1</v>
      </c>
      <c r="D180" s="20" t="s">
        <v>2864</v>
      </c>
      <c r="E180" s="20">
        <v>1.0</v>
      </c>
    </row>
    <row r="181">
      <c r="A181" s="184"/>
      <c r="B181" s="185" t="str">
        <f>IFERROR(__xludf.DUMMYFUNCTION("""COMPUTED_VALUE"""),"Whelp")</f>
        <v>Whelp</v>
      </c>
      <c r="C181" s="185">
        <f t="shared" si="1"/>
        <v>1</v>
      </c>
      <c r="D181" s="20" t="s">
        <v>2865</v>
      </c>
      <c r="E181" s="20">
        <v>1.0</v>
      </c>
    </row>
    <row r="182">
      <c r="A182" s="184" t="str">
        <f>IFERROR(__xludf.DUMMYFUNCTION("""COMPUTED_VALUE"""),"Swiftblade")</f>
        <v>Swiftblade</v>
      </c>
      <c r="B182" s="185" t="str">
        <f>IFERROR(__xludf.DUMMYFUNCTION("""COMPUTED_VALUE"""),"Floating")</f>
        <v>Floating</v>
      </c>
      <c r="C182" s="185">
        <f t="shared" si="1"/>
        <v>1</v>
      </c>
      <c r="D182" s="20" t="s">
        <v>2866</v>
      </c>
      <c r="E182" s="20">
        <v>1.0</v>
      </c>
    </row>
    <row r="183">
      <c r="A183" s="184" t="str">
        <f>IFERROR(__xludf.DUMMYFUNCTION("""COMPUTED_VALUE"""),"Revenger")</f>
        <v>Revenger</v>
      </c>
      <c r="B183" s="185" t="str">
        <f>IFERROR(__xludf.DUMMYFUNCTION("""COMPUTED_VALUE"""),"Djinn")</f>
        <v>Djinn</v>
      </c>
      <c r="C183" s="185">
        <f t="shared" si="1"/>
        <v>1</v>
      </c>
      <c r="D183" s="20" t="s">
        <v>2867</v>
      </c>
      <c r="E183" s="20">
        <v>1.0</v>
      </c>
    </row>
    <row r="184">
      <c r="A184" s="184"/>
      <c r="B184" s="185" t="str">
        <f>IFERROR(__xludf.DUMMYFUNCTION("""COMPUTED_VALUE"""),"Dewdrop")</f>
        <v>Dewdrop</v>
      </c>
      <c r="C184" s="185">
        <f t="shared" si="1"/>
        <v>1</v>
      </c>
      <c r="D184" s="20" t="s">
        <v>2868</v>
      </c>
      <c r="E184" s="20">
        <v>1.0</v>
      </c>
    </row>
    <row r="185">
      <c r="A185" s="184"/>
      <c r="B185" s="185" t="str">
        <f>IFERROR(__xludf.DUMMYFUNCTION("""COMPUTED_VALUE"""),"Dragon")</f>
        <v>Dragon</v>
      </c>
      <c r="C185" s="185">
        <f t="shared" si="1"/>
        <v>6</v>
      </c>
      <c r="D185" s="20" t="s">
        <v>2869</v>
      </c>
      <c r="E185" s="20">
        <v>1.0</v>
      </c>
    </row>
    <row r="186">
      <c r="A186" s="184"/>
      <c r="B186" s="185" t="str">
        <f>IFERROR(__xludf.DUMMYFUNCTION("""COMPUTED_VALUE"""),"Egg")</f>
        <v>Egg</v>
      </c>
      <c r="C186" s="185">
        <f t="shared" si="1"/>
        <v>1</v>
      </c>
      <c r="D186" s="20" t="s">
        <v>2870</v>
      </c>
      <c r="E186" s="20">
        <v>1.0</v>
      </c>
    </row>
    <row r="187">
      <c r="A187" s="184" t="str">
        <f>IFERROR(__xludf.DUMMYFUNCTION("""COMPUTED_VALUE"""),"The")</f>
        <v>The</v>
      </c>
      <c r="B187" s="185" t="str">
        <f>IFERROR(__xludf.DUMMYFUNCTION("""COMPUTED_VALUE"""),"Dustdance")</f>
        <v>Dustdance</v>
      </c>
      <c r="C187" s="185">
        <f t="shared" si="1"/>
        <v>1</v>
      </c>
      <c r="D187" s="20" t="s">
        <v>2871</v>
      </c>
      <c r="E187" s="20">
        <v>1.0</v>
      </c>
    </row>
    <row r="188">
      <c r="A188" s="184" t="str">
        <f>IFERROR(__xludf.DUMMYFUNCTION("""COMPUTED_VALUE"""),"Kitty")</f>
        <v>Kitty</v>
      </c>
      <c r="B188" s="185" t="str">
        <f>IFERROR(__xludf.DUMMYFUNCTION("""COMPUTED_VALUE"""),"Efreet")</f>
        <v>Efreet</v>
      </c>
      <c r="C188" s="185">
        <f t="shared" si="1"/>
        <v>1</v>
      </c>
      <c r="D188" s="20" t="s">
        <v>2872</v>
      </c>
      <c r="E188" s="20">
        <v>1.0</v>
      </c>
    </row>
    <row r="189">
      <c r="A189" s="184" t="str">
        <f>IFERROR(__xludf.DUMMYFUNCTION("""COMPUTED_VALUE"""),"of")</f>
        <v>of</v>
      </c>
      <c r="B189" s="185" t="str">
        <f>IFERROR(__xludf.DUMMYFUNCTION("""COMPUTED_VALUE"""),"Hermit")</f>
        <v>Hermit</v>
      </c>
      <c r="C189" s="185">
        <f t="shared" si="1"/>
        <v>3</v>
      </c>
      <c r="D189" s="20" t="s">
        <v>2873</v>
      </c>
      <c r="E189" s="20">
        <v>1.0</v>
      </c>
    </row>
    <row r="190">
      <c r="A190" s="184" t="str">
        <f>IFERROR(__xludf.DUMMYFUNCTION("""COMPUTED_VALUE"""),"Thamiel")</f>
        <v>Thamiel</v>
      </c>
      <c r="B190" s="185" t="str">
        <f>IFERROR(__xludf.DUMMYFUNCTION("""COMPUTED_VALUE"""),"Horizon")</f>
        <v>Horizon</v>
      </c>
      <c r="C190" s="185">
        <f t="shared" si="1"/>
        <v>1</v>
      </c>
      <c r="D190" s="20" t="s">
        <v>2874</v>
      </c>
      <c r="E190" s="20">
        <v>1.0</v>
      </c>
    </row>
    <row r="191">
      <c r="A191" s="184"/>
      <c r="B191" s="185" t="str">
        <f>IFERROR(__xludf.DUMMYFUNCTION("""COMPUTED_VALUE"""),"Roughlands")</f>
        <v>Roughlands</v>
      </c>
      <c r="C191" s="185">
        <f t="shared" si="1"/>
        <v>1</v>
      </c>
      <c r="D191" s="20" t="s">
        <v>2875</v>
      </c>
      <c r="E191" s="20">
        <v>1.0</v>
      </c>
    </row>
    <row r="192">
      <c r="A192" s="184" t="str">
        <f>IFERROR(__xludf.DUMMYFUNCTION("""COMPUTED_VALUE"""),"Thunderswarm")</f>
        <v>Thunderswarm</v>
      </c>
      <c r="B192" s="185" t="str">
        <f>IFERROR(__xludf.DUMMYFUNCTION("""COMPUTED_VALUE"""),"Scourge")</f>
        <v>Scourge</v>
      </c>
      <c r="C192" s="185">
        <f t="shared" si="1"/>
        <v>1</v>
      </c>
      <c r="D192" s="20" t="s">
        <v>2876</v>
      </c>
      <c r="E192" s="20">
        <v>1.0</v>
      </c>
    </row>
    <row r="193">
      <c r="A193" s="184" t="str">
        <f>IFERROR(__xludf.DUMMYFUNCTION("""COMPUTED_VALUE"""),"Skirmisher")</f>
        <v>Skirmisher</v>
      </c>
      <c r="B193" s="185" t="str">
        <f>IFERROR(__xludf.DUMMYFUNCTION("""COMPUTED_VALUE"""),"Mirrorworld")</f>
        <v>Mirrorworld</v>
      </c>
      <c r="C193" s="185">
        <f t="shared" si="1"/>
        <v>1</v>
      </c>
      <c r="D193" s="20" t="s">
        <v>2877</v>
      </c>
      <c r="E193" s="20">
        <v>1.0</v>
      </c>
    </row>
    <row r="194">
      <c r="A194" s="184"/>
      <c r="B194" s="185" t="str">
        <f>IFERROR(__xludf.DUMMYFUNCTION("""COMPUTED_VALUE"""),"Bloodseeker")</f>
        <v>Bloodseeker</v>
      </c>
      <c r="C194" s="185">
        <f t="shared" si="1"/>
        <v>1</v>
      </c>
      <c r="D194" s="20" t="s">
        <v>2878</v>
      </c>
      <c r="E194" s="20">
        <v>1.0</v>
      </c>
    </row>
    <row r="195">
      <c r="A195" s="184"/>
      <c r="B195" s="185" t="str">
        <f>IFERROR(__xludf.DUMMYFUNCTION("""COMPUTED_VALUE"""),"Mountain")</f>
        <v>Mountain</v>
      </c>
      <c r="C195" s="185">
        <f t="shared" si="1"/>
        <v>1</v>
      </c>
      <c r="D195" s="20" t="s">
        <v>2879</v>
      </c>
      <c r="E195" s="20">
        <v>1.0</v>
      </c>
    </row>
    <row r="196">
      <c r="A196" s="184"/>
      <c r="B196" s="185" t="str">
        <f>IFERROR(__xludf.DUMMYFUNCTION("""COMPUTED_VALUE"""),"Sage")</f>
        <v>Sage</v>
      </c>
      <c r="C196" s="185">
        <f t="shared" si="1"/>
        <v>1</v>
      </c>
      <c r="D196" s="20" t="s">
        <v>2880</v>
      </c>
      <c r="E196" s="20">
        <v>1.0</v>
      </c>
    </row>
    <row r="197">
      <c r="A197" s="184" t="str">
        <f>IFERROR(__xludf.DUMMYFUNCTION("""COMPUTED_VALUE"""),"Tranquil")</f>
        <v>Tranquil</v>
      </c>
      <c r="B197" s="185" t="str">
        <f>IFERROR(__xludf.DUMMYFUNCTION("""COMPUTED_VALUE"""),"Nimbus")</f>
        <v>Nimbus</v>
      </c>
      <c r="C197" s="185">
        <f t="shared" si="1"/>
        <v>1</v>
      </c>
      <c r="D197" s="20" t="s">
        <v>2881</v>
      </c>
      <c r="E197" s="20">
        <v>1.0</v>
      </c>
    </row>
    <row r="198">
      <c r="A198" s="184" t="str">
        <f>IFERROR(__xludf.DUMMYFUNCTION("""COMPUTED_VALUE"""),"Herd")</f>
        <v>Herd</v>
      </c>
      <c r="B198" s="185" t="str">
        <f>IFERROR(__xludf.DUMMYFUNCTION("""COMPUTED_VALUE"""),"Claw")</f>
        <v>Claw</v>
      </c>
      <c r="C198" s="185">
        <f t="shared" si="1"/>
        <v>2</v>
      </c>
      <c r="D198" s="20" t="s">
        <v>2882</v>
      </c>
      <c r="E198" s="20">
        <v>1.0</v>
      </c>
    </row>
    <row r="199">
      <c r="A199" s="184" t="str">
        <f>IFERROR(__xludf.DUMMYFUNCTION("""COMPUTED_VALUE"""),"Gem")</f>
        <v>Gem</v>
      </c>
      <c r="B199" s="185" t="str">
        <f>IFERROR(__xludf.DUMMYFUNCTION("""COMPUTED_VALUE"""),"Omen")</f>
        <v>Omen</v>
      </c>
      <c r="C199" s="185">
        <f t="shared" si="1"/>
        <v>1</v>
      </c>
      <c r="D199" s="20" t="s">
        <v>2883</v>
      </c>
      <c r="E199" s="20">
        <v>1.0</v>
      </c>
    </row>
    <row r="200">
      <c r="A200" s="184" t="str">
        <f>IFERROR(__xludf.DUMMYFUNCTION("""COMPUTED_VALUE"""),"Titan")</f>
        <v>Titan</v>
      </c>
      <c r="B200" s="185" t="str">
        <f>IFERROR(__xludf.DUMMYFUNCTION("""COMPUTED_VALUE"""),"Firefly")</f>
        <v>Firefly</v>
      </c>
      <c r="C200" s="185">
        <f t="shared" si="1"/>
        <v>1</v>
      </c>
      <c r="D200" s="20" t="s">
        <v>2884</v>
      </c>
      <c r="E200" s="20">
        <v>1.0</v>
      </c>
    </row>
    <row r="201">
      <c r="A201" s="184"/>
      <c r="B201" s="185" t="str">
        <f>IFERROR(__xludf.DUMMYFUNCTION("""COMPUTED_VALUE"""),"Pixie")</f>
        <v>Pixie</v>
      </c>
      <c r="C201" s="185">
        <f t="shared" si="1"/>
        <v>1</v>
      </c>
      <c r="D201" s="20" t="s">
        <v>2885</v>
      </c>
      <c r="E201" s="20">
        <v>1.0</v>
      </c>
    </row>
    <row r="202">
      <c r="A202" s="184" t="str">
        <f>IFERROR(__xludf.DUMMYFUNCTION("""COMPUTED_VALUE"""),"Towering")</f>
        <v>Towering</v>
      </c>
      <c r="B202" s="185" t="str">
        <f>IFERROR(__xludf.DUMMYFUNCTION("""COMPUTED_VALUE"""),"Summoner")</f>
        <v>Summoner</v>
      </c>
      <c r="C202" s="185">
        <f t="shared" si="1"/>
        <v>1</v>
      </c>
      <c r="D202" s="20" t="s">
        <v>2886</v>
      </c>
      <c r="E202" s="20">
        <v>1.0</v>
      </c>
    </row>
    <row r="203">
      <c r="A203" s="184" t="str">
        <f>IFERROR(__xludf.DUMMYFUNCTION("""COMPUTED_VALUE"""),"Obelisk")</f>
        <v>Obelisk</v>
      </c>
      <c r="B203" s="185" t="str">
        <f>IFERROR(__xludf.DUMMYFUNCTION("""COMPUTED_VALUE"""),"Pyretic")</f>
        <v>Pyretic</v>
      </c>
      <c r="C203" s="185">
        <f t="shared" si="1"/>
        <v>1</v>
      </c>
      <c r="D203" s="20" t="s">
        <v>2887</v>
      </c>
      <c r="E203" s="20">
        <v>1.0</v>
      </c>
    </row>
    <row r="204">
      <c r="A204" s="184" t="str">
        <f>IFERROR(__xludf.DUMMYFUNCTION("""COMPUTED_VALUE"""),"of")</f>
        <v>of</v>
      </c>
      <c r="B204" s="185" t="str">
        <f>IFERROR(__xludf.DUMMYFUNCTION("""COMPUTED_VALUE"""),"Pet")</f>
        <v>Pet</v>
      </c>
      <c r="C204" s="185">
        <f t="shared" si="1"/>
        <v>1</v>
      </c>
      <c r="D204" s="20" t="s">
        <v>2888</v>
      </c>
      <c r="E204" s="20">
        <v>1.0</v>
      </c>
    </row>
    <row r="205">
      <c r="A205" s="184" t="str">
        <f>IFERROR(__xludf.DUMMYFUNCTION("""COMPUTED_VALUE"""),"Xi")</f>
        <v>Xi</v>
      </c>
      <c r="B205" s="185" t="str">
        <f>IFERROR(__xludf.DUMMYFUNCTION("""COMPUTED_VALUE"""),"Shifting")</f>
        <v>Shifting</v>
      </c>
      <c r="C205" s="185">
        <f t="shared" si="1"/>
        <v>1</v>
      </c>
      <c r="D205" s="20" t="s">
        <v>2889</v>
      </c>
      <c r="E205" s="20">
        <v>1.0</v>
      </c>
    </row>
    <row r="206">
      <c r="A206" s="184"/>
      <c r="B206" s="185" t="str">
        <f>IFERROR(__xludf.DUMMYFUNCTION("""COMPUTED_VALUE"""),"Sands")</f>
        <v>Sands</v>
      </c>
      <c r="C206" s="185">
        <f t="shared" si="1"/>
        <v>1</v>
      </c>
      <c r="D206" s="20" t="s">
        <v>2890</v>
      </c>
      <c r="E206" s="20">
        <v>1.0</v>
      </c>
    </row>
    <row r="207">
      <c r="A207" s="184" t="str">
        <f>IFERROR(__xludf.DUMMYFUNCTION("""COMPUTED_VALUE"""),"Thunderswarm")</f>
        <v>Thunderswarm</v>
      </c>
      <c r="B207" s="185" t="str">
        <f>IFERROR(__xludf.DUMMYFUNCTION("""COMPUTED_VALUE"""),"Torii")</f>
        <v>Torii</v>
      </c>
      <c r="C207" s="185">
        <f t="shared" si="1"/>
        <v>1</v>
      </c>
      <c r="D207" s="20" t="s">
        <v>2891</v>
      </c>
      <c r="E207" s="20">
        <v>1.0</v>
      </c>
    </row>
    <row r="208">
      <c r="A208" s="184" t="str">
        <f>IFERROR(__xludf.DUMMYFUNCTION("""COMPUTED_VALUE"""),"Pegasus")</f>
        <v>Pegasus</v>
      </c>
      <c r="B208" s="185" t="str">
        <f>IFERROR(__xludf.DUMMYFUNCTION("""COMPUTED_VALUE"""),"Spirit")</f>
        <v>Spirit</v>
      </c>
      <c r="C208" s="185">
        <f t="shared" si="1"/>
        <v>1</v>
      </c>
      <c r="D208" s="20" t="s">
        <v>2892</v>
      </c>
      <c r="E208" s="20">
        <v>1.0</v>
      </c>
    </row>
    <row r="209">
      <c r="A209" s="184"/>
      <c r="B209" s="185" t="str">
        <f>IFERROR(__xludf.DUMMYFUNCTION("""COMPUTED_VALUE"""),"Red")</f>
        <v>Red</v>
      </c>
      <c r="C209" s="185">
        <f t="shared" si="1"/>
        <v>2</v>
      </c>
      <c r="D209" s="20" t="s">
        <v>2893</v>
      </c>
      <c r="E209" s="20">
        <v>1.0</v>
      </c>
    </row>
    <row r="210">
      <c r="A210" s="184"/>
      <c r="B210" s="185" t="str">
        <f>IFERROR(__xludf.DUMMYFUNCTION("""COMPUTED_VALUE"""),"Windkite")</f>
        <v>Windkite</v>
      </c>
      <c r="C210" s="185">
        <f t="shared" si="1"/>
        <v>1</v>
      </c>
      <c r="D210" s="20" t="s">
        <v>2894</v>
      </c>
      <c r="E210" s="20">
        <v>1.0</v>
      </c>
    </row>
    <row r="211">
      <c r="A211" s="184"/>
      <c r="B211" s="185" t="str">
        <f>IFERROR(__xludf.DUMMYFUNCTION("""COMPUTED_VALUE"""),"Acolyte")</f>
        <v>Acolyte</v>
      </c>
      <c r="C211" s="185">
        <f t="shared" si="1"/>
        <v>2</v>
      </c>
      <c r="D211" s="20" t="s">
        <v>2895</v>
      </c>
      <c r="E211" s="20">
        <v>1.0</v>
      </c>
    </row>
    <row r="212">
      <c r="A212" s="184" t="str">
        <f>IFERROR(__xludf.DUMMYFUNCTION("""COMPUTED_VALUE"""),"Winged")</f>
        <v>Winged</v>
      </c>
      <c r="B212" s="185" t="str">
        <f>IFERROR(__xludf.DUMMYFUNCTION("""COMPUTED_VALUE"""),"Sand")</f>
        <v>Sand</v>
      </c>
      <c r="C212" s="185">
        <f t="shared" si="1"/>
        <v>1</v>
      </c>
      <c r="D212" s="20" t="s">
        <v>2896</v>
      </c>
      <c r="E212" s="20">
        <v>1.0</v>
      </c>
    </row>
    <row r="213">
      <c r="A213" s="184" t="str">
        <f>IFERROR(__xludf.DUMMYFUNCTION("""COMPUTED_VALUE"""),"Ushabti")</f>
        <v>Ushabti</v>
      </c>
      <c r="B213" s="185" t="str">
        <f>IFERROR(__xludf.DUMMYFUNCTION("""COMPUTED_VALUE"""),"Witch")</f>
        <v>Witch</v>
      </c>
      <c r="C213" s="185">
        <f t="shared" si="1"/>
        <v>1</v>
      </c>
      <c r="D213" s="20" t="s">
        <v>2897</v>
      </c>
      <c r="E213" s="20">
        <v>1.0</v>
      </c>
    </row>
    <row r="214">
      <c r="A214" s="184"/>
      <c r="B214" s="185" t="str">
        <f>IFERROR(__xludf.DUMMYFUNCTION("""COMPUTED_VALUE"""),"Shardhorde")</f>
        <v>Shardhorde</v>
      </c>
      <c r="C214" s="185">
        <f t="shared" si="1"/>
        <v>3</v>
      </c>
      <c r="D214" s="20" t="s">
        <v>2898</v>
      </c>
      <c r="E214" s="20">
        <v>1.0</v>
      </c>
    </row>
    <row r="215">
      <c r="A215" s="184"/>
      <c r="B215" s="185" t="str">
        <f>IFERROR(__xludf.DUMMYFUNCTION("""COMPUTED_VALUE"""),"Galewhelp")</f>
        <v>Galewhelp</v>
      </c>
      <c r="C215" s="185">
        <f t="shared" si="1"/>
        <v>1</v>
      </c>
      <c r="D215" s="20" t="s">
        <v>2899</v>
      </c>
      <c r="E215" s="20">
        <v>1.0</v>
      </c>
    </row>
    <row r="216">
      <c r="A216" s="184"/>
      <c r="B216" s="185" t="str">
        <f>IFERROR(__xludf.DUMMYFUNCTION("""COMPUTED_VALUE"""),"Amberlock")</f>
        <v>Amberlock</v>
      </c>
      <c r="C216" s="185">
        <f t="shared" si="1"/>
        <v>1</v>
      </c>
      <c r="D216" s="20" t="s">
        <v>2900</v>
      </c>
      <c r="E216" s="20">
        <v>1.0</v>
      </c>
    </row>
    <row r="217">
      <c r="A217" s="184" t="str">
        <f>IFERROR(__xludf.DUMMYFUNCTION("""COMPUTED_VALUE"""),"Ghostfire")</f>
        <v>Ghostfire</v>
      </c>
      <c r="B217" s="185" t="str">
        <f>IFERROR(__xludf.DUMMYFUNCTION("""COMPUTED_VALUE"""),"Dragonling")</f>
        <v>Dragonling</v>
      </c>
      <c r="C217" s="185">
        <f t="shared" si="1"/>
        <v>1</v>
      </c>
      <c r="D217" s="20" t="s">
        <v>2901</v>
      </c>
      <c r="E217" s="20">
        <v>1.0</v>
      </c>
    </row>
    <row r="218">
      <c r="A218" s="184" t="str">
        <f>IFERROR(__xludf.DUMMYFUNCTION("""COMPUTED_VALUE"""),"Basilisk")</f>
        <v>Basilisk</v>
      </c>
      <c r="B218" s="185" t="str">
        <f>IFERROR(__xludf.DUMMYFUNCTION("""COMPUTED_VALUE"""),"Dragonfire")</f>
        <v>Dragonfire</v>
      </c>
      <c r="C218" s="185">
        <f t="shared" si="1"/>
        <v>1</v>
      </c>
      <c r="D218" s="20" t="s">
        <v>2902</v>
      </c>
      <c r="E218" s="20">
        <v>1.0</v>
      </c>
    </row>
    <row r="219">
      <c r="A219" s="184"/>
      <c r="B219" s="185" t="str">
        <f>IFERROR(__xludf.DUMMYFUNCTION("""COMPUTED_VALUE"""),"Warlock")</f>
        <v>Warlock</v>
      </c>
      <c r="C219" s="185">
        <f t="shared" si="1"/>
        <v>1</v>
      </c>
      <c r="D219" s="20" t="s">
        <v>2903</v>
      </c>
      <c r="E219" s="20">
        <v>1.0</v>
      </c>
    </row>
    <row r="220">
      <c r="A220" s="184"/>
      <c r="B220" s="185" t="str">
        <f>IFERROR(__xludf.DUMMYFUNCTION("""COMPUTED_VALUE"""),"Dragonwind")</f>
        <v>Dragonwind</v>
      </c>
      <c r="C220" s="185">
        <f t="shared" si="1"/>
        <v>1</v>
      </c>
      <c r="D220" s="20" t="s">
        <v>2904</v>
      </c>
      <c r="E220" s="20">
        <v>1.0</v>
      </c>
    </row>
    <row r="221">
      <c r="A221" s="184"/>
      <c r="B221" s="185" t="str">
        <f>IFERROR(__xludf.DUMMYFUNCTION("""COMPUTED_VALUE"""),"Harbinger")</f>
        <v>Harbinger</v>
      </c>
      <c r="C221" s="185">
        <f t="shared" si="1"/>
        <v>1</v>
      </c>
      <c r="D221" s="20" t="s">
        <v>2905</v>
      </c>
      <c r="E221" s="20">
        <v>1.0</v>
      </c>
    </row>
    <row r="222">
      <c r="A222" s="184" t="str">
        <f>IFERROR(__xludf.DUMMYFUNCTION("""COMPUTED_VALUE"""),"Yellow")</f>
        <v>Yellow</v>
      </c>
      <c r="B222" s="185" t="str">
        <f>IFERROR(__xludf.DUMMYFUNCTION("""COMPUTED_VALUE"""),"Sparkwielder")</f>
        <v>Sparkwielder</v>
      </c>
      <c r="C222" s="185">
        <f t="shared" si="1"/>
        <v>1</v>
      </c>
      <c r="D222" s="20" t="s">
        <v>2906</v>
      </c>
      <c r="E222" s="20">
        <v>1.0</v>
      </c>
    </row>
    <row r="223">
      <c r="A223" s="184" t="str">
        <f>IFERROR(__xludf.DUMMYFUNCTION("""COMPUTED_VALUE"""),"Crusader")</f>
        <v>Crusader</v>
      </c>
      <c r="B223" s="185" t="str">
        <f>IFERROR(__xludf.DUMMYFUNCTION("""COMPUTED_VALUE"""),"Gashopper")</f>
        <v>Gashopper</v>
      </c>
      <c r="C223" s="185">
        <f t="shared" si="1"/>
        <v>1</v>
      </c>
      <c r="D223" s="20" t="s">
        <v>2907</v>
      </c>
      <c r="E223" s="20">
        <v>1.0</v>
      </c>
    </row>
    <row r="224">
      <c r="A224" s="184"/>
      <c r="B224" s="185" t="str">
        <f>IFERROR(__xludf.DUMMYFUNCTION("""COMPUTED_VALUE"""),"Hailbringer")</f>
        <v>Hailbringer</v>
      </c>
      <c r="C224" s="185">
        <f t="shared" si="1"/>
        <v>1</v>
      </c>
      <c r="D224" s="20" t="s">
        <v>2908</v>
      </c>
      <c r="E224" s="20">
        <v>1.0</v>
      </c>
    </row>
    <row r="225">
      <c r="A225" s="184"/>
      <c r="B225" s="185" t="str">
        <f>IFERROR(__xludf.DUMMYFUNCTION("""COMPUTED_VALUE"""),"Stormlash")</f>
        <v>Stormlash</v>
      </c>
      <c r="C225" s="185">
        <f t="shared" si="1"/>
        <v>1</v>
      </c>
      <c r="D225" s="20" t="s">
        <v>2909</v>
      </c>
      <c r="E225" s="20">
        <v>1.0</v>
      </c>
    </row>
    <row r="226">
      <c r="A226" s="184"/>
      <c r="B226" s="185" t="str">
        <f>IFERROR(__xludf.DUMMYFUNCTION("""COMPUTED_VALUE"""),"Stormworn")</f>
        <v>Stormworn</v>
      </c>
      <c r="C226" s="185">
        <f t="shared" si="1"/>
        <v>1</v>
      </c>
      <c r="D226" s="20" t="s">
        <v>2910</v>
      </c>
      <c r="E226" s="20">
        <v>1.0</v>
      </c>
    </row>
    <row r="227">
      <c r="A227" s="184" t="str">
        <f>IFERROR(__xludf.DUMMYFUNCTION("""COMPUTED_VALUE"""),"Young")</f>
        <v>Young</v>
      </c>
      <c r="B227" s="185" t="str">
        <f>IFERROR(__xludf.DUMMYFUNCTION("""COMPUTED_VALUE"""),"Horn")</f>
        <v>Horn</v>
      </c>
      <c r="C227" s="185">
        <f t="shared" si="1"/>
        <v>1</v>
      </c>
      <c r="D227" s="20" t="s">
        <v>2911</v>
      </c>
      <c r="E227" s="20">
        <v>1.0</v>
      </c>
    </row>
    <row r="228">
      <c r="A228" s="184" t="str">
        <f>IFERROR(__xludf.DUMMYFUNCTION("""COMPUTED_VALUE"""),"Monk")</f>
        <v>Monk</v>
      </c>
      <c r="B228" s="185" t="str">
        <f>IFERROR(__xludf.DUMMYFUNCTION("""COMPUTED_VALUE"""),"Glinteye")</f>
        <v>Glinteye</v>
      </c>
      <c r="C228" s="185">
        <f t="shared" si="1"/>
        <v>1</v>
      </c>
      <c r="D228" s="20" t="s">
        <v>2912</v>
      </c>
      <c r="E228" s="20">
        <v>1.0</v>
      </c>
    </row>
    <row r="229">
      <c r="A229" s="184"/>
      <c r="B229" s="185" t="str">
        <f>IFERROR(__xludf.DUMMYFUNCTION("""COMPUTED_VALUE"""),"Hoarder")</f>
        <v>Hoarder</v>
      </c>
      <c r="C229" s="185">
        <f t="shared" si="1"/>
        <v>1</v>
      </c>
      <c r="D229" s="20" t="s">
        <v>2913</v>
      </c>
      <c r="E229" s="20">
        <v>1.0</v>
      </c>
    </row>
    <row r="230">
      <c r="A230" s="184"/>
      <c r="B230" s="185" t="str">
        <f>IFERROR(__xludf.DUMMYFUNCTION("""COMPUTED_VALUE"""),"Culling")</f>
        <v>Culling</v>
      </c>
      <c r="C230" s="185">
        <f t="shared" si="1"/>
        <v>1</v>
      </c>
      <c r="D230" s="20" t="s">
        <v>2914</v>
      </c>
      <c r="E230" s="20">
        <v>1.0</v>
      </c>
    </row>
    <row r="231">
      <c r="A231" s="184"/>
      <c r="B231" s="185" t="str">
        <f>IFERROR(__xludf.DUMMYFUNCTION("""COMPUTED_VALUE"""),"Thunderfox")</f>
        <v>Thunderfox</v>
      </c>
      <c r="C231" s="185">
        <f t="shared" si="1"/>
        <v>1</v>
      </c>
      <c r="D231" s="20" t="s">
        <v>2915</v>
      </c>
      <c r="E231" s="20">
        <v>1.0</v>
      </c>
    </row>
    <row r="232">
      <c r="A232" s="184" t="str">
        <f>IFERROR(__xludf.DUMMYFUNCTION("""COMPUTED_VALUE"""),"Cartouche")</f>
        <v>Cartouche</v>
      </c>
      <c r="B232" s="185" t="str">
        <f>IFERROR(__xludf.DUMMYFUNCTION("""COMPUTED_VALUE"""),"Raijin's")</f>
        <v>Raijin's</v>
      </c>
      <c r="C232" s="185">
        <f t="shared" si="1"/>
        <v>1</v>
      </c>
      <c r="D232" s="20" t="s">
        <v>2916</v>
      </c>
      <c r="E232" s="20">
        <v>1.0</v>
      </c>
    </row>
    <row r="233">
      <c r="A233" s="184" t="str">
        <f>IFERROR(__xludf.DUMMYFUNCTION("""COMPUTED_VALUE"""),"Luster")</f>
        <v>Luster</v>
      </c>
      <c r="B233" s="185" t="str">
        <f>IFERROR(__xludf.DUMMYFUNCTION("""COMPUTED_VALUE"""),"Familiar")</f>
        <v>Familiar</v>
      </c>
      <c r="C233" s="185">
        <f t="shared" si="1"/>
        <v>2</v>
      </c>
      <c r="D233" s="20" t="s">
        <v>2917</v>
      </c>
      <c r="E233" s="20">
        <v>1.0</v>
      </c>
    </row>
    <row r="234">
      <c r="A234" s="184"/>
      <c r="B234" s="185" t="str">
        <f>IFERROR(__xludf.DUMMYFUNCTION("""COMPUTED_VALUE"""),"Twin")</f>
        <v>Twin</v>
      </c>
      <c r="C234" s="185">
        <f t="shared" si="1"/>
        <v>2</v>
      </c>
      <c r="D234" s="20" t="s">
        <v>2918</v>
      </c>
      <c r="E234" s="20">
        <v>1.0</v>
      </c>
    </row>
    <row r="235">
      <c r="A235" s="184"/>
      <c r="B235" s="185" t="str">
        <f>IFERROR(__xludf.DUMMYFUNCTION("""COMPUTED_VALUE"""),"Thundertail")</f>
        <v>Thundertail</v>
      </c>
      <c r="C235" s="185">
        <f t="shared" si="1"/>
        <v>1</v>
      </c>
      <c r="D235" s="20" t="s">
        <v>2919</v>
      </c>
      <c r="E235" s="20">
        <v>1.0</v>
      </c>
    </row>
    <row r="236">
      <c r="A236" s="184"/>
      <c r="B236" s="185" t="str">
        <f>IFERROR(__xludf.DUMMYFUNCTION("""COMPUTED_VALUE"""),"Vengeful")</f>
        <v>Vengeful</v>
      </c>
      <c r="C236" s="185">
        <f t="shared" si="1"/>
        <v>1</v>
      </c>
      <c r="D236" s="20" t="s">
        <v>2920</v>
      </c>
      <c r="E236" s="20">
        <v>1.0</v>
      </c>
    </row>
    <row r="237">
      <c r="A237" s="184" t="str">
        <f>IFERROR(__xludf.DUMMYFUNCTION("""COMPUTED_VALUE"""),"Golden")</f>
        <v>Golden</v>
      </c>
      <c r="B237" s="185" t="str">
        <f>IFERROR(__xludf.DUMMYFUNCTION("""COMPUTED_VALUE"""),"Gust")</f>
        <v>Gust</v>
      </c>
      <c r="C237" s="185">
        <f t="shared" si="1"/>
        <v>1</v>
      </c>
      <c r="D237" s="20" t="s">
        <v>2921</v>
      </c>
      <c r="E237" s="20">
        <v>1.0</v>
      </c>
    </row>
    <row r="238">
      <c r="A238" s="184" t="str">
        <f>IFERROR(__xludf.DUMMYFUNCTION("""COMPUTED_VALUE"""),"Phoenix")</f>
        <v>Phoenix</v>
      </c>
      <c r="B238" s="185" t="str">
        <f>IFERROR(__xludf.DUMMYFUNCTION("""COMPUTED_VALUE"""),"Runecursed")</f>
        <v>Runecursed</v>
      </c>
      <c r="C238" s="185">
        <f t="shared" si="1"/>
        <v>1</v>
      </c>
      <c r="D238" s="20" t="s">
        <v>2922</v>
      </c>
      <c r="E238" s="20">
        <v>1.0</v>
      </c>
    </row>
    <row r="239">
      <c r="A239" s="184"/>
      <c r="B239" s="185" t="str">
        <f>IFERROR(__xludf.DUMMYFUNCTION("""COMPUTED_VALUE"""),"Skulloath")</f>
        <v>Skulloath</v>
      </c>
      <c r="C239" s="185">
        <f t="shared" si="1"/>
        <v>2</v>
      </c>
      <c r="D239" s="20" t="s">
        <v>2923</v>
      </c>
      <c r="E239" s="20">
        <v>1.0</v>
      </c>
    </row>
    <row r="240">
      <c r="A240" s="184"/>
      <c r="B240" s="185" t="str">
        <f>IFERROR(__xludf.DUMMYFUNCTION("""COMPUTED_VALUE"""),"Lootclaimer")</f>
        <v>Lootclaimer</v>
      </c>
      <c r="C240" s="185">
        <f t="shared" si="1"/>
        <v>1</v>
      </c>
      <c r="D240" s="20" t="s">
        <v>2924</v>
      </c>
      <c r="E240" s="20">
        <v>1.0</v>
      </c>
    </row>
    <row r="241">
      <c r="A241" s="184"/>
      <c r="B241" s="185" t="str">
        <f>IFERROR(__xludf.DUMMYFUNCTION("""COMPUTED_VALUE"""),"Spell")</f>
        <v>Spell</v>
      </c>
      <c r="C241" s="185">
        <f t="shared" si="1"/>
        <v>1</v>
      </c>
      <c r="D241" s="20" t="s">
        <v>2925</v>
      </c>
      <c r="E241" s="20">
        <v>1.0</v>
      </c>
    </row>
    <row r="242">
      <c r="A242" s="184" t="str">
        <f>IFERROR(__xludf.DUMMYFUNCTION("""COMPUTED_VALUE"""),"Hailstorm")</f>
        <v>Hailstorm</v>
      </c>
      <c r="B242" s="185" t="str">
        <f>IFERROR(__xludf.DUMMYFUNCTION("""COMPUTED_VALUE"""),"Cat")</f>
        <v>Cat</v>
      </c>
      <c r="C242" s="185">
        <f t="shared" si="1"/>
        <v>1</v>
      </c>
      <c r="D242" s="20" t="s">
        <v>2926</v>
      </c>
      <c r="E242" s="20">
        <v>1.0</v>
      </c>
    </row>
    <row r="243">
      <c r="A243" s="184" t="str">
        <f>IFERROR(__xludf.DUMMYFUNCTION("""COMPUTED_VALUE"""),"Seraph")</f>
        <v>Seraph</v>
      </c>
      <c r="B243" s="185" t="str">
        <f>IFERROR(__xludf.DUMMYFUNCTION("""COMPUTED_VALUE"""),"Vermillion")</f>
        <v>Vermillion</v>
      </c>
      <c r="C243" s="185">
        <f t="shared" si="1"/>
        <v>1</v>
      </c>
      <c r="D243" s="20" t="s">
        <v>2927</v>
      </c>
      <c r="E243" s="20">
        <v>1.0</v>
      </c>
    </row>
    <row r="244">
      <c r="A244" s="184"/>
      <c r="B244" s="185" t="str">
        <f>IFERROR(__xludf.DUMMYFUNCTION("""COMPUTED_VALUE"""),"Firebird")</f>
        <v>Firebird</v>
      </c>
      <c r="C244" s="185">
        <f t="shared" si="1"/>
        <v>1</v>
      </c>
      <c r="D244" s="20" t="s">
        <v>2928</v>
      </c>
      <c r="E244" s="20">
        <v>1.0</v>
      </c>
    </row>
    <row r="245">
      <c r="A245" s="184"/>
      <c r="B245" s="185" t="str">
        <f>IFERROR(__xludf.DUMMYFUNCTION("""COMPUTED_VALUE"""),"Oasisdweller")</f>
        <v>Oasisdweller</v>
      </c>
      <c r="C245" s="185">
        <f t="shared" si="1"/>
        <v>1</v>
      </c>
      <c r="D245" s="20" t="s">
        <v>2929</v>
      </c>
      <c r="E245" s="20">
        <v>1.0</v>
      </c>
    </row>
    <row r="246">
      <c r="A246" s="184"/>
      <c r="B246" s="185" t="str">
        <f>IFERROR(__xludf.DUMMYFUNCTION("""COMPUTED_VALUE"""),"Portalrunner")</f>
        <v>Portalrunner</v>
      </c>
      <c r="C246" s="185">
        <f t="shared" si="1"/>
        <v>1</v>
      </c>
      <c r="D246" s="20" t="s">
        <v>2930</v>
      </c>
      <c r="E246" s="20">
        <v>1.0</v>
      </c>
    </row>
    <row r="247">
      <c r="A247" s="184" t="str">
        <f>IFERROR(__xludf.DUMMYFUNCTION("""COMPUTED_VALUE"""),"Scittering")</f>
        <v>Scittering</v>
      </c>
      <c r="B247" s="185" t="str">
        <f>IFERROR(__xludf.DUMMYFUNCTION("""COMPUTED_VALUE"""),"Irregulars")</f>
        <v>Irregulars</v>
      </c>
      <c r="C247" s="185">
        <f t="shared" si="1"/>
        <v>1</v>
      </c>
      <c r="D247" s="20" t="s">
        <v>2931</v>
      </c>
      <c r="E247" s="20">
        <v>1.0</v>
      </c>
    </row>
    <row r="248">
      <c r="A248" s="184" t="str">
        <f>IFERROR(__xludf.DUMMYFUNCTION("""COMPUTED_VALUE"""),"Scorpion")</f>
        <v>Scorpion</v>
      </c>
      <c r="B248" s="185" t="str">
        <f>IFERROR(__xludf.DUMMYFUNCTION("""COMPUTED_VALUE"""),"Steelclaw")</f>
        <v>Steelclaw</v>
      </c>
      <c r="C248" s="185">
        <f t="shared" si="1"/>
        <v>1</v>
      </c>
      <c r="D248" s="20" t="s">
        <v>2932</v>
      </c>
      <c r="E248" s="20">
        <v>1.0</v>
      </c>
    </row>
    <row r="249">
      <c r="A249" s="184"/>
      <c r="B249" s="185" t="str">
        <f>IFERROR(__xludf.DUMMYFUNCTION("""COMPUTED_VALUE"""),"Veterans")</f>
        <v>Veterans</v>
      </c>
      <c r="C249" s="185">
        <f t="shared" si="1"/>
        <v>1</v>
      </c>
      <c r="D249" s="20" t="s">
        <v>2933</v>
      </c>
      <c r="E249" s="20">
        <v>1.0</v>
      </c>
    </row>
    <row r="250">
      <c r="A250" s="184"/>
      <c r="B250" s="185" t="str">
        <f>IFERROR(__xludf.DUMMYFUNCTION("""COMPUTED_VALUE"""),"Crazed")</f>
        <v>Crazed</v>
      </c>
      <c r="C250" s="185">
        <f t="shared" si="1"/>
        <v>2</v>
      </c>
      <c r="D250" s="20" t="s">
        <v>2934</v>
      </c>
      <c r="E250" s="20">
        <v>1.0</v>
      </c>
    </row>
    <row r="251">
      <c r="A251" s="184"/>
      <c r="B251" s="185" t="str">
        <f>IFERROR(__xludf.DUMMYFUNCTION("""COMPUTED_VALUE"""),"Galeweaver")</f>
        <v>Galeweaver</v>
      </c>
      <c r="C251" s="185">
        <f t="shared" si="1"/>
        <v>1</v>
      </c>
      <c r="D251" s="20" t="s">
        <v>2935</v>
      </c>
      <c r="E251" s="20">
        <v>1.0</v>
      </c>
    </row>
    <row r="252">
      <c r="A252" s="184" t="str">
        <f>IFERROR(__xludf.DUMMYFUNCTION("""COMPUTED_VALUE"""),"Wrath")</f>
        <v>Wrath</v>
      </c>
      <c r="B252" s="185" t="str">
        <f>IFERROR(__xludf.DUMMYFUNCTION("""COMPUTED_VALUE"""),"Lurking")</f>
        <v>Lurking</v>
      </c>
      <c r="C252" s="185">
        <f t="shared" si="1"/>
        <v>1</v>
      </c>
      <c r="D252" s="20" t="s">
        <v>2936</v>
      </c>
      <c r="E252" s="20">
        <v>1.0</v>
      </c>
    </row>
    <row r="253">
      <c r="A253" s="184" t="str">
        <f>IFERROR(__xludf.DUMMYFUNCTION("""COMPUTED_VALUE"""),"of")</f>
        <v>of</v>
      </c>
      <c r="B253" s="185" t="str">
        <f>IFERROR(__xludf.DUMMYFUNCTION("""COMPUTED_VALUE"""),"Canopystomper")</f>
        <v>Canopystomper</v>
      </c>
      <c r="C253" s="185">
        <f t="shared" si="1"/>
        <v>1</v>
      </c>
      <c r="D253" s="20" t="s">
        <v>2937</v>
      </c>
      <c r="E253" s="20">
        <v>1.0</v>
      </c>
    </row>
    <row r="254">
      <c r="A254" s="184" t="str">
        <f>IFERROR(__xludf.DUMMYFUNCTION("""COMPUTED_VALUE"""),"the")</f>
        <v>the</v>
      </c>
      <c r="B254" s="185" t="str">
        <f>IFERROR(__xludf.DUMMYFUNCTION("""COMPUTED_VALUE"""),"Resourceful")</f>
        <v>Resourceful</v>
      </c>
      <c r="C254" s="185">
        <f t="shared" si="1"/>
        <v>1</v>
      </c>
      <c r="D254" s="20" t="s">
        <v>2938</v>
      </c>
      <c r="E254" s="20">
        <v>1.0</v>
      </c>
    </row>
    <row r="255">
      <c r="A255" s="184" t="str">
        <f>IFERROR(__xludf.DUMMYFUNCTION("""COMPUTED_VALUE"""),"Pharaoh")</f>
        <v>Pharaoh</v>
      </c>
      <c r="B255" s="185" t="str">
        <f>IFERROR(__xludf.DUMMYFUNCTION("""COMPUTED_VALUE"""),"Poacher")</f>
        <v>Poacher</v>
      </c>
      <c r="C255" s="185">
        <f t="shared" si="1"/>
        <v>1</v>
      </c>
      <c r="D255" s="20" t="s">
        <v>2939</v>
      </c>
      <c r="E255" s="20">
        <v>1.0</v>
      </c>
    </row>
    <row r="256">
      <c r="A256" s="184"/>
      <c r="B256" s="185" t="str">
        <f>IFERROR(__xludf.DUMMYFUNCTION("""COMPUTED_VALUE"""),"Infernoblight")</f>
        <v>Infernoblight</v>
      </c>
      <c r="C256" s="185">
        <f t="shared" si="1"/>
        <v>1</v>
      </c>
      <c r="D256" s="20" t="s">
        <v>2940</v>
      </c>
      <c r="E256" s="20">
        <v>1.0</v>
      </c>
    </row>
    <row r="257">
      <c r="A257" s="184" t="str">
        <f>IFERROR(__xludf.DUMMYFUNCTION("""COMPUTED_VALUE"""),"Bringer")</f>
        <v>Bringer</v>
      </c>
      <c r="B257" s="185" t="str">
        <f>IFERROR(__xludf.DUMMYFUNCTION("""COMPUTED_VALUE"""),"Skyshrieker")</f>
        <v>Skyshrieker</v>
      </c>
      <c r="C257" s="185">
        <f t="shared" si="1"/>
        <v>1</v>
      </c>
      <c r="D257" s="20" t="s">
        <v>2941</v>
      </c>
      <c r="E257" s="20">
        <v>1.0</v>
      </c>
    </row>
    <row r="258">
      <c r="A258" s="184" t="str">
        <f>IFERROR(__xludf.DUMMYFUNCTION("""COMPUTED_VALUE"""),"of")</f>
        <v>of</v>
      </c>
      <c r="B258" s="185" t="str">
        <f>IFERROR(__xludf.DUMMYFUNCTION("""COMPUTED_VALUE"""),"Mistborn")</f>
        <v>Mistborn</v>
      </c>
      <c r="C258" s="185">
        <f t="shared" si="1"/>
        <v>1</v>
      </c>
      <c r="D258" s="20" t="s">
        <v>2942</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2943</v>
      </c>
      <c r="E260" s="20">
        <v>1.0</v>
      </c>
    </row>
    <row r="261">
      <c r="A261" s="184"/>
      <c r="B261" s="185" t="str">
        <f>IFERROR(__xludf.DUMMYFUNCTION("""COMPUTED_VALUE"""),"Omens")</f>
        <v>Omens</v>
      </c>
      <c r="C261" s="185">
        <f t="shared" si="1"/>
        <v>1</v>
      </c>
      <c r="D261" s="20" t="s">
        <v>2944</v>
      </c>
      <c r="E261" s="20">
        <v>1.0</v>
      </c>
    </row>
    <row r="262">
      <c r="A262" s="184" t="str">
        <f>IFERROR(__xludf.DUMMYFUNCTION("""COMPUTED_VALUE"""),"Thunderswarm")</f>
        <v>Thunderswarm</v>
      </c>
      <c r="B262" s="185" t="str">
        <f>IFERROR(__xludf.DUMMYFUNCTION("""COMPUTED_VALUE"""),"Gaunt")</f>
        <v>Gaunt</v>
      </c>
      <c r="C262" s="185">
        <f t="shared" si="1"/>
        <v>1</v>
      </c>
      <c r="D262" s="20" t="s">
        <v>2945</v>
      </c>
      <c r="E262" s="20">
        <v>1.0</v>
      </c>
    </row>
    <row r="263">
      <c r="A263" s="184" t="str">
        <f>IFERROR(__xludf.DUMMYFUNCTION("""COMPUTED_VALUE"""),"Lightning")</f>
        <v>Lightning</v>
      </c>
      <c r="B263" s="185" t="str">
        <f>IFERROR(__xludf.DUMMYFUNCTION("""COMPUTED_VALUE"""),"Visitation")</f>
        <v>Visitation</v>
      </c>
      <c r="C263" s="185">
        <f t="shared" si="1"/>
        <v>1</v>
      </c>
      <c r="D263" s="20" t="s">
        <v>2946</v>
      </c>
      <c r="E263" s="20">
        <v>1.0</v>
      </c>
    </row>
    <row r="264">
      <c r="A264" s="184" t="str">
        <f>IFERROR(__xludf.DUMMYFUNCTION("""COMPUTED_VALUE"""),"Rider")</f>
        <v>Rider</v>
      </c>
      <c r="B264" s="185" t="str">
        <f>IFERROR(__xludf.DUMMYFUNCTION("""COMPUTED_VALUE"""),"Manticore")</f>
        <v>Manticore</v>
      </c>
      <c r="C264" s="185">
        <f t="shared" si="1"/>
        <v>1</v>
      </c>
      <c r="D264" s="20" t="s">
        <v>2947</v>
      </c>
      <c r="E264" s="20">
        <v>1.0</v>
      </c>
    </row>
    <row r="265">
      <c r="A265" s="184"/>
      <c r="B265" s="185" t="str">
        <f>IFERROR(__xludf.DUMMYFUNCTION("""COMPUTED_VALUE"""),"Featherfrost")</f>
        <v>Featherfrost</v>
      </c>
      <c r="C265" s="185">
        <f t="shared" si="1"/>
        <v>1</v>
      </c>
      <c r="D265" s="20" t="s">
        <v>2948</v>
      </c>
      <c r="E265" s="20">
        <v>1.0</v>
      </c>
    </row>
    <row r="266">
      <c r="A266" s="184"/>
      <c r="B266" s="185" t="str">
        <f>IFERROR(__xludf.DUMMYFUNCTION("""COMPUTED_VALUE"""),"Harpy")</f>
        <v>Harpy</v>
      </c>
      <c r="C266" s="185">
        <f t="shared" si="1"/>
        <v>1</v>
      </c>
      <c r="D266" s="20" t="s">
        <v>2949</v>
      </c>
      <c r="E266" s="20">
        <v>1.0</v>
      </c>
    </row>
    <row r="267">
      <c r="A267" s="184" t="str">
        <f>IFERROR(__xludf.DUMMYFUNCTION("""COMPUTED_VALUE"""),"Desertwind")</f>
        <v>Desertwind</v>
      </c>
      <c r="B267" s="185" t="str">
        <f>IFERROR(__xludf.DUMMYFUNCTION("""COMPUTED_VALUE"""),"Raging")</f>
        <v>Raging</v>
      </c>
      <c r="C267" s="185">
        <f t="shared" si="1"/>
        <v>1</v>
      </c>
      <c r="D267" s="20" t="s">
        <v>2950</v>
      </c>
      <c r="E267" s="20">
        <v>1.0</v>
      </c>
    </row>
    <row r="268">
      <c r="A268" s="184" t="str">
        <f>IFERROR(__xludf.DUMMYFUNCTION("""COMPUTED_VALUE"""),"Relic")</f>
        <v>Relic</v>
      </c>
      <c r="B268" s="185" t="str">
        <f>IFERROR(__xludf.DUMMYFUNCTION("""COMPUTED_VALUE"""),"Minotaur")</f>
        <v>Minotaur</v>
      </c>
      <c r="C268" s="185">
        <f t="shared" si="1"/>
        <v>1</v>
      </c>
      <c r="D268" s="20" t="s">
        <v>2951</v>
      </c>
      <c r="E268" s="20">
        <v>1.0</v>
      </c>
    </row>
    <row r="269">
      <c r="A269" s="184" t="str">
        <f>IFERROR(__xludf.DUMMYFUNCTION("""COMPUTED_VALUE"""),"Hunter")</f>
        <v>Hunter</v>
      </c>
      <c r="B269" s="185" t="str">
        <f>IFERROR(__xludf.DUMMYFUNCTION("""COMPUTED_VALUE"""),"Raijin")</f>
        <v>Raijin</v>
      </c>
      <c r="C269" s="185">
        <f t="shared" si="1"/>
        <v>1</v>
      </c>
      <c r="D269" s="20" t="s">
        <v>2952</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2953</v>
      </c>
      <c r="E274" s="20">
        <v>1.0</v>
      </c>
    </row>
    <row r="275">
      <c r="A275" s="184" t="str">
        <f>IFERROR(__xludf.DUMMYFUNCTION("""COMPUTED_VALUE"""),"Gleam")</f>
        <v>Gleam</v>
      </c>
      <c r="B275" s="185" t="str">
        <f>IFERROR(__xludf.DUMMYFUNCTION("""COMPUTED_VALUE"""),"Tectonic")</f>
        <v>Tectonic</v>
      </c>
      <c r="C275" s="185">
        <f t="shared" si="1"/>
        <v>1</v>
      </c>
      <c r="D275" s="20" t="s">
        <v>2954</v>
      </c>
      <c r="E275" s="20">
        <v>1.0</v>
      </c>
    </row>
    <row r="276">
      <c r="A276" s="184"/>
      <c r="B276" s="185" t="str">
        <f>IFERROR(__xludf.DUMMYFUNCTION("""COMPUTED_VALUE"""),"Shifter")</f>
        <v>Shifter</v>
      </c>
      <c r="C276" s="185">
        <f t="shared" si="1"/>
        <v>1</v>
      </c>
      <c r="D276" s="20" t="s">
        <v>2955</v>
      </c>
      <c r="E276" s="20">
        <v>1.0</v>
      </c>
    </row>
    <row r="277">
      <c r="A277" s="184" t="str">
        <f>IFERROR(__xludf.DUMMYFUNCTION("""COMPUTED_VALUE"""),"Pomegrake")</f>
        <v>Pomegrake</v>
      </c>
      <c r="B277" s="185" t="str">
        <f>IFERROR(__xludf.DUMMYFUNCTION("""COMPUTED_VALUE"""),"Bastion")</f>
        <v>Bastion</v>
      </c>
      <c r="C277" s="185">
        <f t="shared" si="1"/>
        <v>1</v>
      </c>
      <c r="D277" s="20" t="s">
        <v>2956</v>
      </c>
      <c r="E277" s="20">
        <v>1.0</v>
      </c>
    </row>
    <row r="278">
      <c r="A278" s="184"/>
      <c r="B278" s="185" t="str">
        <f>IFERROR(__xludf.DUMMYFUNCTION("""COMPUTED_VALUE"""),"Architect")</f>
        <v>Architect</v>
      </c>
      <c r="C278" s="185">
        <f t="shared" si="1"/>
        <v>1</v>
      </c>
      <c r="D278" s="20" t="s">
        <v>2957</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2958</v>
      </c>
      <c r="E280" s="20">
        <v>1.0</v>
      </c>
    </row>
    <row r="281">
      <c r="A281" s="184"/>
      <c r="B281" s="185" t="str">
        <f>IFERROR(__xludf.DUMMYFUNCTION("""COMPUTED_VALUE"""),"Crownfire")</f>
        <v>Crownfire</v>
      </c>
      <c r="C281" s="185">
        <f t="shared" si="1"/>
        <v>1</v>
      </c>
      <c r="D281" s="20" t="s">
        <v>2959</v>
      </c>
      <c r="E281" s="20">
        <v>1.0</v>
      </c>
    </row>
    <row r="282">
      <c r="A282" s="184" t="str">
        <f>IFERROR(__xludf.DUMMYFUNCTION("""COMPUTED_VALUE"""),"The")</f>
        <v>The</v>
      </c>
      <c r="B282" s="185" t="str">
        <f>IFERROR(__xludf.DUMMYFUNCTION("""COMPUTED_VALUE"""),"Empress")</f>
        <v>Empress</v>
      </c>
      <c r="C282" s="185">
        <f t="shared" si="1"/>
        <v>1</v>
      </c>
      <c r="D282" s="20" t="s">
        <v>2960</v>
      </c>
      <c r="E282" s="20">
        <v>1.0</v>
      </c>
    </row>
    <row r="283">
      <c r="A283" s="184" t="str">
        <f>IFERROR(__xludf.DUMMYFUNCTION("""COMPUTED_VALUE"""),"Embalmer")</f>
        <v>Embalmer</v>
      </c>
      <c r="B283" s="185" t="str">
        <f>IFERROR(__xludf.DUMMYFUNCTION("""COMPUTED_VALUE"""),"Blue")</f>
        <v>Blue</v>
      </c>
      <c r="C283" s="185">
        <f t="shared" si="1"/>
        <v>2</v>
      </c>
      <c r="D283" s="20" t="s">
        <v>2961</v>
      </c>
      <c r="E283" s="20">
        <v>1.0</v>
      </c>
    </row>
    <row r="284">
      <c r="A284" s="184"/>
      <c r="B284" s="185" t="str">
        <f>IFERROR(__xludf.DUMMYFUNCTION("""COMPUTED_VALUE"""),"Venom-Dew")</f>
        <v>Venom-Dew</v>
      </c>
      <c r="C284" s="185">
        <f t="shared" si="1"/>
        <v>1</v>
      </c>
      <c r="D284" s="20" t="s">
        <v>2962</v>
      </c>
      <c r="E284" s="20">
        <v>1.0</v>
      </c>
    </row>
    <row r="285">
      <c r="A285" s="184"/>
      <c r="B285" s="185" t="str">
        <f>IFERROR(__xludf.DUMMYFUNCTION("""COMPUTED_VALUE"""),"Golemsaurus")</f>
        <v>Golemsaurus</v>
      </c>
      <c r="C285" s="185">
        <f t="shared" si="1"/>
        <v>1</v>
      </c>
      <c r="D285" s="20" t="s">
        <v>2963</v>
      </c>
      <c r="E285" s="20">
        <v>1.0</v>
      </c>
    </row>
    <row r="286">
      <c r="A286" s="184"/>
      <c r="B286" s="185" t="str">
        <f>IFERROR(__xludf.DUMMYFUNCTION("""COMPUTED_VALUE"""),"Slumbering")</f>
        <v>Slumbering</v>
      </c>
      <c r="C286" s="185">
        <f t="shared" si="1"/>
        <v>2</v>
      </c>
      <c r="D286" s="20" t="s">
        <v>2964</v>
      </c>
      <c r="E286" s="20">
        <v>1.0</v>
      </c>
    </row>
    <row r="287">
      <c r="A287" s="184" t="str">
        <f>IFERROR(__xludf.DUMMYFUNCTION("""COMPUTED_VALUE"""),"Ushabti")</f>
        <v>Ushabti</v>
      </c>
      <c r="B287" s="185" t="str">
        <f>IFERROR(__xludf.DUMMYFUNCTION("""COMPUTED_VALUE"""),"Cavedrake")</f>
        <v>Cavedrake</v>
      </c>
      <c r="C287" s="185">
        <f t="shared" si="1"/>
        <v>1</v>
      </c>
      <c r="D287" s="20" t="s">
        <v>2965</v>
      </c>
      <c r="E287" s="20">
        <v>1.0</v>
      </c>
    </row>
    <row r="288">
      <c r="A288" s="184" t="str">
        <f>IFERROR(__xludf.DUMMYFUNCTION("""COMPUTED_VALUE"""),"Carver")</f>
        <v>Carver</v>
      </c>
      <c r="B288" s="185" t="str">
        <f>IFERROR(__xludf.DUMMYFUNCTION("""COMPUTED_VALUE"""),"Eagle")</f>
        <v>Eagle</v>
      </c>
      <c r="C288" s="185">
        <f t="shared" si="1"/>
        <v>1</v>
      </c>
      <c r="D288" s="20" t="s">
        <v>2966</v>
      </c>
      <c r="E288" s="20">
        <v>1.0</v>
      </c>
    </row>
    <row r="289">
      <c r="A289" s="184"/>
      <c r="B289" s="185" t="str">
        <f>IFERROR(__xludf.DUMMYFUNCTION("""COMPUTED_VALUE"""),"Legion")</f>
        <v>Legion</v>
      </c>
      <c r="C289" s="185">
        <f t="shared" si="1"/>
        <v>2</v>
      </c>
      <c r="D289" s="20" t="s">
        <v>2967</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2968</v>
      </c>
      <c r="E292" s="20">
        <v>1.0</v>
      </c>
    </row>
    <row r="293">
      <c r="A293" s="184" t="str">
        <f>IFERROR(__xludf.DUMMYFUNCTION("""COMPUTED_VALUE"""),"Luminary")</f>
        <v>Luminary</v>
      </c>
      <c r="B293" s="185" t="str">
        <f>IFERROR(__xludf.DUMMYFUNCTION("""COMPUTED_VALUE"""),"Gladehost")</f>
        <v>Gladehost</v>
      </c>
      <c r="C293" s="185">
        <f t="shared" si="1"/>
        <v>2</v>
      </c>
      <c r="D293" s="20" t="s">
        <v>2969</v>
      </c>
      <c r="E293" s="20">
        <v>1.0</v>
      </c>
    </row>
    <row r="294">
      <c r="A294" s="184"/>
      <c r="B294" s="185" t="str">
        <f>IFERROR(__xludf.DUMMYFUNCTION("""COMPUTED_VALUE"""),"Shotmaster")</f>
        <v>Shotmaster</v>
      </c>
      <c r="C294" s="185">
        <f t="shared" si="1"/>
        <v>1</v>
      </c>
      <c r="D294" s="20" t="s">
        <v>2970</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2971</v>
      </c>
      <c r="E296" s="20">
        <v>1.0</v>
      </c>
    </row>
    <row r="297">
      <c r="A297" s="184" t="str">
        <f>IFERROR(__xludf.DUMMYFUNCTION("""COMPUTED_VALUE"""),"Shepard")</f>
        <v>Shepard</v>
      </c>
      <c r="B297" s="185" t="str">
        <f>IFERROR(__xludf.DUMMYFUNCTION("""COMPUTED_VALUE"""),"Imperial")</f>
        <v>Imperial</v>
      </c>
      <c r="C297" s="185">
        <f t="shared" si="1"/>
        <v>1</v>
      </c>
      <c r="D297" s="20" t="s">
        <v>2972</v>
      </c>
      <c r="E297" s="20">
        <v>1.0</v>
      </c>
    </row>
    <row r="298">
      <c r="A298" s="184" t="str">
        <f>IFERROR(__xludf.DUMMYFUNCTION("""COMPUTED_VALUE"""),"of")</f>
        <v>of</v>
      </c>
      <c r="B298" s="185" t="str">
        <f>IFERROR(__xludf.DUMMYFUNCTION("""COMPUTED_VALUE"""),"Tyrant")</f>
        <v>Tyrant</v>
      </c>
      <c r="C298" s="185">
        <f t="shared" si="1"/>
        <v>1</v>
      </c>
      <c r="D298" s="20" t="s">
        <v>2973</v>
      </c>
      <c r="E298" s="20">
        <v>1.0</v>
      </c>
    </row>
    <row r="299">
      <c r="A299" s="184" t="str">
        <f>IFERROR(__xludf.DUMMYFUNCTION("""COMPUTED_VALUE"""),"the")</f>
        <v>the</v>
      </c>
      <c r="B299" s="185" t="str">
        <f>IFERROR(__xludf.DUMMYFUNCTION("""COMPUTED_VALUE"""),"Eons-old")</f>
        <v>Eons-old</v>
      </c>
      <c r="C299" s="185">
        <f t="shared" si="1"/>
        <v>1</v>
      </c>
      <c r="D299" s="20" t="s">
        <v>2974</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2975</v>
      </c>
      <c r="E301" s="20">
        <v>1.0</v>
      </c>
    </row>
    <row r="302">
      <c r="A302" s="184" t="str">
        <f>IFERROR(__xludf.DUMMYFUNCTION("""COMPUTED_VALUE"""),"Arboreal")</f>
        <v>Arboreal</v>
      </c>
      <c r="B302" s="185" t="str">
        <f>IFERROR(__xludf.DUMMYFUNCTION("""COMPUTED_VALUE"""),"Militia")</f>
        <v>Militia</v>
      </c>
      <c r="C302" s="185">
        <f t="shared" si="1"/>
        <v>1</v>
      </c>
      <c r="D302" s="20" t="s">
        <v>2976</v>
      </c>
      <c r="E302" s="20">
        <v>1.0</v>
      </c>
    </row>
    <row r="303">
      <c r="A303" s="184" t="str">
        <f>IFERROR(__xludf.DUMMYFUNCTION("""COMPUTED_VALUE"""),"Messenger")</f>
        <v>Messenger</v>
      </c>
      <c r="B303" s="185" t="str">
        <f>IFERROR(__xludf.DUMMYFUNCTION("""COMPUTED_VALUE"""),"Strategist")</f>
        <v>Strategist</v>
      </c>
      <c r="C303" s="185">
        <f t="shared" si="1"/>
        <v>1</v>
      </c>
      <c r="D303" s="20" t="s">
        <v>2977</v>
      </c>
      <c r="E303" s="20">
        <v>1.0</v>
      </c>
    </row>
    <row r="304">
      <c r="A304" s="184"/>
      <c r="B304" s="185" t="str">
        <f>IFERROR(__xludf.DUMMYFUNCTION("""COMPUTED_VALUE"""),"Wraithknight")</f>
        <v>Wraithknight</v>
      </c>
      <c r="C304" s="185">
        <f t="shared" si="1"/>
        <v>1</v>
      </c>
      <c r="D304" s="20" t="s">
        <v>2978</v>
      </c>
      <c r="E304" s="20">
        <v>1.0</v>
      </c>
    </row>
    <row r="305">
      <c r="A305" s="184"/>
      <c r="B305" s="185" t="str">
        <f>IFERROR(__xludf.DUMMYFUNCTION("""COMPUTED_VALUE"""),"Mountblade")</f>
        <v>Mountblade</v>
      </c>
      <c r="C305" s="185">
        <f t="shared" si="1"/>
        <v>1</v>
      </c>
      <c r="D305" s="20" t="s">
        <v>2979</v>
      </c>
      <c r="E305" s="20">
        <v>1.0</v>
      </c>
    </row>
    <row r="306">
      <c r="A306" s="184"/>
      <c r="B306" s="185" t="str">
        <f>IFERROR(__xludf.DUMMYFUNCTION("""COMPUTED_VALUE"""),"Squire")</f>
        <v>Squire</v>
      </c>
      <c r="C306" s="185">
        <f t="shared" si="1"/>
        <v>1</v>
      </c>
      <c r="D306" s="20" t="s">
        <v>2980</v>
      </c>
      <c r="E306" s="20">
        <v>1.0</v>
      </c>
    </row>
    <row r="307">
      <c r="A307" s="184" t="str">
        <f>IFERROR(__xludf.DUMMYFUNCTION("""COMPUTED_VALUE"""),"Auric")</f>
        <v>Auric</v>
      </c>
      <c r="B307" s="185" t="str">
        <f>IFERROR(__xludf.DUMMYFUNCTION("""COMPUTED_VALUE"""),"Pyroclastic")</f>
        <v>Pyroclastic</v>
      </c>
      <c r="C307" s="185">
        <f t="shared" si="1"/>
        <v>1</v>
      </c>
      <c r="D307" s="20" t="s">
        <v>2981</v>
      </c>
      <c r="E307" s="20">
        <v>1.0</v>
      </c>
    </row>
    <row r="308">
      <c r="A308" s="184" t="str">
        <f>IFERROR(__xludf.DUMMYFUNCTION("""COMPUTED_VALUE"""),"Ant")</f>
        <v>Ant</v>
      </c>
      <c r="B308" s="185" t="str">
        <f>IFERROR(__xludf.DUMMYFUNCTION("""COMPUTED_VALUE"""),"Zombie")</f>
        <v>Zombie</v>
      </c>
      <c r="C308" s="185">
        <f t="shared" si="1"/>
        <v>1</v>
      </c>
      <c r="D308" s="20" t="s">
        <v>2982</v>
      </c>
      <c r="E308" s="20">
        <v>1.0</v>
      </c>
    </row>
    <row r="309">
      <c r="A309" s="184" t="str">
        <f>IFERROR(__xludf.DUMMYFUNCTION("""COMPUTED_VALUE"""),"Regent")</f>
        <v>Regent</v>
      </c>
      <c r="B309" s="185" t="str">
        <f>IFERROR(__xludf.DUMMYFUNCTION("""COMPUTED_VALUE"""),"Old")</f>
        <v>Old</v>
      </c>
      <c r="C309" s="185">
        <f t="shared" si="1"/>
        <v>2</v>
      </c>
      <c r="D309" s="20" t="s">
        <v>2983</v>
      </c>
      <c r="E309" s="20">
        <v>1.0</v>
      </c>
    </row>
    <row r="310">
      <c r="A310" s="184"/>
      <c r="B310" s="185" t="str">
        <f>IFERROR(__xludf.DUMMYFUNCTION("""COMPUTED_VALUE"""),"Fisherman")</f>
        <v>Fisherman</v>
      </c>
      <c r="C310" s="185">
        <f t="shared" si="1"/>
        <v>1</v>
      </c>
      <c r="D310" s="20" t="s">
        <v>2984</v>
      </c>
      <c r="E310" s="20">
        <v>1.0</v>
      </c>
    </row>
    <row r="311">
      <c r="A311" s="184"/>
      <c r="B311" s="185" t="str">
        <f>IFERROR(__xludf.DUMMYFUNCTION("""COMPUTED_VALUE"""),"Wasteland")</f>
        <v>Wasteland</v>
      </c>
      <c r="C311" s="185">
        <f t="shared" si="1"/>
        <v>1</v>
      </c>
      <c r="D311" s="20" t="s">
        <v>2985</v>
      </c>
      <c r="E311" s="20">
        <v>1.0</v>
      </c>
    </row>
    <row r="312">
      <c r="A312" s="184" t="str">
        <f>IFERROR(__xludf.DUMMYFUNCTION("""COMPUTED_VALUE"""),"Blessing")</f>
        <v>Blessing</v>
      </c>
      <c r="B312" s="185" t="str">
        <f>IFERROR(__xludf.DUMMYFUNCTION("""COMPUTED_VALUE"""),"Overlord")</f>
        <v>Overlord</v>
      </c>
      <c r="C312" s="185">
        <f t="shared" si="1"/>
        <v>2</v>
      </c>
      <c r="D312" s="20" t="s">
        <v>2986</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2987</v>
      </c>
      <c r="E314" s="20">
        <v>1.0</v>
      </c>
    </row>
    <row r="315">
      <c r="A315" s="184"/>
      <c r="B315" s="185" t="str">
        <f>IFERROR(__xludf.DUMMYFUNCTION("""COMPUTED_VALUE"""),"Marauder")</f>
        <v>Marauder</v>
      </c>
      <c r="C315" s="185">
        <f t="shared" si="1"/>
        <v>1</v>
      </c>
      <c r="D315" s="20" t="s">
        <v>2988</v>
      </c>
      <c r="E315" s="20">
        <v>1.0</v>
      </c>
    </row>
    <row r="316">
      <c r="A316" s="184"/>
      <c r="B316" s="185" t="str">
        <f>IFERROR(__xludf.DUMMYFUNCTION("""COMPUTED_VALUE"""),"Alchemist's")</f>
        <v>Alchemist's</v>
      </c>
      <c r="C316" s="185">
        <f t="shared" si="1"/>
        <v>1</v>
      </c>
      <c r="D316" s="20" t="s">
        <v>2989</v>
      </c>
      <c r="E316" s="20">
        <v>1.0</v>
      </c>
    </row>
    <row r="317">
      <c r="A317" s="184" t="str">
        <f>IFERROR(__xludf.DUMMYFUNCTION("""COMPUTED_VALUE"""),"Obelisk")</f>
        <v>Obelisk</v>
      </c>
      <c r="B317" s="185" t="str">
        <f>IFERROR(__xludf.DUMMYFUNCTION("""COMPUTED_VALUE"""),"Incense")</f>
        <v>Incense</v>
      </c>
      <c r="C317" s="185">
        <f t="shared" si="1"/>
        <v>1</v>
      </c>
      <c r="D317" s="20" t="s">
        <v>2990</v>
      </c>
      <c r="E317" s="20">
        <v>1.0</v>
      </c>
    </row>
    <row r="318">
      <c r="A318" s="184" t="str">
        <f>IFERROR(__xludf.DUMMYFUNCTION("""COMPUTED_VALUE"""),"Waypost")</f>
        <v>Waypost</v>
      </c>
      <c r="B318" s="185" t="str">
        <f>IFERROR(__xludf.DUMMYFUNCTION("""COMPUTED_VALUE"""),"Quadriga")</f>
        <v>Quadriga</v>
      </c>
      <c r="C318" s="185">
        <f t="shared" si="1"/>
        <v>1</v>
      </c>
      <c r="D318" s="20" t="s">
        <v>2991</v>
      </c>
      <c r="E318" s="20">
        <v>1.0</v>
      </c>
    </row>
    <row r="319">
      <c r="A319" s="184"/>
      <c r="B319" s="185" t="str">
        <f>IFERROR(__xludf.DUMMYFUNCTION("""COMPUTED_VALUE"""),"Triumph")</f>
        <v>Triumph</v>
      </c>
      <c r="C319" s="185">
        <f t="shared" si="1"/>
        <v>2</v>
      </c>
      <c r="D319" s="20" t="s">
        <v>2992</v>
      </c>
      <c r="E319" s="20">
        <v>1.0</v>
      </c>
    </row>
    <row r="320">
      <c r="A320" s="184"/>
      <c r="B320" s="185" t="str">
        <f>IFERROR(__xludf.DUMMYFUNCTION("""COMPUTED_VALUE"""),"Ambrosia")</f>
        <v>Ambrosia</v>
      </c>
      <c r="C320" s="185">
        <f t="shared" si="1"/>
        <v>1</v>
      </c>
      <c r="D320" s="20" t="s">
        <v>2993</v>
      </c>
      <c r="E320" s="20">
        <v>1.0</v>
      </c>
    </row>
    <row r="321">
      <c r="A321" s="184"/>
      <c r="B321" s="185" t="str">
        <f>IFERROR(__xludf.DUMMYFUNCTION("""COMPUTED_VALUE"""),"Bee")</f>
        <v>Bee</v>
      </c>
      <c r="C321" s="185">
        <f t="shared" si="1"/>
        <v>1</v>
      </c>
      <c r="D321" s="20" t="s">
        <v>2994</v>
      </c>
      <c r="E321" s="20">
        <v>1.0</v>
      </c>
    </row>
    <row r="322">
      <c r="A322" s="184" t="str">
        <f>IFERROR(__xludf.DUMMYFUNCTION("""COMPUTED_VALUE"""),"Crimson")</f>
        <v>Crimson</v>
      </c>
      <c r="B322" s="185" t="str">
        <f>IFERROR(__xludf.DUMMYFUNCTION("""COMPUTED_VALUE"""),"Recruiting")</f>
        <v>Recruiting</v>
      </c>
      <c r="C322" s="185">
        <f t="shared" si="1"/>
        <v>1</v>
      </c>
      <c r="D322" s="20" t="s">
        <v>2995</v>
      </c>
      <c r="E322" s="20">
        <v>1.0</v>
      </c>
    </row>
    <row r="323">
      <c r="A323" s="184" t="str">
        <f>IFERROR(__xludf.DUMMYFUNCTION("""COMPUTED_VALUE"""),"Flamechick")</f>
        <v>Flamechick</v>
      </c>
      <c r="B323" s="185" t="str">
        <f>IFERROR(__xludf.DUMMYFUNCTION("""COMPUTED_VALUE"""),"Officer")</f>
        <v>Officer</v>
      </c>
      <c r="C323" s="185">
        <f t="shared" si="1"/>
        <v>1</v>
      </c>
      <c r="D323" s="20" t="s">
        <v>2996</v>
      </c>
      <c r="E323" s="20">
        <v>1.0</v>
      </c>
    </row>
    <row r="324">
      <c r="A324" s="184"/>
      <c r="B324" s="185" t="str">
        <f>IFERROR(__xludf.DUMMYFUNCTION("""COMPUTED_VALUE"""),"Remnant")</f>
        <v>Remnant</v>
      </c>
      <c r="C324" s="185">
        <f t="shared" si="1"/>
        <v>1</v>
      </c>
      <c r="D324" s="20" t="s">
        <v>2997</v>
      </c>
      <c r="E324" s="20">
        <v>1.0</v>
      </c>
    </row>
    <row r="325">
      <c r="A325" s="184"/>
      <c r="B325" s="185" t="str">
        <f>IFERROR(__xludf.DUMMYFUNCTION("""COMPUTED_VALUE"""),"Quiet")</f>
        <v>Quiet</v>
      </c>
      <c r="C325" s="185">
        <f t="shared" si="1"/>
        <v>1</v>
      </c>
      <c r="D325" s="20" t="s">
        <v>2998</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2999</v>
      </c>
      <c r="E328" s="20">
        <v>1.0</v>
      </c>
    </row>
    <row r="329">
      <c r="A329" s="184" t="str">
        <f>IFERROR(__xludf.DUMMYFUNCTION("""COMPUTED_VALUE"""),"One")</f>
        <v>One</v>
      </c>
      <c r="B329" s="185" t="str">
        <f>IFERROR(__xludf.DUMMYFUNCTION("""COMPUTED_VALUE"""),"Filthy")</f>
        <v>Filthy</v>
      </c>
      <c r="C329" s="185">
        <f t="shared" si="1"/>
        <v>1</v>
      </c>
      <c r="D329" s="20" t="s">
        <v>3000</v>
      </c>
      <c r="E329" s="20">
        <v>1.0</v>
      </c>
    </row>
    <row r="330">
      <c r="A330" s="184"/>
      <c r="B330" s="185" t="str">
        <f>IFERROR(__xludf.DUMMYFUNCTION("""COMPUTED_VALUE"""),"Peasant")</f>
        <v>Peasant</v>
      </c>
      <c r="C330" s="185">
        <f t="shared" si="1"/>
        <v>1</v>
      </c>
      <c r="D330" s="20" t="s">
        <v>3001</v>
      </c>
      <c r="E330" s="20">
        <v>1.0</v>
      </c>
    </row>
    <row r="331">
      <c r="A331" s="184"/>
      <c r="B331" s="185" t="str">
        <f>IFERROR(__xludf.DUMMYFUNCTION("""COMPUTED_VALUE"""),"Scapegoat")</f>
        <v>Scapegoat</v>
      </c>
      <c r="C331" s="185">
        <f t="shared" si="1"/>
        <v>1</v>
      </c>
      <c r="D331" s="20" t="s">
        <v>3002</v>
      </c>
      <c r="E331" s="20">
        <v>1.0</v>
      </c>
    </row>
    <row r="332">
      <c r="A332" s="184" t="str">
        <f>IFERROR(__xludf.DUMMYFUNCTION("""COMPUTED_VALUE"""),"Tranquil")</f>
        <v>Tranquil</v>
      </c>
      <c r="B332" s="185" t="str">
        <f>IFERROR(__xludf.DUMMYFUNCTION("""COMPUTED_VALUE"""),"Ironstride")</f>
        <v>Ironstride</v>
      </c>
      <c r="C332" s="185">
        <f t="shared" si="1"/>
        <v>1</v>
      </c>
      <c r="D332" s="20" t="s">
        <v>3003</v>
      </c>
      <c r="E332" s="20">
        <v>1.0</v>
      </c>
    </row>
    <row r="333">
      <c r="A333" s="184" t="str">
        <f>IFERROR(__xludf.DUMMYFUNCTION("""COMPUTED_VALUE"""),"Herd")</f>
        <v>Herd</v>
      </c>
      <c r="B333" s="185" t="str">
        <f>IFERROR(__xludf.DUMMYFUNCTION("""COMPUTED_VALUE"""),"Courser")</f>
        <v>Courser</v>
      </c>
      <c r="C333" s="185">
        <f t="shared" si="1"/>
        <v>1</v>
      </c>
      <c r="D333" s="20" t="s">
        <v>3004</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3005</v>
      </c>
      <c r="E335" s="20">
        <v>1.0</v>
      </c>
    </row>
    <row r="336">
      <c r="A336" s="184"/>
      <c r="B336" s="185" t="str">
        <f>IFERROR(__xludf.DUMMYFUNCTION("""COMPUTED_VALUE"""),"Golem")</f>
        <v>Golem</v>
      </c>
      <c r="C336" s="185">
        <f t="shared" si="1"/>
        <v>2</v>
      </c>
      <c r="D336" s="20" t="s">
        <v>3006</v>
      </c>
      <c r="E336" s="20">
        <v>1.0</v>
      </c>
    </row>
    <row r="337">
      <c r="A337" s="184" t="str">
        <f>IFERROR(__xludf.DUMMYFUNCTION("""COMPUTED_VALUE"""),"Blackwing")</f>
        <v>Blackwing</v>
      </c>
      <c r="B337" s="185" t="str">
        <f>IFERROR(__xludf.DUMMYFUNCTION("""COMPUTED_VALUE"""),"Siegebreaker")</f>
        <v>Siegebreaker</v>
      </c>
      <c r="C337" s="185">
        <f t="shared" si="1"/>
        <v>1</v>
      </c>
      <c r="D337" s="20" t="s">
        <v>3007</v>
      </c>
      <c r="E337" s="20">
        <v>1.0</v>
      </c>
    </row>
    <row r="338">
      <c r="A338" s="184" t="str">
        <f>IFERROR(__xludf.DUMMYFUNCTION("""COMPUTED_VALUE"""),"Usurper")</f>
        <v>Usurper</v>
      </c>
      <c r="B338" s="185" t="str">
        <f>IFERROR(__xludf.DUMMYFUNCTION("""COMPUTED_VALUE"""),"Surly")</f>
        <v>Surly</v>
      </c>
      <c r="C338" s="185">
        <f t="shared" si="1"/>
        <v>1</v>
      </c>
      <c r="D338" s="20" t="s">
        <v>3008</v>
      </c>
      <c r="E338" s="20">
        <v>1.0</v>
      </c>
    </row>
    <row r="339">
      <c r="A339" s="184"/>
      <c r="B339" s="185" t="str">
        <f>IFERROR(__xludf.DUMMYFUNCTION("""COMPUTED_VALUE"""),"Donkey")</f>
        <v>Donkey</v>
      </c>
      <c r="C339" s="185">
        <f t="shared" si="1"/>
        <v>1</v>
      </c>
      <c r="D339" s="20" t="s">
        <v>3009</v>
      </c>
      <c r="E339" s="20">
        <v>1.0</v>
      </c>
    </row>
    <row r="340">
      <c r="A340" s="184"/>
      <c r="B340" s="185" t="str">
        <f>IFERROR(__xludf.DUMMYFUNCTION("""COMPUTED_VALUE"""),"Grand")</f>
        <v>Grand</v>
      </c>
      <c r="C340" s="185">
        <f t="shared" si="1"/>
        <v>1</v>
      </c>
      <c r="D340" s="20" t="s">
        <v>3010</v>
      </c>
      <c r="E340" s="20">
        <v>1.0</v>
      </c>
    </row>
    <row r="341">
      <c r="A341" s="184"/>
      <c r="B341" s="185" t="str">
        <f>IFERROR(__xludf.DUMMYFUNCTION("""COMPUTED_VALUE"""),"Ruiner")</f>
        <v>Ruiner</v>
      </c>
      <c r="C341" s="185">
        <f t="shared" si="1"/>
        <v>1</v>
      </c>
      <c r="D341" s="20" t="s">
        <v>3011</v>
      </c>
      <c r="E341" s="20">
        <v>1.0</v>
      </c>
    </row>
    <row r="342">
      <c r="A342" s="184" t="str">
        <f>IFERROR(__xludf.DUMMYFUNCTION("""COMPUTED_VALUE"""),"Thunderswarm")</f>
        <v>Thunderswarm</v>
      </c>
      <c r="B342" s="185" t="str">
        <f>IFERROR(__xludf.DUMMYFUNCTION("""COMPUTED_VALUE"""),"Snow")</f>
        <v>Snow</v>
      </c>
      <c r="C342" s="185">
        <f t="shared" si="1"/>
        <v>1</v>
      </c>
      <c r="D342" s="20" t="s">
        <v>3012</v>
      </c>
      <c r="E342" s="20">
        <v>1.0</v>
      </c>
    </row>
    <row r="343">
      <c r="A343" s="184" t="str">
        <f>IFERROR(__xludf.DUMMYFUNCTION("""COMPUTED_VALUE"""),"Celestial")</f>
        <v>Celestial</v>
      </c>
      <c r="B343" s="185" t="str">
        <f>IFERROR(__xludf.DUMMYFUNCTION("""COMPUTED_VALUE"""),"Crane")</f>
        <v>Crane</v>
      </c>
      <c r="C343" s="185">
        <f t="shared" si="1"/>
        <v>1</v>
      </c>
      <c r="D343" s="20" t="s">
        <v>3013</v>
      </c>
      <c r="E343" s="20">
        <v>1.0</v>
      </c>
    </row>
    <row r="344">
      <c r="A344" s="184"/>
      <c r="B344" s="185" t="str">
        <f>IFERROR(__xludf.DUMMYFUNCTION("""COMPUTED_VALUE"""),"Trading")</f>
        <v>Trading</v>
      </c>
      <c r="C344" s="185">
        <f t="shared" si="1"/>
        <v>1</v>
      </c>
      <c r="D344" s="20" t="s">
        <v>3014</v>
      </c>
      <c r="E344" s="20">
        <v>1.0</v>
      </c>
    </row>
    <row r="345">
      <c r="A345" s="184"/>
      <c r="B345" s="185" t="str">
        <f>IFERROR(__xludf.DUMMYFUNCTION("""COMPUTED_VALUE"""),"Post")</f>
        <v>Post</v>
      </c>
      <c r="C345" s="185">
        <f t="shared" si="1"/>
        <v>1</v>
      </c>
      <c r="D345" s="20" t="s">
        <v>3015</v>
      </c>
      <c r="E345" s="20">
        <v>1.0</v>
      </c>
    </row>
    <row r="346">
      <c r="A346" s="184"/>
      <c r="B346" s="185" t="str">
        <f>IFERROR(__xludf.DUMMYFUNCTION("""COMPUTED_VALUE"""),"Camel")</f>
        <v>Camel</v>
      </c>
      <c r="C346" s="185">
        <f t="shared" si="1"/>
        <v>2</v>
      </c>
      <c r="D346" s="20" t="s">
        <v>3016</v>
      </c>
      <c r="E346" s="20">
        <v>1.0</v>
      </c>
    </row>
    <row r="347">
      <c r="A347" s="184" t="str">
        <f>IFERROR(__xludf.DUMMYFUNCTION("""COMPUTED_VALUE"""),"The")</f>
        <v>The</v>
      </c>
      <c r="B347" s="185" t="str">
        <f>IFERROR(__xludf.DUMMYFUNCTION("""COMPUTED_VALUE"""),"Stormforged")</f>
        <v>Stormforged</v>
      </c>
      <c r="C347" s="185">
        <f t="shared" si="1"/>
        <v>1</v>
      </c>
      <c r="D347" s="20" t="s">
        <v>3017</v>
      </c>
      <c r="E347" s="20">
        <v>1.0</v>
      </c>
    </row>
    <row r="348">
      <c r="A348" s="184" t="str">
        <f>IFERROR(__xludf.DUMMYFUNCTION("""COMPUTED_VALUE"""),"Second")</f>
        <v>Second</v>
      </c>
      <c r="B348" s="185" t="str">
        <f>IFERROR(__xludf.DUMMYFUNCTION("""COMPUTED_VALUE"""),"Recruit")</f>
        <v>Recruit</v>
      </c>
      <c r="C348" s="185">
        <f t="shared" si="1"/>
        <v>1</v>
      </c>
      <c r="D348" s="20" t="s">
        <v>3018</v>
      </c>
      <c r="E348" s="20">
        <v>1.0</v>
      </c>
    </row>
    <row r="349">
      <c r="A349" s="184" t="str">
        <f>IFERROR(__xludf.DUMMYFUNCTION("""COMPUTED_VALUE"""),"Wing")</f>
        <v>Wing</v>
      </c>
      <c r="B349" s="185" t="str">
        <f>IFERROR(__xludf.DUMMYFUNCTION("""COMPUTED_VALUE"""),"Supply")</f>
        <v>Supply</v>
      </c>
      <c r="C349" s="185">
        <f t="shared" si="1"/>
        <v>1</v>
      </c>
      <c r="D349" s="20" t="s">
        <v>3019</v>
      </c>
      <c r="E349" s="20">
        <v>1.0</v>
      </c>
    </row>
    <row r="350">
      <c r="A350" s="184"/>
      <c r="B350" s="185" t="str">
        <f>IFERROR(__xludf.DUMMYFUNCTION("""COMPUTED_VALUE"""),"Trusty")</f>
        <v>Trusty</v>
      </c>
      <c r="C350" s="185">
        <f t="shared" si="1"/>
        <v>1</v>
      </c>
      <c r="D350" s="20" t="s">
        <v>3020</v>
      </c>
      <c r="E350" s="20">
        <v>1.0</v>
      </c>
    </row>
    <row r="351">
      <c r="A351" s="184"/>
      <c r="B351" s="185" t="str">
        <f>IFERROR(__xludf.DUMMYFUNCTION("""COMPUTED_VALUE"""),"Companion")</f>
        <v>Companion</v>
      </c>
      <c r="C351" s="185">
        <f t="shared" si="1"/>
        <v>1</v>
      </c>
      <c r="D351" s="20" t="s">
        <v>3021</v>
      </c>
      <c r="E351" s="20">
        <v>1.0</v>
      </c>
    </row>
    <row r="352">
      <c r="A352" s="184" t="str">
        <f>IFERROR(__xludf.DUMMYFUNCTION("""COMPUTED_VALUE"""),"Ivoryscar")</f>
        <v>Ivoryscar</v>
      </c>
      <c r="B352" s="185" t="str">
        <f>IFERROR(__xludf.DUMMYFUNCTION("""COMPUTED_VALUE"""),"Bloodfleet")</f>
        <v>Bloodfleet</v>
      </c>
      <c r="C352" s="185">
        <f t="shared" si="1"/>
        <v>2</v>
      </c>
      <c r="D352" s="20" t="s">
        <v>3022</v>
      </c>
      <c r="E352" s="20">
        <v>1.0</v>
      </c>
    </row>
    <row r="353">
      <c r="A353" s="184" t="str">
        <f>IFERROR(__xludf.DUMMYFUNCTION("""COMPUTED_VALUE"""),"Fatebreaker")</f>
        <v>Fatebreaker</v>
      </c>
      <c r="B353" s="185" t="str">
        <f>IFERROR(__xludf.DUMMYFUNCTION("""COMPUTED_VALUE"""),"Raider")</f>
        <v>Raider</v>
      </c>
      <c r="C353" s="185">
        <f t="shared" si="1"/>
        <v>2</v>
      </c>
      <c r="D353" s="20" t="s">
        <v>3023</v>
      </c>
      <c r="E353" s="20">
        <v>1.0</v>
      </c>
    </row>
    <row r="354">
      <c r="A354" s="184"/>
      <c r="B354" s="185" t="str">
        <f>IFERROR(__xludf.DUMMYFUNCTION("""COMPUTED_VALUE"""),"Caring")</f>
        <v>Caring</v>
      </c>
      <c r="C354" s="185">
        <f t="shared" si="1"/>
        <v>2</v>
      </c>
      <c r="D354" s="20" t="s">
        <v>3024</v>
      </c>
      <c r="E354" s="20">
        <v>1.0</v>
      </c>
    </row>
    <row r="355">
      <c r="A355" s="184"/>
      <c r="B355" s="185" t="str">
        <f>IFERROR(__xludf.DUMMYFUNCTION("""COMPUTED_VALUE"""),"Mother")</f>
        <v>Mother</v>
      </c>
      <c r="C355" s="185">
        <f t="shared" si="1"/>
        <v>1</v>
      </c>
      <c r="D355" s="20" t="s">
        <v>3025</v>
      </c>
      <c r="E355" s="20">
        <v>1.0</v>
      </c>
    </row>
    <row r="356">
      <c r="A356" s="184"/>
      <c r="B356" s="185" t="str">
        <f>IFERROR(__xludf.DUMMYFUNCTION("""COMPUTED_VALUE"""),"Wayward")</f>
        <v>Wayward</v>
      </c>
      <c r="C356" s="185">
        <f t="shared" si="1"/>
        <v>1</v>
      </c>
      <c r="D356" s="20" t="s">
        <v>3026</v>
      </c>
      <c r="E356" s="20">
        <v>1.0</v>
      </c>
    </row>
    <row r="357">
      <c r="A357" s="184" t="str">
        <f>IFERROR(__xludf.DUMMYFUNCTION("""COMPUTED_VALUE"""),"Moon")</f>
        <v>Moon</v>
      </c>
      <c r="B357" s="185" t="str">
        <f>IFERROR(__xludf.DUMMYFUNCTION("""COMPUTED_VALUE"""),"Battle")</f>
        <v>Battle</v>
      </c>
      <c r="C357" s="185">
        <f t="shared" si="1"/>
        <v>1</v>
      </c>
      <c r="D357" s="20" t="s">
        <v>3027</v>
      </c>
      <c r="E357" s="20">
        <v>1.0</v>
      </c>
    </row>
    <row r="358">
      <c r="A358" s="184" t="str">
        <f>IFERROR(__xludf.DUMMYFUNCTION("""COMPUTED_VALUE"""),"Priestess")</f>
        <v>Priestess</v>
      </c>
      <c r="B358" s="185" t="str">
        <f>IFERROR(__xludf.DUMMYFUNCTION("""COMPUTED_VALUE"""),"Dreadnought")</f>
        <v>Dreadnought</v>
      </c>
      <c r="C358" s="185">
        <f t="shared" si="1"/>
        <v>1</v>
      </c>
      <c r="D358" s="20" t="s">
        <v>3028</v>
      </c>
      <c r="E358" s="20">
        <v>1.0</v>
      </c>
    </row>
    <row r="359">
      <c r="A359" s="184"/>
      <c r="B359" s="185" t="str">
        <f>IFERROR(__xludf.DUMMYFUNCTION("""COMPUTED_VALUE"""),"Dojo")</f>
        <v>Dojo</v>
      </c>
      <c r="C359" s="185">
        <f t="shared" si="1"/>
        <v>1</v>
      </c>
      <c r="D359" s="20" t="s">
        <v>3029</v>
      </c>
      <c r="E359" s="20">
        <v>1.0</v>
      </c>
    </row>
    <row r="360">
      <c r="A360" s="184"/>
      <c r="B360" s="185" t="str">
        <f>IFERROR(__xludf.DUMMYFUNCTION("""COMPUTED_VALUE"""),"Drill")</f>
        <v>Drill</v>
      </c>
      <c r="C360" s="185">
        <f t="shared" si="1"/>
        <v>1</v>
      </c>
      <c r="D360" s="20" t="s">
        <v>3030</v>
      </c>
      <c r="E360" s="20">
        <v>1.0</v>
      </c>
    </row>
    <row r="361">
      <c r="A361" s="184"/>
      <c r="B361" s="185" t="str">
        <f>IFERROR(__xludf.DUMMYFUNCTION("""COMPUTED_VALUE"""),"Instructor")</f>
        <v>Instructor</v>
      </c>
      <c r="C361" s="185">
        <f t="shared" si="1"/>
        <v>1</v>
      </c>
      <c r="D361" s="20" t="s">
        <v>3031</v>
      </c>
      <c r="E361" s="20">
        <v>1.0</v>
      </c>
    </row>
    <row r="362">
      <c r="A362" s="184" t="str">
        <f>IFERROR(__xludf.DUMMYFUNCTION("""COMPUTED_VALUE"""),"Airstep")</f>
        <v>Airstep</v>
      </c>
      <c r="B362" s="185" t="str">
        <f>IFERROR(__xludf.DUMMYFUNCTION("""COMPUTED_VALUE"""),"Rune")</f>
        <v>Rune</v>
      </c>
      <c r="C362" s="185">
        <f t="shared" si="1"/>
        <v>1</v>
      </c>
      <c r="D362" s="20" t="s">
        <v>3032</v>
      </c>
      <c r="E362" s="20">
        <v>1.0</v>
      </c>
    </row>
    <row r="363">
      <c r="A363" s="184" t="str">
        <f>IFERROR(__xludf.DUMMYFUNCTION("""COMPUTED_VALUE"""),"Sifu")</f>
        <v>Sifu</v>
      </c>
      <c r="B363" s="185" t="str">
        <f>IFERROR(__xludf.DUMMYFUNCTION("""COMPUTED_VALUE"""),"Whisperer")</f>
        <v>Whisperer</v>
      </c>
      <c r="C363" s="185">
        <f t="shared" si="1"/>
        <v>1</v>
      </c>
      <c r="D363" s="20" t="s">
        <v>3033</v>
      </c>
      <c r="E363" s="20">
        <v>1.0</v>
      </c>
    </row>
    <row r="364">
      <c r="A364" s="184"/>
      <c r="B364" s="185" t="str">
        <f>IFERROR(__xludf.DUMMYFUNCTION("""COMPUTED_VALUE"""),"Ironclad")</f>
        <v>Ironclad</v>
      </c>
      <c r="C364" s="185">
        <f t="shared" si="1"/>
        <v>1</v>
      </c>
      <c r="D364" s="20" t="s">
        <v>3034</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3035</v>
      </c>
      <c r="E366" s="20">
        <v>1.0</v>
      </c>
    </row>
    <row r="367">
      <c r="A367" s="184" t="str">
        <f>IFERROR(__xludf.DUMMYFUNCTION("""COMPUTED_VALUE"""),"Moonspear")</f>
        <v>Moonspear</v>
      </c>
      <c r="B367" s="185" t="str">
        <f>IFERROR(__xludf.DUMMYFUNCTION("""COMPUTED_VALUE"""),"Chicken")</f>
        <v>Chicken</v>
      </c>
      <c r="C367" s="185">
        <f t="shared" si="1"/>
        <v>1</v>
      </c>
      <c r="D367" s="20" t="s">
        <v>3036</v>
      </c>
      <c r="E367" s="20">
        <v>1.0</v>
      </c>
    </row>
    <row r="368">
      <c r="A368" s="184" t="str">
        <f>IFERROR(__xludf.DUMMYFUNCTION("""COMPUTED_VALUE"""),"Paladin")</f>
        <v>Paladin</v>
      </c>
      <c r="B368" s="185" t="str">
        <f>IFERROR(__xludf.DUMMYFUNCTION("""COMPUTED_VALUE"""),"Life")</f>
        <v>Life</v>
      </c>
      <c r="C368" s="185">
        <f t="shared" si="1"/>
        <v>1</v>
      </c>
      <c r="D368" s="20" t="s">
        <v>3037</v>
      </c>
      <c r="E368" s="20">
        <v>1.0</v>
      </c>
    </row>
    <row r="369">
      <c r="A369" s="184"/>
      <c r="B369" s="185" t="str">
        <f>IFERROR(__xludf.DUMMYFUNCTION("""COMPUTED_VALUE"""),"Tree")</f>
        <v>Tree</v>
      </c>
      <c r="C369" s="185">
        <f t="shared" si="1"/>
        <v>2</v>
      </c>
      <c r="D369" s="20" t="s">
        <v>3038</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3039</v>
      </c>
      <c r="E371" s="20">
        <v>1.0</v>
      </c>
    </row>
    <row r="372">
      <c r="A372" s="184" t="str">
        <f>IFERROR(__xludf.DUMMYFUNCTION("""COMPUTED_VALUE"""),"Arcanum")</f>
        <v>Arcanum</v>
      </c>
      <c r="B372" s="185" t="str">
        <f>IFERROR(__xludf.DUMMYFUNCTION("""COMPUTED_VALUE"""),"Zodiac")</f>
        <v>Zodiac</v>
      </c>
      <c r="C372" s="185">
        <f t="shared" si="1"/>
        <v>1</v>
      </c>
      <c r="D372" s="20" t="s">
        <v>3040</v>
      </c>
      <c r="E372" s="20">
        <v>1.0</v>
      </c>
    </row>
    <row r="373">
      <c r="A373" s="184" t="str">
        <f>IFERROR(__xludf.DUMMYFUNCTION("""COMPUTED_VALUE"""),"Grandmaster")</f>
        <v>Grandmaster</v>
      </c>
      <c r="B373" s="185" t="str">
        <f>IFERROR(__xludf.DUMMYFUNCTION("""COMPUTED_VALUE"""),"Samurai")</f>
        <v>Samurai</v>
      </c>
      <c r="C373" s="185">
        <f t="shared" si="1"/>
        <v>1</v>
      </c>
      <c r="D373" s="20" t="s">
        <v>3041</v>
      </c>
      <c r="E373" s="20">
        <v>1.0</v>
      </c>
    </row>
    <row r="374">
      <c r="A374" s="184"/>
      <c r="B374" s="185" t="str">
        <f>IFERROR(__xludf.DUMMYFUNCTION("""COMPUTED_VALUE"""),"Scalehide")</f>
        <v>Scalehide</v>
      </c>
      <c r="C374" s="185">
        <f t="shared" si="1"/>
        <v>1</v>
      </c>
      <c r="D374" s="20" t="s">
        <v>3042</v>
      </c>
      <c r="E374" s="20">
        <v>1.0</v>
      </c>
    </row>
    <row r="375">
      <c r="A375" s="184"/>
      <c r="B375" s="185" t="str">
        <f>IFERROR(__xludf.DUMMYFUNCTION("""COMPUTED_VALUE"""),"Trapper")</f>
        <v>Trapper</v>
      </c>
      <c r="C375" s="185">
        <f t="shared" si="1"/>
        <v>1</v>
      </c>
      <c r="D375" s="20" t="s">
        <v>3043</v>
      </c>
      <c r="E375" s="20">
        <v>1.0</v>
      </c>
    </row>
    <row r="376">
      <c r="A376" s="184"/>
      <c r="B376" s="185" t="str">
        <f>IFERROR(__xludf.DUMMYFUNCTION("""COMPUTED_VALUE"""),"Crescent")</f>
        <v>Crescent</v>
      </c>
      <c r="C376" s="185">
        <f t="shared" si="1"/>
        <v>1</v>
      </c>
      <c r="D376" s="20" t="s">
        <v>3044</v>
      </c>
      <c r="E376" s="20">
        <v>1.0</v>
      </c>
    </row>
    <row r="377">
      <c r="A377" s="184" t="str">
        <f>IFERROR(__xludf.DUMMYFUNCTION("""COMPUTED_VALUE"""),"Auraborne")</f>
        <v>Auraborne</v>
      </c>
      <c r="B377" s="185" t="str">
        <f>IFERROR(__xludf.DUMMYFUNCTION("""COMPUTED_VALUE"""),"Trapmaster")</f>
        <v>Trapmaster</v>
      </c>
      <c r="C377" s="185">
        <f t="shared" si="1"/>
        <v>1</v>
      </c>
      <c r="D377" s="20" t="s">
        <v>3045</v>
      </c>
      <c r="E377" s="20">
        <v>1.0</v>
      </c>
    </row>
    <row r="378">
      <c r="A378" s="184" t="str">
        <f>IFERROR(__xludf.DUMMYFUNCTION("""COMPUTED_VALUE"""),"Wyvern")</f>
        <v>Wyvern</v>
      </c>
      <c r="B378" s="185" t="str">
        <f>IFERROR(__xludf.DUMMYFUNCTION("""COMPUTED_VALUE"""),"Gemcrazed")</f>
        <v>Gemcrazed</v>
      </c>
      <c r="C378" s="185">
        <f t="shared" si="1"/>
        <v>1</v>
      </c>
      <c r="D378" s="20" t="s">
        <v>3046</v>
      </c>
      <c r="E378" s="20">
        <v>1.0</v>
      </c>
    </row>
    <row r="379">
      <c r="A379" s="184"/>
      <c r="B379" s="185" t="str">
        <f>IFERROR(__xludf.DUMMYFUNCTION("""COMPUTED_VALUE"""),"Clown")</f>
        <v>Clown</v>
      </c>
      <c r="C379" s="185">
        <f t="shared" si="1"/>
        <v>1</v>
      </c>
      <c r="D379" s="20" t="s">
        <v>3047</v>
      </c>
      <c r="E379" s="20">
        <v>1.0</v>
      </c>
    </row>
    <row r="380">
      <c r="A380" s="184"/>
      <c r="B380" s="185" t="str">
        <f>IFERROR(__xludf.DUMMYFUNCTION("""COMPUTED_VALUE"""),"Augur")</f>
        <v>Augur</v>
      </c>
      <c r="C380" s="185">
        <f t="shared" si="1"/>
        <v>1</v>
      </c>
      <c r="D380" s="20" t="s">
        <v>3048</v>
      </c>
      <c r="E380" s="20">
        <v>1.0</v>
      </c>
    </row>
    <row r="381">
      <c r="A381" s="184"/>
      <c r="B381" s="185" t="str">
        <f>IFERROR(__xludf.DUMMYFUNCTION("""COMPUTED_VALUE"""),"Sanguine")</f>
        <v>Sanguine</v>
      </c>
      <c r="C381" s="185">
        <f t="shared" si="1"/>
        <v>2</v>
      </c>
      <c r="D381" s="20" t="s">
        <v>3049</v>
      </c>
      <c r="E381" s="20">
        <v>1.0</v>
      </c>
    </row>
    <row r="382">
      <c r="A382" s="184" t="str">
        <f>IFERROR(__xludf.DUMMYFUNCTION("""COMPUTED_VALUE"""),"Blazecharm")</f>
        <v>Blazecharm</v>
      </c>
      <c r="B382" s="185" t="str">
        <f>IFERROR(__xludf.DUMMYFUNCTION("""COMPUTED_VALUE"""),"Student")</f>
        <v>Student</v>
      </c>
      <c r="C382" s="185">
        <f t="shared" si="1"/>
        <v>1</v>
      </c>
      <c r="D382" s="20" t="s">
        <v>3050</v>
      </c>
      <c r="E382" s="20">
        <v>1.0</v>
      </c>
    </row>
    <row r="383">
      <c r="A383" s="184" t="str">
        <f>IFERROR(__xludf.DUMMYFUNCTION("""COMPUTED_VALUE"""),"Kitsune")</f>
        <v>Kitsune</v>
      </c>
      <c r="B383" s="185" t="str">
        <f>IFERROR(__xludf.DUMMYFUNCTION("""COMPUTED_VALUE"""),"Shade")</f>
        <v>Shade</v>
      </c>
      <c r="C383" s="185">
        <f t="shared" si="1"/>
        <v>1</v>
      </c>
      <c r="D383" s="20" t="s">
        <v>3051</v>
      </c>
      <c r="E383" s="20">
        <v>1.0</v>
      </c>
    </row>
    <row r="384">
      <c r="A384" s="184"/>
      <c r="B384" s="185" t="str">
        <f>IFERROR(__xludf.DUMMYFUNCTION("""COMPUTED_VALUE"""),"in")</f>
        <v>in</v>
      </c>
      <c r="C384" s="185">
        <f t="shared" si="1"/>
        <v>1</v>
      </c>
      <c r="D384" s="20" t="s">
        <v>3052</v>
      </c>
      <c r="E384" s="20">
        <v>1.0</v>
      </c>
    </row>
    <row r="385">
      <c r="A385" s="184"/>
      <c r="B385" s="185" t="str">
        <f>IFERROR(__xludf.DUMMYFUNCTION("""COMPUTED_VALUE"""),"Alley")</f>
        <v>Alley</v>
      </c>
      <c r="C385" s="185">
        <f t="shared" si="1"/>
        <v>1</v>
      </c>
      <c r="D385" s="20" t="s">
        <v>3053</v>
      </c>
      <c r="E385" s="20">
        <v>1.0</v>
      </c>
    </row>
    <row r="386">
      <c r="A386" s="184"/>
      <c r="B386" s="185" t="str">
        <f>IFERROR(__xludf.DUMMYFUNCTION("""COMPUTED_VALUE"""),"Vindictive")</f>
        <v>Vindictive</v>
      </c>
      <c r="C386" s="185">
        <f t="shared" si="1"/>
        <v>1</v>
      </c>
      <c r="D386" s="20" t="s">
        <v>3054</v>
      </c>
      <c r="E386" s="20">
        <v>1.0</v>
      </c>
    </row>
    <row r="387">
      <c r="A387" s="184" t="str">
        <f>IFERROR(__xludf.DUMMYFUNCTION("""COMPUTED_VALUE"""),"Glowing")</f>
        <v>Glowing</v>
      </c>
      <c r="B387" s="185" t="str">
        <f>IFERROR(__xludf.DUMMYFUNCTION("""COMPUTED_VALUE"""),"Forsaken")</f>
        <v>Forsaken</v>
      </c>
      <c r="C387" s="185">
        <f t="shared" si="1"/>
        <v>5</v>
      </c>
      <c r="D387" s="20" t="s">
        <v>3055</v>
      </c>
      <c r="E387" s="20">
        <v>1.0</v>
      </c>
    </row>
    <row r="388">
      <c r="A388" s="184" t="str">
        <f>IFERROR(__xludf.DUMMYFUNCTION("""COMPUTED_VALUE"""),"Gearhulk")</f>
        <v>Gearhulk</v>
      </c>
      <c r="B388" s="185" t="str">
        <f>IFERROR(__xludf.DUMMYFUNCTION("""COMPUTED_VALUE"""),"Willing")</f>
        <v>Willing</v>
      </c>
      <c r="C388" s="185">
        <f t="shared" si="1"/>
        <v>1</v>
      </c>
      <c r="D388" s="20" t="s">
        <v>3056</v>
      </c>
      <c r="E388" s="20">
        <v>1.0</v>
      </c>
    </row>
    <row r="389">
      <c r="A389" s="184"/>
      <c r="B389" s="185" t="str">
        <f>IFERROR(__xludf.DUMMYFUNCTION("""COMPUTED_VALUE"""),"Sacrifice")</f>
        <v>Sacrifice</v>
      </c>
      <c r="C389" s="185">
        <f t="shared" si="1"/>
        <v>1</v>
      </c>
      <c r="D389" s="20" t="s">
        <v>3057</v>
      </c>
      <c r="E389" s="20">
        <v>1.0</v>
      </c>
    </row>
    <row r="390">
      <c r="A390" s="184"/>
      <c r="B390" s="185" t="str">
        <f>IFERROR(__xludf.DUMMYFUNCTION("""COMPUTED_VALUE"""),"Harpooneer")</f>
        <v>Harpooneer</v>
      </c>
      <c r="C390" s="185">
        <f t="shared" si="1"/>
        <v>1</v>
      </c>
      <c r="D390" s="20" t="s">
        <v>3058</v>
      </c>
      <c r="E390" s="20">
        <v>1.0</v>
      </c>
    </row>
    <row r="391">
      <c r="A391" s="184"/>
      <c r="B391" s="185" t="str">
        <f>IFERROR(__xludf.DUMMYFUNCTION("""COMPUTED_VALUE"""),"Gold")</f>
        <v>Gold</v>
      </c>
      <c r="C391" s="185">
        <f t="shared" si="1"/>
        <v>1</v>
      </c>
      <c r="D391" s="20" t="s">
        <v>3059</v>
      </c>
      <c r="E391" s="20">
        <v>1.0</v>
      </c>
    </row>
    <row r="392">
      <c r="A392" s="184" t="str">
        <f>IFERROR(__xludf.DUMMYFUNCTION("""COMPUTED_VALUE"""),"Boiling")</f>
        <v>Boiling</v>
      </c>
      <c r="B392" s="185" t="str">
        <f>IFERROR(__xludf.DUMMYFUNCTION("""COMPUTED_VALUE"""),"Colibri")</f>
        <v>Colibri</v>
      </c>
      <c r="C392" s="185">
        <f t="shared" si="1"/>
        <v>1</v>
      </c>
      <c r="D392" s="20" t="s">
        <v>3060</v>
      </c>
      <c r="E392" s="20">
        <v>1.0</v>
      </c>
    </row>
    <row r="393">
      <c r="A393" s="184" t="str">
        <f>IFERROR(__xludf.DUMMYFUNCTION("""COMPUTED_VALUE"""),"Blood")</f>
        <v>Blood</v>
      </c>
      <c r="B393" s="185" t="str">
        <f>IFERROR(__xludf.DUMMYFUNCTION("""COMPUTED_VALUE"""),"Greedy")</f>
        <v>Greedy</v>
      </c>
      <c r="C393" s="185">
        <f t="shared" si="1"/>
        <v>1</v>
      </c>
      <c r="D393" s="20" t="s">
        <v>3061</v>
      </c>
      <c r="E393" s="20">
        <v>1.0</v>
      </c>
    </row>
    <row r="394">
      <c r="A394" s="184" t="str">
        <f>IFERROR(__xludf.DUMMYFUNCTION("""COMPUTED_VALUE"""),"Berserker")</f>
        <v>Berserker</v>
      </c>
      <c r="B394" s="185" t="str">
        <f>IFERROR(__xludf.DUMMYFUNCTION("""COMPUTED_VALUE"""),"Senator")</f>
        <v>Senator</v>
      </c>
      <c r="C394" s="185">
        <f t="shared" si="1"/>
        <v>1</v>
      </c>
      <c r="D394" s="20" t="s">
        <v>3062</v>
      </c>
      <c r="E394" s="20">
        <v>1.0</v>
      </c>
    </row>
    <row r="395">
      <c r="A395" s="184"/>
      <c r="B395" s="185" t="str">
        <f>IFERROR(__xludf.DUMMYFUNCTION("""COMPUTED_VALUE"""),"Armordillo")</f>
        <v>Armordillo</v>
      </c>
      <c r="C395" s="185">
        <f t="shared" si="1"/>
        <v>1</v>
      </c>
      <c r="D395" s="20" t="s">
        <v>3063</v>
      </c>
      <c r="E395" s="20">
        <v>1.0</v>
      </c>
    </row>
    <row r="396">
      <c r="A396" s="184"/>
      <c r="B396" s="185" t="str">
        <f>IFERROR(__xludf.DUMMYFUNCTION("""COMPUTED_VALUE"""),"Paragon")</f>
        <v>Paragon</v>
      </c>
      <c r="C396" s="185">
        <f t="shared" si="1"/>
        <v>1</v>
      </c>
      <c r="D396" s="20" t="s">
        <v>3064</v>
      </c>
      <c r="E396" s="20">
        <v>1.0</v>
      </c>
    </row>
    <row r="397">
      <c r="A397" s="184" t="str">
        <f>IFERROR(__xludf.DUMMYFUNCTION("""COMPUTED_VALUE"""),"Goat")</f>
        <v>Goat</v>
      </c>
      <c r="B397" s="185" t="str">
        <f>IFERROR(__xludf.DUMMYFUNCTION("""COMPUTED_VALUE"""),"Conquest")</f>
        <v>Conquest</v>
      </c>
      <c r="C397" s="185">
        <f t="shared" si="1"/>
        <v>1</v>
      </c>
      <c r="D397" s="20" t="s">
        <v>3065</v>
      </c>
      <c r="E397" s="20">
        <v>1.0</v>
      </c>
    </row>
    <row r="398">
      <c r="A398" s="184" t="str">
        <f>IFERROR(__xludf.DUMMYFUNCTION("""COMPUTED_VALUE"""),"Oracle")</f>
        <v>Oracle</v>
      </c>
      <c r="B398" s="185" t="str">
        <f>IFERROR(__xludf.DUMMYFUNCTION("""COMPUTED_VALUE"""),"Tilling")</f>
        <v>Tilling</v>
      </c>
      <c r="C398" s="185">
        <f t="shared" si="1"/>
        <v>1</v>
      </c>
      <c r="D398" s="20" t="s">
        <v>3066</v>
      </c>
      <c r="E398" s="20">
        <v>1.0</v>
      </c>
    </row>
    <row r="399">
      <c r="A399" s="184"/>
      <c r="B399" s="185" t="str">
        <f>IFERROR(__xludf.DUMMYFUNCTION("""COMPUTED_VALUE"""),"Yoke")</f>
        <v>Yoke</v>
      </c>
      <c r="C399" s="185">
        <f t="shared" si="1"/>
        <v>1</v>
      </c>
      <c r="D399" s="20" t="s">
        <v>3067</v>
      </c>
      <c r="E399" s="20">
        <v>1.0</v>
      </c>
    </row>
    <row r="400">
      <c r="A400" s="184"/>
      <c r="B400" s="185" t="str">
        <f>IFERROR(__xludf.DUMMYFUNCTION("""COMPUTED_VALUE"""),"Beast")</f>
        <v>Beast</v>
      </c>
      <c r="C400" s="185">
        <f t="shared" si="1"/>
        <v>1</v>
      </c>
      <c r="D400" s="20" t="s">
        <v>3068</v>
      </c>
      <c r="E400" s="20">
        <v>1.0</v>
      </c>
    </row>
    <row r="401">
      <c r="A401" s="184"/>
      <c r="B401" s="185" t="str">
        <f>IFERROR(__xludf.DUMMYFUNCTION("""COMPUTED_VALUE"""),"Blossombeast")</f>
        <v>Blossombeast</v>
      </c>
      <c r="C401" s="185">
        <f t="shared" si="1"/>
        <v>1</v>
      </c>
      <c r="D401" s="20" t="s">
        <v>3069</v>
      </c>
      <c r="E401" s="20">
        <v>1.0</v>
      </c>
    </row>
    <row r="402">
      <c r="A402" s="184" t="str">
        <f>IFERROR(__xludf.DUMMYFUNCTION("""COMPUTED_VALUE"""),"Tranquil")</f>
        <v>Tranquil</v>
      </c>
      <c r="B402" s="185" t="str">
        <f>IFERROR(__xludf.DUMMYFUNCTION("""COMPUTED_VALUE"""),"Bug")</f>
        <v>Bug</v>
      </c>
      <c r="C402" s="185">
        <f t="shared" si="1"/>
        <v>2</v>
      </c>
      <c r="D402" s="20" t="s">
        <v>3070</v>
      </c>
      <c r="E402" s="20">
        <v>1.0</v>
      </c>
    </row>
    <row r="403">
      <c r="A403" s="184" t="str">
        <f>IFERROR(__xludf.DUMMYFUNCTION("""COMPUTED_VALUE"""),"Herd")</f>
        <v>Herd</v>
      </c>
      <c r="B403" s="185" t="str">
        <f>IFERROR(__xludf.DUMMYFUNCTION("""COMPUTED_VALUE"""),"Curator")</f>
        <v>Curator</v>
      </c>
      <c r="C403" s="185">
        <f t="shared" si="1"/>
        <v>1</v>
      </c>
      <c r="D403" s="20" t="s">
        <v>3071</v>
      </c>
      <c r="E403" s="20">
        <v>1.0</v>
      </c>
    </row>
    <row r="404">
      <c r="A404" s="184" t="str">
        <f>IFERROR(__xludf.DUMMYFUNCTION("""COMPUTED_VALUE"""),"Sagehorn")</f>
        <v>Sagehorn</v>
      </c>
      <c r="B404" s="185" t="str">
        <f>IFERROR(__xludf.DUMMYFUNCTION("""COMPUTED_VALUE"""),"Buzzing")</f>
        <v>Buzzing</v>
      </c>
      <c r="C404" s="185">
        <f t="shared" si="1"/>
        <v>1</v>
      </c>
      <c r="D404" s="20" t="s">
        <v>3072</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3073</v>
      </c>
      <c r="E406" s="20">
        <v>1.0</v>
      </c>
    </row>
    <row r="407">
      <c r="A407" s="184" t="str">
        <f>IFERROR(__xludf.DUMMYFUNCTION("""COMPUTED_VALUE"""),"Sunblessed")</f>
        <v>Sunblessed</v>
      </c>
      <c r="B407" s="185" t="str">
        <f>IFERROR(__xludf.DUMMYFUNCTION("""COMPUTED_VALUE"""),"Spider")</f>
        <v>Spider</v>
      </c>
      <c r="C407" s="185">
        <f t="shared" si="1"/>
        <v>1</v>
      </c>
      <c r="D407" s="20" t="s">
        <v>3074</v>
      </c>
      <c r="E407" s="20">
        <v>1.0</v>
      </c>
    </row>
    <row r="408">
      <c r="A408" s="184" t="str">
        <f>IFERROR(__xludf.DUMMYFUNCTION("""COMPUTED_VALUE"""),"Crocodile")</f>
        <v>Crocodile</v>
      </c>
      <c r="B408" s="185" t="str">
        <f>IFERROR(__xludf.DUMMYFUNCTION("""COMPUTED_VALUE"""),"Emberblade")</f>
        <v>Emberblade</v>
      </c>
      <c r="C408" s="185">
        <f t="shared" si="1"/>
        <v>1</v>
      </c>
      <c r="D408" s="20" t="s">
        <v>3075</v>
      </c>
      <c r="E408" s="20">
        <v>1.0</v>
      </c>
    </row>
    <row r="409">
      <c r="A409" s="184"/>
      <c r="B409" s="185" t="str">
        <f>IFERROR(__xludf.DUMMYFUNCTION("""COMPUTED_VALUE"""),"Senatorial")</f>
        <v>Senatorial</v>
      </c>
      <c r="C409" s="185">
        <f t="shared" si="1"/>
        <v>1</v>
      </c>
      <c r="D409" s="20" t="s">
        <v>3076</v>
      </c>
      <c r="E409" s="20">
        <v>1.0</v>
      </c>
    </row>
    <row r="410">
      <c r="A410" s="184"/>
      <c r="B410" s="185" t="str">
        <f>IFERROR(__xludf.DUMMYFUNCTION("""COMPUTED_VALUE"""),"Phalanx")</f>
        <v>Phalanx</v>
      </c>
      <c r="C410" s="185">
        <f t="shared" si="1"/>
        <v>1</v>
      </c>
      <c r="D410" s="20" t="s">
        <v>3077</v>
      </c>
      <c r="E410" s="20">
        <v>1.0</v>
      </c>
    </row>
    <row r="411">
      <c r="A411" s="184"/>
      <c r="B411" s="185" t="str">
        <f>IFERROR(__xludf.DUMMYFUNCTION("""COMPUTED_VALUE"""),"Ferromancer")</f>
        <v>Ferromancer</v>
      </c>
      <c r="C411" s="185">
        <f t="shared" si="1"/>
        <v>1</v>
      </c>
      <c r="D411" s="20" t="s">
        <v>3078</v>
      </c>
      <c r="E411" s="20">
        <v>1.0</v>
      </c>
    </row>
    <row r="412">
      <c r="A412" s="184" t="str">
        <f>IFERROR(__xludf.DUMMYFUNCTION("""COMPUTED_VALUE"""),"Kois")</f>
        <v>Kois</v>
      </c>
      <c r="B412" s="185" t="str">
        <f>IFERROR(__xludf.DUMMYFUNCTION("""COMPUTED_VALUE"""),"Frontier")</f>
        <v>Frontier</v>
      </c>
      <c r="C412" s="185">
        <f t="shared" si="1"/>
        <v>1</v>
      </c>
      <c r="D412" s="20" t="s">
        <v>3079</v>
      </c>
      <c r="E412" s="20">
        <v>1.0</v>
      </c>
    </row>
    <row r="413">
      <c r="A413" s="184" t="str">
        <f>IFERROR(__xludf.DUMMYFUNCTION("""COMPUTED_VALUE"""),"of")</f>
        <v>of</v>
      </c>
      <c r="B413" s="185" t="str">
        <f>IFERROR(__xludf.DUMMYFUNCTION("""COMPUTED_VALUE"""),"Centurion")</f>
        <v>Centurion</v>
      </c>
      <c r="C413" s="185">
        <f t="shared" si="1"/>
        <v>1</v>
      </c>
      <c r="D413" s="20" t="s">
        <v>3080</v>
      </c>
      <c r="E413" s="20">
        <v>1.0</v>
      </c>
    </row>
    <row r="414">
      <c r="A414" s="184" t="str">
        <f>IFERROR(__xludf.DUMMYFUNCTION("""COMPUTED_VALUE"""),"Duality")</f>
        <v>Duality</v>
      </c>
      <c r="B414" s="185" t="str">
        <f>IFERROR(__xludf.DUMMYFUNCTION("""COMPUTED_VALUE"""),"Saboteur")</f>
        <v>Saboteur</v>
      </c>
      <c r="C414" s="185">
        <f t="shared" si="1"/>
        <v>1</v>
      </c>
      <c r="D414" s="20" t="s">
        <v>3081</v>
      </c>
      <c r="E414" s="20">
        <v>1.0</v>
      </c>
    </row>
    <row r="415">
      <c r="A415" s="184"/>
      <c r="B415" s="185" t="str">
        <f>IFERROR(__xludf.DUMMYFUNCTION("""COMPUTED_VALUE"""),"Rustblood")</f>
        <v>Rustblood</v>
      </c>
      <c r="C415" s="185">
        <f t="shared" si="1"/>
        <v>1</v>
      </c>
      <c r="D415" s="20" t="s">
        <v>3082</v>
      </c>
      <c r="E415" s="20">
        <v>1.0</v>
      </c>
    </row>
    <row r="416">
      <c r="A416" s="184"/>
      <c r="B416" s="185" t="str">
        <f>IFERROR(__xludf.DUMMYFUNCTION("""COMPUTED_VALUE"""),"Fairgrove")</f>
        <v>Fairgrove</v>
      </c>
      <c r="C416" s="185">
        <f t="shared" si="1"/>
        <v>1</v>
      </c>
      <c r="D416" s="20" t="s">
        <v>3083</v>
      </c>
      <c r="E416" s="20">
        <v>1.0</v>
      </c>
    </row>
    <row r="417">
      <c r="A417" s="184" t="str">
        <f>IFERROR(__xludf.DUMMYFUNCTION("""COMPUTED_VALUE"""),"Ivoryscar")</f>
        <v>Ivoryscar</v>
      </c>
      <c r="B417" s="185" t="str">
        <f>IFERROR(__xludf.DUMMYFUNCTION("""COMPUTED_VALUE"""),"Dryad")</f>
        <v>Dryad</v>
      </c>
      <c r="C417" s="185">
        <f t="shared" si="1"/>
        <v>1</v>
      </c>
      <c r="D417" s="20" t="s">
        <v>3084</v>
      </c>
      <c r="E417" s="20">
        <v>1.0</v>
      </c>
    </row>
    <row r="418">
      <c r="A418" s="184" t="str">
        <f>IFERROR(__xludf.DUMMYFUNCTION("""COMPUTED_VALUE"""),"Eclipsion")</f>
        <v>Eclipsion</v>
      </c>
      <c r="B418" s="185" t="str">
        <f>IFERROR(__xludf.DUMMYFUNCTION("""COMPUTED_VALUE"""),"Fairy")</f>
        <v>Fairy</v>
      </c>
      <c r="C418" s="185">
        <f t="shared" si="1"/>
        <v>1</v>
      </c>
      <c r="D418" s="20" t="s">
        <v>3085</v>
      </c>
      <c r="E418" s="20">
        <v>1.0</v>
      </c>
    </row>
    <row r="419">
      <c r="A419" s="184"/>
      <c r="B419" s="185" t="str">
        <f>IFERROR(__xludf.DUMMYFUNCTION("""COMPUTED_VALUE"""),"Fountain")</f>
        <v>Fountain</v>
      </c>
      <c r="C419" s="185">
        <f t="shared" si="1"/>
        <v>1</v>
      </c>
      <c r="D419" s="20" t="s">
        <v>3086</v>
      </c>
      <c r="E419" s="20">
        <v>1.0</v>
      </c>
    </row>
    <row r="420">
      <c r="A420" s="184"/>
      <c r="B420" s="185" t="str">
        <f>IFERROR(__xludf.DUMMYFUNCTION("""COMPUTED_VALUE"""),"Harvest")</f>
        <v>Harvest</v>
      </c>
      <c r="C420" s="185">
        <f t="shared" si="1"/>
        <v>1</v>
      </c>
      <c r="D420" s="20" t="s">
        <v>3087</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3088</v>
      </c>
      <c r="E422" s="20">
        <v>1.0</v>
      </c>
    </row>
    <row r="423">
      <c r="A423" s="184" t="str">
        <f>IFERROR(__xludf.DUMMYFUNCTION("""COMPUTED_VALUE"""),"Angel")</f>
        <v>Angel</v>
      </c>
      <c r="B423" s="185" t="str">
        <f>IFERROR(__xludf.DUMMYFUNCTION("""COMPUTED_VALUE"""),"Green")</f>
        <v>Green</v>
      </c>
      <c r="C423" s="185">
        <f t="shared" si="1"/>
        <v>2</v>
      </c>
      <c r="D423" s="20" t="s">
        <v>3089</v>
      </c>
      <c r="E423" s="20">
        <v>1.0</v>
      </c>
    </row>
    <row r="424">
      <c r="A424" s="184"/>
      <c r="B424" s="185" t="str">
        <f>IFERROR(__xludf.DUMMYFUNCTION("""COMPUTED_VALUE"""),"Grizzly")</f>
        <v>Grizzly</v>
      </c>
      <c r="C424" s="185">
        <f t="shared" si="1"/>
        <v>1</v>
      </c>
      <c r="D424" s="20" t="s">
        <v>3090</v>
      </c>
      <c r="E424" s="20">
        <v>1.0</v>
      </c>
    </row>
    <row r="425">
      <c r="A425" s="184"/>
      <c r="B425" s="185" t="str">
        <f>IFERROR(__xludf.DUMMYFUNCTION("""COMPUTED_VALUE"""),"Trap")</f>
        <v>Trap</v>
      </c>
      <c r="C425" s="185">
        <f t="shared" si="1"/>
        <v>1</v>
      </c>
      <c r="D425" s="20" t="s">
        <v>3091</v>
      </c>
      <c r="E425" s="20">
        <v>1.0</v>
      </c>
    </row>
    <row r="426">
      <c r="A426" s="184"/>
      <c r="B426" s="185" t="str">
        <f>IFERROR(__xludf.DUMMYFUNCTION("""COMPUTED_VALUE"""),"Volatile")</f>
        <v>Volatile</v>
      </c>
      <c r="C426" s="185">
        <f t="shared" si="1"/>
        <v>1</v>
      </c>
      <c r="D426" s="20" t="s">
        <v>3092</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3093</v>
      </c>
      <c r="E428" s="20">
        <v>1.0</v>
      </c>
    </row>
    <row r="429">
      <c r="A429" s="184"/>
      <c r="B429" s="185" t="str">
        <f>IFERROR(__xludf.DUMMYFUNCTION("""COMPUTED_VALUE"""),"Flower")</f>
        <v>Flower</v>
      </c>
      <c r="C429" s="185">
        <f t="shared" si="1"/>
        <v>1</v>
      </c>
      <c r="D429" s="20" t="s">
        <v>3094</v>
      </c>
      <c r="E429" s="20">
        <v>1.0</v>
      </c>
    </row>
    <row r="430">
      <c r="A430" s="184"/>
      <c r="B430" s="185" t="str">
        <f>IFERROR(__xludf.DUMMYFUNCTION("""COMPUTED_VALUE"""),"Pot")</f>
        <v>Pot</v>
      </c>
      <c r="C430" s="185">
        <f t="shared" si="1"/>
        <v>1</v>
      </c>
      <c r="D430" s="20" t="s">
        <v>3095</v>
      </c>
      <c r="E430" s="20">
        <v>1.0</v>
      </c>
    </row>
    <row r="431">
      <c r="A431" s="184"/>
      <c r="B431" s="185" t="str">
        <f>IFERROR(__xludf.DUMMYFUNCTION("""COMPUTED_VALUE"""),"Ancient")</f>
        <v>Ancient</v>
      </c>
      <c r="C431" s="185">
        <f t="shared" si="1"/>
        <v>3</v>
      </c>
      <c r="D431" s="20" t="s">
        <v>3096</v>
      </c>
      <c r="E431" s="20">
        <v>1.0</v>
      </c>
    </row>
    <row r="432">
      <c r="A432" s="184" t="str">
        <f>IFERROR(__xludf.DUMMYFUNCTION("""COMPUTED_VALUE"""),"Draconic")</f>
        <v>Draconic</v>
      </c>
      <c r="B432" s="185" t="str">
        <f>IFERROR(__xludf.DUMMYFUNCTION("""COMPUTED_VALUE"""),"Scholar")</f>
        <v>Scholar</v>
      </c>
      <c r="C432" s="185">
        <f t="shared" si="1"/>
        <v>1</v>
      </c>
      <c r="D432" s="20" t="s">
        <v>3097</v>
      </c>
      <c r="E432" s="20">
        <v>1.0</v>
      </c>
    </row>
    <row r="433">
      <c r="A433" s="184" t="str">
        <f>IFERROR(__xludf.DUMMYFUNCTION("""COMPUTED_VALUE"""),"Highpriest")</f>
        <v>Highpriest</v>
      </c>
      <c r="B433" s="185" t="str">
        <f>IFERROR(__xludf.DUMMYFUNCTION("""COMPUTED_VALUE"""),"Little")</f>
        <v>Little</v>
      </c>
      <c r="C433" s="185">
        <f t="shared" si="1"/>
        <v>1</v>
      </c>
      <c r="D433" s="20" t="s">
        <v>3098</v>
      </c>
      <c r="E433" s="20">
        <v>1.0</v>
      </c>
    </row>
    <row r="434">
      <c r="A434" s="184"/>
      <c r="B434" s="185" t="str">
        <f>IFERROR(__xludf.DUMMYFUNCTION("""COMPUTED_VALUE"""),"Lamb")</f>
        <v>Lamb</v>
      </c>
      <c r="C434" s="185">
        <f t="shared" si="1"/>
        <v>1</v>
      </c>
      <c r="D434" s="20" t="s">
        <v>3099</v>
      </c>
      <c r="E434" s="20">
        <v>1.0</v>
      </c>
    </row>
    <row r="435">
      <c r="A435" s="184"/>
      <c r="B435" s="185" t="str">
        <f>IFERROR(__xludf.DUMMYFUNCTION("""COMPUTED_VALUE"""),"Weaponized")</f>
        <v>Weaponized</v>
      </c>
      <c r="C435" s="185">
        <f t="shared" si="1"/>
        <v>1</v>
      </c>
      <c r="D435" s="20" t="s">
        <v>3100</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3101</v>
      </c>
      <c r="E437" s="20">
        <v>1.0</v>
      </c>
    </row>
    <row r="438">
      <c r="A438" s="184" t="str">
        <f>IFERROR(__xludf.DUMMYFUNCTION("""COMPUTED_VALUE"""),"Lindwurm")</f>
        <v>Lindwurm</v>
      </c>
      <c r="B438" s="185" t="str">
        <f>IFERROR(__xludf.DUMMYFUNCTION("""COMPUTED_VALUE"""),"Trained")</f>
        <v>Trained</v>
      </c>
      <c r="C438" s="185">
        <f t="shared" si="1"/>
        <v>1</v>
      </c>
      <c r="D438" s="20" t="s">
        <v>3102</v>
      </c>
      <c r="E438" s="20">
        <v>1.0</v>
      </c>
    </row>
    <row r="439">
      <c r="A439" s="184"/>
      <c r="B439" s="185" t="str">
        <f>IFERROR(__xludf.DUMMYFUNCTION("""COMPUTED_VALUE"""),"War")</f>
        <v>War</v>
      </c>
      <c r="C439" s="185">
        <f t="shared" si="1"/>
        <v>1</v>
      </c>
      <c r="D439" s="20" t="s">
        <v>3103</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3104</v>
      </c>
      <c r="E441" s="20">
        <v>1.0</v>
      </c>
    </row>
    <row r="442">
      <c r="A442" s="184" t="str">
        <f>IFERROR(__xludf.DUMMYFUNCTION("""COMPUTED_VALUE"""),"Cheerful")</f>
        <v>Cheerful</v>
      </c>
      <c r="B442" s="185" t="str">
        <f>IFERROR(__xludf.DUMMYFUNCTION("""COMPUTED_VALUE"""),"Kyudo")</f>
        <v>Kyudo</v>
      </c>
      <c r="C442" s="185">
        <f t="shared" si="1"/>
        <v>1</v>
      </c>
      <c r="D442" s="20" t="s">
        <v>3105</v>
      </c>
      <c r="E442" s="20">
        <v>1.0</v>
      </c>
    </row>
    <row r="443">
      <c r="A443" s="184" t="str">
        <f>IFERROR(__xludf.DUMMYFUNCTION("""COMPUTED_VALUE"""),"Pixies")</f>
        <v>Pixies</v>
      </c>
      <c r="B443" s="185" t="str">
        <f>IFERROR(__xludf.DUMMYFUNCTION("""COMPUTED_VALUE"""),"Chalice")</f>
        <v>Chalice</v>
      </c>
      <c r="C443" s="185">
        <f t="shared" si="1"/>
        <v>1</v>
      </c>
      <c r="D443" s="20" t="s">
        <v>3106</v>
      </c>
      <c r="E443" s="20">
        <v>1.0</v>
      </c>
    </row>
    <row r="444">
      <c r="A444" s="184"/>
      <c r="B444" s="185" t="str">
        <f>IFERROR(__xludf.DUMMYFUNCTION("""COMPUTED_VALUE"""),"Bloodbrewer")</f>
        <v>Bloodbrewer</v>
      </c>
      <c r="C444" s="185">
        <f t="shared" si="1"/>
        <v>1</v>
      </c>
      <c r="D444" s="20" t="s">
        <v>3107</v>
      </c>
      <c r="E444" s="20">
        <v>1.0</v>
      </c>
    </row>
    <row r="445">
      <c r="A445" s="184"/>
      <c r="B445" s="185" t="str">
        <f>IFERROR(__xludf.DUMMYFUNCTION("""COMPUTED_VALUE"""),"Packhunting")</f>
        <v>Packhunting</v>
      </c>
      <c r="C445" s="185">
        <f t="shared" si="1"/>
        <v>1</v>
      </c>
      <c r="D445" s="20" t="s">
        <v>3108</v>
      </c>
      <c r="E445" s="20">
        <v>1.0</v>
      </c>
    </row>
    <row r="446">
      <c r="A446" s="184"/>
      <c r="B446" s="185" t="str">
        <f>IFERROR(__xludf.DUMMYFUNCTION("""COMPUTED_VALUE"""),"Crystalbeast")</f>
        <v>Crystalbeast</v>
      </c>
      <c r="C446" s="185">
        <f t="shared" si="1"/>
        <v>1</v>
      </c>
      <c r="D446" s="20" t="s">
        <v>3109</v>
      </c>
      <c r="E446" s="20">
        <v>1.0</v>
      </c>
    </row>
    <row r="447">
      <c r="A447" s="184" t="str">
        <f>IFERROR(__xludf.DUMMYFUNCTION("""COMPUTED_VALUE"""),"Cinderguard")</f>
        <v>Cinderguard</v>
      </c>
      <c r="B447" s="185" t="str">
        <f>IFERROR(__xludf.DUMMYFUNCTION("""COMPUTED_VALUE"""),"Pebble")</f>
        <v>Pebble</v>
      </c>
      <c r="C447" s="185">
        <f t="shared" si="1"/>
        <v>1</v>
      </c>
      <c r="D447" s="20" t="s">
        <v>3110</v>
      </c>
      <c r="E447" s="20">
        <v>1.0</v>
      </c>
    </row>
    <row r="448">
      <c r="A448" s="184" t="str">
        <f>IFERROR(__xludf.DUMMYFUNCTION("""COMPUTED_VALUE"""),"Scribe")</f>
        <v>Scribe</v>
      </c>
      <c r="B448" s="185" t="str">
        <f>IFERROR(__xludf.DUMMYFUNCTION("""COMPUTED_VALUE"""),"Gekko")</f>
        <v>Gekko</v>
      </c>
      <c r="C448" s="185">
        <f t="shared" si="1"/>
        <v>1</v>
      </c>
      <c r="D448" s="20" t="s">
        <v>3111</v>
      </c>
      <c r="E448" s="20">
        <v>1.0</v>
      </c>
    </row>
    <row r="449">
      <c r="A449" s="184"/>
      <c r="B449" s="185" t="str">
        <f>IFERROR(__xludf.DUMMYFUNCTION("""COMPUTED_VALUE"""),"Platinum")</f>
        <v>Platinum</v>
      </c>
      <c r="C449" s="185">
        <f t="shared" si="1"/>
        <v>1</v>
      </c>
      <c r="D449" s="20" t="s">
        <v>3112</v>
      </c>
      <c r="E449" s="20">
        <v>1.0</v>
      </c>
    </row>
    <row r="450">
      <c r="A450" s="184"/>
      <c r="B450" s="185" t="str">
        <f>IFERROR(__xludf.DUMMYFUNCTION("""COMPUTED_VALUE"""),"Ladybug")</f>
        <v>Ladybug</v>
      </c>
      <c r="C450" s="185">
        <f t="shared" si="1"/>
        <v>1</v>
      </c>
      <c r="D450" s="20" t="s">
        <v>3113</v>
      </c>
      <c r="E450" s="20">
        <v>1.0</v>
      </c>
    </row>
    <row r="451">
      <c r="A451" s="184"/>
      <c r="B451" s="185" t="str">
        <f>IFERROR(__xludf.DUMMYFUNCTION("""COMPUTED_VALUE"""),"Necromancer")</f>
        <v>Necromancer</v>
      </c>
      <c r="C451" s="185">
        <f t="shared" si="1"/>
        <v>1</v>
      </c>
      <c r="D451" s="20" t="s">
        <v>3114</v>
      </c>
      <c r="E451" s="20">
        <v>1.0</v>
      </c>
    </row>
    <row r="452">
      <c r="A452" s="184" t="str">
        <f>IFERROR(__xludf.DUMMYFUNCTION("""COMPUTED_VALUE"""),"Daredevil")</f>
        <v>Daredevil</v>
      </c>
      <c r="B452" s="185" t="str">
        <f>IFERROR(__xludf.DUMMYFUNCTION("""COMPUTED_VALUE"""),"Pollen")</f>
        <v>Pollen</v>
      </c>
      <c r="C452" s="185">
        <f t="shared" si="1"/>
        <v>1</v>
      </c>
      <c r="D452" s="20" t="s">
        <v>3115</v>
      </c>
      <c r="E452" s="20">
        <v>1.0</v>
      </c>
    </row>
    <row r="453">
      <c r="A453" s="184" t="str">
        <f>IFERROR(__xludf.DUMMYFUNCTION("""COMPUTED_VALUE"""),"Duo")</f>
        <v>Duo</v>
      </c>
      <c r="B453" s="185" t="str">
        <f>IFERROR(__xludf.DUMMYFUNCTION("""COMPUTED_VALUE"""),"Buzz")</f>
        <v>Buzz</v>
      </c>
      <c r="C453" s="185">
        <f t="shared" si="1"/>
        <v>1</v>
      </c>
      <c r="D453" s="20" t="s">
        <v>3116</v>
      </c>
      <c r="E453" s="20">
        <v>1.0</v>
      </c>
    </row>
    <row r="454">
      <c r="A454" s="184"/>
      <c r="B454" s="185" t="str">
        <f>IFERROR(__xludf.DUMMYFUNCTION("""COMPUTED_VALUE"""),"Primal")</f>
        <v>Primal</v>
      </c>
      <c r="C454" s="185">
        <f t="shared" si="1"/>
        <v>1</v>
      </c>
      <c r="D454" s="20" t="s">
        <v>3117</v>
      </c>
      <c r="E454" s="20">
        <v>1.0</v>
      </c>
    </row>
    <row r="455">
      <c r="A455" s="184"/>
      <c r="B455" s="185" t="str">
        <f>IFERROR(__xludf.DUMMYFUNCTION("""COMPUTED_VALUE"""),"Horde")</f>
        <v>Horde</v>
      </c>
      <c r="C455" s="185">
        <f t="shared" si="1"/>
        <v>1</v>
      </c>
      <c r="D455" s="20" t="s">
        <v>3118</v>
      </c>
      <c r="E455" s="20">
        <v>1.0</v>
      </c>
    </row>
    <row r="456">
      <c r="A456" s="184"/>
      <c r="B456" s="185" t="str">
        <f>IFERROR(__xludf.DUMMYFUNCTION("""COMPUTED_VALUE"""),"Prowling")</f>
        <v>Prowling</v>
      </c>
      <c r="C456" s="185">
        <f t="shared" si="1"/>
        <v>1</v>
      </c>
      <c r="D456" s="20" t="s">
        <v>3119</v>
      </c>
      <c r="E456" s="20">
        <v>1.0</v>
      </c>
    </row>
    <row r="457">
      <c r="A457" s="184" t="str">
        <f>IFERROR(__xludf.DUMMYFUNCTION("""COMPUTED_VALUE"""),"Echo")</f>
        <v>Echo</v>
      </c>
      <c r="B457" s="185" t="str">
        <f>IFERROR(__xludf.DUMMYFUNCTION("""COMPUTED_VALUE"""),"Puma")</f>
        <v>Puma</v>
      </c>
      <c r="C457" s="185">
        <f t="shared" si="1"/>
        <v>1</v>
      </c>
      <c r="D457" s="20" t="s">
        <v>3120</v>
      </c>
      <c r="E457" s="20">
        <v>1.0</v>
      </c>
    </row>
    <row r="458">
      <c r="A458" s="184" t="str">
        <f>IFERROR(__xludf.DUMMYFUNCTION("""COMPUTED_VALUE"""),"Beetle")</f>
        <v>Beetle</v>
      </c>
      <c r="B458" s="185" t="str">
        <f>IFERROR(__xludf.DUMMYFUNCTION("""COMPUTED_VALUE"""),"Crystal")</f>
        <v>Crystal</v>
      </c>
      <c r="C458" s="185">
        <f t="shared" si="1"/>
        <v>2</v>
      </c>
      <c r="D458" s="20" t="s">
        <v>3121</v>
      </c>
      <c r="E458" s="20">
        <v>1.0</v>
      </c>
    </row>
    <row r="459">
      <c r="A459" s="184"/>
      <c r="B459" s="185" t="str">
        <f>IFERROR(__xludf.DUMMYFUNCTION("""COMPUTED_VALUE"""),"Catacombs")</f>
        <v>Catacombs</v>
      </c>
      <c r="C459" s="185">
        <f t="shared" si="1"/>
        <v>2</v>
      </c>
      <c r="D459" s="20" t="s">
        <v>3122</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3123</v>
      </c>
      <c r="E461" s="20">
        <v>1.0</v>
      </c>
    </row>
    <row r="462">
      <c r="A462" s="184" t="str">
        <f>IFERROR(__xludf.DUMMYFUNCTION("""COMPUTED_VALUE"""),"Ember")</f>
        <v>Ember</v>
      </c>
      <c r="B462" s="185" t="str">
        <f>IFERROR(__xludf.DUMMYFUNCTION("""COMPUTED_VALUE"""),"from")</f>
        <v>from</v>
      </c>
      <c r="C462" s="185">
        <f t="shared" si="1"/>
        <v>2</v>
      </c>
      <c r="D462" s="20" t="s">
        <v>3124</v>
      </c>
      <c r="E462" s="20">
        <v>1.0</v>
      </c>
    </row>
    <row r="463">
      <c r="A463" s="184" t="str">
        <f>IFERROR(__xludf.DUMMYFUNCTION("""COMPUTED_VALUE"""),"Whelp")</f>
        <v>Whelp</v>
      </c>
      <c r="B463" s="185" t="str">
        <f>IFERROR(__xludf.DUMMYFUNCTION("""COMPUTED_VALUE"""),"Past")</f>
        <v>Past</v>
      </c>
      <c r="C463" s="185">
        <f t="shared" si="1"/>
        <v>1</v>
      </c>
      <c r="D463" s="20" t="s">
        <v>3125</v>
      </c>
      <c r="E463" s="20">
        <v>1.0</v>
      </c>
    </row>
    <row r="464">
      <c r="A464" s="184"/>
      <c r="B464" s="185" t="str">
        <f>IFERROR(__xludf.DUMMYFUNCTION("""COMPUTED_VALUE"""),"Rootseed")</f>
        <v>Rootseed</v>
      </c>
      <c r="C464" s="185">
        <f t="shared" si="1"/>
        <v>1</v>
      </c>
      <c r="D464" s="20" t="s">
        <v>3126</v>
      </c>
      <c r="E464" s="20">
        <v>1.0</v>
      </c>
    </row>
    <row r="465">
      <c r="A465" s="184"/>
      <c r="B465" s="185" t="str">
        <f>IFERROR(__xludf.DUMMYFUNCTION("""COMPUTED_VALUE"""),"Snapscale")</f>
        <v>Snapscale</v>
      </c>
      <c r="C465" s="185">
        <f t="shared" si="1"/>
        <v>1</v>
      </c>
      <c r="D465" s="20" t="s">
        <v>3127</v>
      </c>
      <c r="E465" s="20">
        <v>1.0</v>
      </c>
    </row>
    <row r="466">
      <c r="A466" s="184"/>
      <c r="B466" s="185" t="str">
        <f>IFERROR(__xludf.DUMMYFUNCTION("""COMPUTED_VALUE"""),"Alpha")</f>
        <v>Alpha</v>
      </c>
      <c r="C466" s="185">
        <f t="shared" si="1"/>
        <v>1</v>
      </c>
      <c r="D466" s="20" t="s">
        <v>3128</v>
      </c>
      <c r="E466" s="20">
        <v>1.0</v>
      </c>
    </row>
    <row r="467">
      <c r="A467" s="184" t="str">
        <f>IFERROR(__xludf.DUMMYFUNCTION("""COMPUTED_VALUE"""),"Floating")</f>
        <v>Floating</v>
      </c>
      <c r="B467" s="185" t="str">
        <f>IFERROR(__xludf.DUMMYFUNCTION("""COMPUTED_VALUE"""),"Stampede")</f>
        <v>Stampede</v>
      </c>
      <c r="C467" s="185">
        <f t="shared" si="1"/>
        <v>1</v>
      </c>
      <c r="D467" s="20" t="s">
        <v>3129</v>
      </c>
      <c r="E467" s="20">
        <v>1.0</v>
      </c>
    </row>
    <row r="468">
      <c r="A468" s="184" t="str">
        <f>IFERROR(__xludf.DUMMYFUNCTION("""COMPUTED_VALUE"""),"Djinn")</f>
        <v>Djinn</v>
      </c>
      <c r="B468" s="185" t="str">
        <f>IFERROR(__xludf.DUMMYFUNCTION("""COMPUTED_VALUE"""),"Amethyst")</f>
        <v>Amethyst</v>
      </c>
      <c r="C468" s="185">
        <f t="shared" si="1"/>
        <v>1</v>
      </c>
      <c r="D468" s="20" t="s">
        <v>3130</v>
      </c>
      <c r="E468" s="20">
        <v>1.0</v>
      </c>
    </row>
    <row r="469">
      <c r="A469" s="184"/>
      <c r="B469" s="185" t="str">
        <f>IFERROR(__xludf.DUMMYFUNCTION("""COMPUTED_VALUE"""),"Argosaurus")</f>
        <v>Argosaurus</v>
      </c>
      <c r="C469" s="185">
        <f t="shared" si="1"/>
        <v>1</v>
      </c>
      <c r="D469" s="20" t="s">
        <v>3131</v>
      </c>
      <c r="E469" s="20">
        <v>1.0</v>
      </c>
    </row>
    <row r="470">
      <c r="A470" s="184"/>
      <c r="B470" s="185" t="str">
        <f>IFERROR(__xludf.DUMMYFUNCTION("""COMPUTED_VALUE"""),"Astral")</f>
        <v>Astral</v>
      </c>
      <c r="C470" s="185">
        <f t="shared" si="1"/>
        <v>1</v>
      </c>
      <c r="D470" s="20" t="s">
        <v>3132</v>
      </c>
      <c r="E470" s="20">
        <v>1.0</v>
      </c>
    </row>
    <row r="471">
      <c r="A471" s="184"/>
      <c r="B471" s="185" t="str">
        <f>IFERROR(__xludf.DUMMYFUNCTION("""COMPUTED_VALUE"""),"Unicorn")</f>
        <v>Unicorn</v>
      </c>
      <c r="C471" s="185">
        <f t="shared" si="1"/>
        <v>1</v>
      </c>
      <c r="D471" s="20" t="s">
        <v>3133</v>
      </c>
      <c r="E471" s="20">
        <v>1.0</v>
      </c>
    </row>
    <row r="472">
      <c r="A472" s="184" t="str">
        <f>IFERROR(__xludf.DUMMYFUNCTION("""COMPUTED_VALUE"""),"Dewdrop")</f>
        <v>Dewdrop</v>
      </c>
      <c r="B472" s="185" t="str">
        <f>IFERROR(__xludf.DUMMYFUNCTION("""COMPUTED_VALUE"""),"Spectra")</f>
        <v>Spectra</v>
      </c>
      <c r="C472" s="185">
        <f t="shared" si="1"/>
        <v>1</v>
      </c>
      <c r="D472" s="20" t="s">
        <v>3134</v>
      </c>
      <c r="E472" s="20">
        <v>1.0</v>
      </c>
    </row>
    <row r="473">
      <c r="A473" s="184" t="str">
        <f>IFERROR(__xludf.DUMMYFUNCTION("""COMPUTED_VALUE"""),"Sprite")</f>
        <v>Sprite</v>
      </c>
      <c r="B473" s="185" t="str">
        <f>IFERROR(__xludf.DUMMYFUNCTION("""COMPUTED_VALUE"""),"Stick")</f>
        <v>Stick</v>
      </c>
      <c r="C473" s="185">
        <f t="shared" si="1"/>
        <v>1</v>
      </c>
      <c r="D473" s="20" t="s">
        <v>3135</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3136</v>
      </c>
      <c r="E475" s="20">
        <v>1.0</v>
      </c>
    </row>
    <row r="476">
      <c r="A476" s="184"/>
      <c r="B476" s="185" t="str">
        <f>IFERROR(__xludf.DUMMYFUNCTION("""COMPUTED_VALUE"""),"Sylvan")</f>
        <v>Sylvan</v>
      </c>
      <c r="C476" s="185">
        <f t="shared" si="1"/>
        <v>1</v>
      </c>
      <c r="D476" s="20" t="s">
        <v>3137</v>
      </c>
      <c r="E476" s="20">
        <v>1.0</v>
      </c>
    </row>
    <row r="477">
      <c r="A477" s="184" t="str">
        <f>IFERROR(__xludf.DUMMYFUNCTION("""COMPUTED_VALUE"""),"Dragon")</f>
        <v>Dragon</v>
      </c>
      <c r="B477" s="185" t="str">
        <f>IFERROR(__xludf.DUMMYFUNCTION("""COMPUTED_VALUE"""),"Gamekeeper")</f>
        <v>Gamekeeper</v>
      </c>
      <c r="C477" s="185">
        <f t="shared" si="1"/>
        <v>1</v>
      </c>
      <c r="D477" s="20" t="s">
        <v>3138</v>
      </c>
      <c r="E477" s="20">
        <v>1.0</v>
      </c>
    </row>
    <row r="478">
      <c r="A478" s="184" t="str">
        <f>IFERROR(__xludf.DUMMYFUNCTION("""COMPUTED_VALUE"""),"Egg")</f>
        <v>Egg</v>
      </c>
      <c r="B478" s="185" t="str">
        <f>IFERROR(__xludf.DUMMYFUNCTION("""COMPUTED_VALUE"""),"Tainted")</f>
        <v>Tainted</v>
      </c>
      <c r="C478" s="185">
        <f t="shared" si="1"/>
        <v>3</v>
      </c>
      <c r="D478" s="20" t="s">
        <v>3139</v>
      </c>
      <c r="E478" s="20">
        <v>1.0</v>
      </c>
    </row>
    <row r="479">
      <c r="A479" s="184"/>
      <c r="B479" s="185" t="str">
        <f>IFERROR(__xludf.DUMMYFUNCTION("""COMPUTED_VALUE"""),"Jade")</f>
        <v>Jade</v>
      </c>
      <c r="C479" s="185">
        <f t="shared" si="1"/>
        <v>3</v>
      </c>
      <c r="D479" s="20" t="s">
        <v>3140</v>
      </c>
      <c r="E479" s="20">
        <v>1.0</v>
      </c>
    </row>
    <row r="480">
      <c r="A480" s="184"/>
      <c r="B480" s="185" t="str">
        <f>IFERROR(__xludf.DUMMYFUNCTION("""COMPUTED_VALUE"""),"Monstrosity")</f>
        <v>Monstrosity</v>
      </c>
      <c r="C480" s="185">
        <f t="shared" si="1"/>
        <v>1</v>
      </c>
      <c r="D480" s="20" t="s">
        <v>3141</v>
      </c>
      <c r="E480" s="20">
        <v>1.0</v>
      </c>
    </row>
    <row r="481">
      <c r="A481" s="184"/>
      <c r="B481" s="185" t="str">
        <f>IFERROR(__xludf.DUMMYFUNCTION("""COMPUTED_VALUE"""),"Mycomancer")</f>
        <v>Mycomancer</v>
      </c>
      <c r="C481" s="185">
        <f t="shared" si="1"/>
        <v>1</v>
      </c>
      <c r="D481" s="20" t="s">
        <v>3142</v>
      </c>
      <c r="E481" s="20">
        <v>1.0</v>
      </c>
    </row>
    <row r="482">
      <c r="A482" s="184" t="str">
        <f>IFERROR(__xludf.DUMMYFUNCTION("""COMPUTED_VALUE"""),"Dustdance")</f>
        <v>Dustdance</v>
      </c>
      <c r="B482" s="185" t="str">
        <f>IFERROR(__xludf.DUMMYFUNCTION("""COMPUTED_VALUE"""),"Matriarch")</f>
        <v>Matriarch</v>
      </c>
      <c r="C482" s="185">
        <f t="shared" si="1"/>
        <v>2</v>
      </c>
      <c r="D482" s="20" t="s">
        <v>3143</v>
      </c>
      <c r="E482" s="20">
        <v>1.0</v>
      </c>
    </row>
    <row r="483">
      <c r="A483" s="184" t="str">
        <f>IFERROR(__xludf.DUMMYFUNCTION("""COMPUTED_VALUE"""),"Efreet")</f>
        <v>Efreet</v>
      </c>
      <c r="B483" s="185" t="str">
        <f>IFERROR(__xludf.DUMMYFUNCTION("""COMPUTED_VALUE"""),"Trickster")</f>
        <v>Trickster</v>
      </c>
      <c r="C483" s="185">
        <f t="shared" si="1"/>
        <v>2</v>
      </c>
      <c r="D483" s="20" t="s">
        <v>3144</v>
      </c>
      <c r="E483" s="20">
        <v>1.0</v>
      </c>
    </row>
    <row r="484">
      <c r="A484" s="184"/>
      <c r="B484" s="185" t="str">
        <f>IFERROR(__xludf.DUMMYFUNCTION("""COMPUTED_VALUE"""),"Venomleaf")</f>
        <v>Venomleaf</v>
      </c>
      <c r="C484" s="185">
        <f t="shared" si="1"/>
        <v>1</v>
      </c>
      <c r="D484" s="20" t="s">
        <v>3145</v>
      </c>
      <c r="E484" s="20">
        <v>1.0</v>
      </c>
    </row>
    <row r="485">
      <c r="A485" s="184"/>
      <c r="B485" s="185" t="str">
        <f>IFERROR(__xludf.DUMMYFUNCTION("""COMPUTED_VALUE"""),"Croaker")</f>
        <v>Croaker</v>
      </c>
      <c r="C485" s="185">
        <f t="shared" si="1"/>
        <v>1</v>
      </c>
      <c r="D485" s="20" t="s">
        <v>3146</v>
      </c>
      <c r="E485" s="20">
        <v>1.0</v>
      </c>
    </row>
    <row r="486">
      <c r="A486" s="184"/>
      <c r="B486" s="185" t="str">
        <f>IFERROR(__xludf.DUMMYFUNCTION("""COMPUTED_VALUE"""),"Darkwood")</f>
        <v>Darkwood</v>
      </c>
      <c r="C486" s="185">
        <f t="shared" si="1"/>
        <v>1</v>
      </c>
      <c r="D486" s="20" t="s">
        <v>3147</v>
      </c>
      <c r="E486" s="20">
        <v>1.0</v>
      </c>
    </row>
    <row r="487">
      <c r="A487" s="184" t="str">
        <f>IFERROR(__xludf.DUMMYFUNCTION("""COMPUTED_VALUE"""),"Hermit")</f>
        <v>Hermit</v>
      </c>
      <c r="B487" s="185" t="str">
        <f>IFERROR(__xludf.DUMMYFUNCTION("""COMPUTED_VALUE"""),"Tracker")</f>
        <v>Tracker</v>
      </c>
      <c r="C487" s="185">
        <f t="shared" si="1"/>
        <v>1</v>
      </c>
      <c r="D487" s="20" t="s">
        <v>3148</v>
      </c>
      <c r="E487" s="20">
        <v>1.0</v>
      </c>
    </row>
    <row r="488">
      <c r="A488" s="184" t="str">
        <f>IFERROR(__xludf.DUMMYFUNCTION("""COMPUTED_VALUE"""),"of")</f>
        <v>of</v>
      </c>
      <c r="B488" s="185" t="str">
        <f>IFERROR(__xludf.DUMMYFUNCTION("""COMPUTED_VALUE"""),"Verdant")</f>
        <v>Verdant</v>
      </c>
      <c r="C488" s="185">
        <f t="shared" si="1"/>
        <v>1</v>
      </c>
      <c r="D488" s="20" t="s">
        <v>3149</v>
      </c>
      <c r="E488" s="20">
        <v>1.0</v>
      </c>
    </row>
    <row r="489">
      <c r="A489" s="184" t="str">
        <f>IFERROR(__xludf.DUMMYFUNCTION("""COMPUTED_VALUE"""),"the")</f>
        <v>the</v>
      </c>
      <c r="B489" s="185" t="str">
        <f>IFERROR(__xludf.DUMMYFUNCTION("""COMPUTED_VALUE"""),"Sakura")</f>
        <v>Sakura</v>
      </c>
      <c r="C489" s="185">
        <f t="shared" si="1"/>
        <v>1</v>
      </c>
      <c r="D489" s="20" t="s">
        <v>3150</v>
      </c>
      <c r="E489" s="20">
        <v>1.0</v>
      </c>
    </row>
    <row r="490">
      <c r="A490" s="184" t="str">
        <f>IFERROR(__xludf.DUMMYFUNCTION("""COMPUTED_VALUE"""),"Horizon")</f>
        <v>Horizon</v>
      </c>
      <c r="B490" s="185" t="str">
        <f>IFERROR(__xludf.DUMMYFUNCTION("""COMPUTED_VALUE"""),"Forgotten")</f>
        <v>Forgotten</v>
      </c>
      <c r="C490" s="185">
        <f t="shared" si="1"/>
        <v>1</v>
      </c>
      <c r="D490" s="20" t="s">
        <v>3151</v>
      </c>
      <c r="E490" s="20">
        <v>1.0</v>
      </c>
    </row>
    <row r="491">
      <c r="A491" s="184"/>
      <c r="B491" s="185" t="str">
        <f>IFERROR(__xludf.DUMMYFUNCTION("""COMPUTED_VALUE"""),"Locust")</f>
        <v>Locust</v>
      </c>
      <c r="C491" s="185">
        <f t="shared" si="1"/>
        <v>1</v>
      </c>
      <c r="D491" s="20" t="s">
        <v>3152</v>
      </c>
      <c r="E491" s="20">
        <v>1.0</v>
      </c>
    </row>
    <row r="492">
      <c r="A492" s="184" t="str">
        <f>IFERROR(__xludf.DUMMYFUNCTION("""COMPUTED_VALUE"""),"Roughlands")</f>
        <v>Roughlands</v>
      </c>
      <c r="B492" s="185" t="str">
        <f>IFERROR(__xludf.DUMMYFUNCTION("""COMPUTED_VALUE"""),"Swarm")</f>
        <v>Swarm</v>
      </c>
      <c r="C492" s="185">
        <f t="shared" si="1"/>
        <v>1</v>
      </c>
      <c r="D492" s="20" t="s">
        <v>3153</v>
      </c>
      <c r="E492" s="20">
        <v>1.0</v>
      </c>
    </row>
    <row r="493">
      <c r="A493" s="184" t="str">
        <f>IFERROR(__xludf.DUMMYFUNCTION("""COMPUTED_VALUE"""),"Scourge")</f>
        <v>Scourge</v>
      </c>
      <c r="B493" s="185" t="str">
        <f>IFERROR(__xludf.DUMMYFUNCTION("""COMPUTED_VALUE"""),"Emerald")</f>
        <v>Emerald</v>
      </c>
      <c r="C493" s="185">
        <f t="shared" si="1"/>
        <v>1</v>
      </c>
      <c r="D493" s="20" t="s">
        <v>3154</v>
      </c>
      <c r="E493" s="20">
        <v>1.0</v>
      </c>
    </row>
    <row r="494">
      <c r="A494" s="184"/>
      <c r="B494" s="185" t="str">
        <f>IFERROR(__xludf.DUMMYFUNCTION("""COMPUTED_VALUE"""),"Fang")</f>
        <v>Fang</v>
      </c>
      <c r="C494" s="185">
        <f t="shared" si="1"/>
        <v>1</v>
      </c>
      <c r="D494" s="20" t="s">
        <v>3155</v>
      </c>
      <c r="E494" s="20">
        <v>1.0</v>
      </c>
    </row>
    <row r="495">
      <c r="A495" s="184"/>
      <c r="B495" s="185" t="str">
        <f>IFERROR(__xludf.DUMMYFUNCTION("""COMPUTED_VALUE"""),"Cobra")</f>
        <v>Cobra</v>
      </c>
      <c r="C495" s="185">
        <f t="shared" si="1"/>
        <v>1</v>
      </c>
      <c r="D495" s="20" t="s">
        <v>3156</v>
      </c>
      <c r="E495" s="20">
        <v>1.0</v>
      </c>
    </row>
    <row r="496">
      <c r="A496" s="184"/>
      <c r="B496" s="185" t="str">
        <f>IFERROR(__xludf.DUMMYFUNCTION("""COMPUTED_VALUE"""),"Entwining")</f>
        <v>Entwining</v>
      </c>
      <c r="C496" s="185">
        <f t="shared" si="1"/>
        <v>1</v>
      </c>
      <c r="D496" s="20" t="s">
        <v>3157</v>
      </c>
      <c r="E496" s="20">
        <v>1.0</v>
      </c>
    </row>
    <row r="497">
      <c r="A497" s="184" t="str">
        <f>IFERROR(__xludf.DUMMYFUNCTION("""COMPUTED_VALUE"""),"Mirrorworld")</f>
        <v>Mirrorworld</v>
      </c>
      <c r="B497" s="185" t="str">
        <f>IFERROR(__xludf.DUMMYFUNCTION("""COMPUTED_VALUE"""),"Creeper")</f>
        <v>Creeper</v>
      </c>
      <c r="C497" s="185">
        <f t="shared" si="1"/>
        <v>2</v>
      </c>
      <c r="D497" s="20" t="s">
        <v>3158</v>
      </c>
      <c r="E497" s="20">
        <v>1.0</v>
      </c>
    </row>
    <row r="498">
      <c r="A498" s="184" t="str">
        <f>IFERROR(__xludf.DUMMYFUNCTION("""COMPUTED_VALUE"""),"Bloodseeker")</f>
        <v>Bloodseeker</v>
      </c>
      <c r="B498" s="185" t="str">
        <f>IFERROR(__xludf.DUMMYFUNCTION("""COMPUTED_VALUE"""),"Jeweled")</f>
        <v>Jeweled</v>
      </c>
      <c r="C498" s="185">
        <f t="shared" si="1"/>
        <v>1</v>
      </c>
      <c r="D498" s="20" t="s">
        <v>3159</v>
      </c>
      <c r="E498" s="20">
        <v>1.0</v>
      </c>
    </row>
    <row r="499">
      <c r="A499" s="184"/>
      <c r="B499" s="185" t="str">
        <f>IFERROR(__xludf.DUMMYFUNCTION("""COMPUTED_VALUE"""),"Triceratops")</f>
        <v>Triceratops</v>
      </c>
      <c r="C499" s="185">
        <f t="shared" si="1"/>
        <v>1</v>
      </c>
      <c r="D499" s="20" t="s">
        <v>3160</v>
      </c>
      <c r="E499" s="20">
        <v>1.0</v>
      </c>
    </row>
    <row r="500">
      <c r="A500" s="184"/>
      <c r="B500" s="185" t="str">
        <f>IFERROR(__xludf.DUMMYFUNCTION("""COMPUTED_VALUE"""),"Jolly")</f>
        <v>Jolly</v>
      </c>
      <c r="C500" s="185">
        <f t="shared" si="1"/>
        <v>1</v>
      </c>
      <c r="D500" s="20" t="s">
        <v>3161</v>
      </c>
      <c r="E500" s="20">
        <v>1.0</v>
      </c>
    </row>
    <row r="501">
      <c r="A501" s="184"/>
      <c r="B501" s="185" t="str">
        <f>IFERROR(__xludf.DUMMYFUNCTION("""COMPUTED_VALUE"""),"Tamarin")</f>
        <v>Tamarin</v>
      </c>
      <c r="C501" s="185">
        <f t="shared" si="1"/>
        <v>1</v>
      </c>
      <c r="D501" s="20" t="s">
        <v>3162</v>
      </c>
      <c r="E501" s="20">
        <v>1.0</v>
      </c>
    </row>
    <row r="502">
      <c r="A502" s="184" t="str">
        <f>IFERROR(__xludf.DUMMYFUNCTION("""COMPUTED_VALUE"""),"Mountain")</f>
        <v>Mountain</v>
      </c>
      <c r="B502" s="185" t="str">
        <f>IFERROR(__xludf.DUMMYFUNCTION("""COMPUTED_VALUE"""),"Leech")</f>
        <v>Leech</v>
      </c>
      <c r="C502" s="185">
        <f t="shared" si="1"/>
        <v>1</v>
      </c>
      <c r="D502" s="20" t="s">
        <v>3163</v>
      </c>
      <c r="E502" s="20">
        <v>1.0</v>
      </c>
    </row>
    <row r="503">
      <c r="A503" s="184" t="str">
        <f>IFERROR(__xludf.DUMMYFUNCTION("""COMPUTED_VALUE"""),"Sage")</f>
        <v>Sage</v>
      </c>
      <c r="B503" s="185" t="str">
        <f>IFERROR(__xludf.DUMMYFUNCTION("""COMPUTED_VALUE"""),"Dragonfly")</f>
        <v>Dragonfly</v>
      </c>
      <c r="C503" s="185">
        <f t="shared" si="1"/>
        <v>1</v>
      </c>
      <c r="D503" s="20" t="s">
        <v>3164</v>
      </c>
      <c r="E503" s="20">
        <v>1.0</v>
      </c>
    </row>
    <row r="504">
      <c r="A504" s="184"/>
      <c r="B504" s="185" t="str">
        <f>IFERROR(__xludf.DUMMYFUNCTION("""COMPUTED_VALUE"""),"Nurseplant")</f>
        <v>Nurseplant</v>
      </c>
      <c r="C504" s="185">
        <f t="shared" si="1"/>
        <v>1</v>
      </c>
      <c r="D504" s="20" t="s">
        <v>3165</v>
      </c>
      <c r="E504" s="20">
        <v>1.0</v>
      </c>
    </row>
    <row r="505">
      <c r="A505" s="184"/>
      <c r="B505" s="185" t="str">
        <f>IFERROR(__xludf.DUMMYFUNCTION("""COMPUTED_VALUE"""),"Bloodthrone")</f>
        <v>Bloodthrone</v>
      </c>
      <c r="C505" s="185">
        <f t="shared" si="1"/>
        <v>3</v>
      </c>
      <c r="D505" s="20" t="s">
        <v>3166</v>
      </c>
      <c r="E505" s="20">
        <v>1.0</v>
      </c>
    </row>
    <row r="506">
      <c r="A506" s="184"/>
      <c r="B506" s="185" t="str">
        <f>IFERROR(__xludf.DUMMYFUNCTION("""COMPUTED_VALUE"""),"Nurturing")</f>
        <v>Nurturing</v>
      </c>
      <c r="C506" s="185">
        <f t="shared" si="1"/>
        <v>1</v>
      </c>
      <c r="D506" s="20" t="s">
        <v>3167</v>
      </c>
      <c r="E506" s="20">
        <v>1.0</v>
      </c>
    </row>
    <row r="507">
      <c r="A507" s="184" t="str">
        <f>IFERROR(__xludf.DUMMYFUNCTION("""COMPUTED_VALUE"""),"Nimbus")</f>
        <v>Nimbus</v>
      </c>
      <c r="B507" s="185" t="str">
        <f>IFERROR(__xludf.DUMMYFUNCTION("""COMPUTED_VALUE"""),"Rootsaurus")</f>
        <v>Rootsaurus</v>
      </c>
      <c r="C507" s="185">
        <f t="shared" si="1"/>
        <v>1</v>
      </c>
      <c r="D507" s="20" t="s">
        <v>3168</v>
      </c>
      <c r="E507" s="20">
        <v>1.0</v>
      </c>
    </row>
    <row r="508">
      <c r="A508" s="184" t="str">
        <f>IFERROR(__xludf.DUMMYFUNCTION("""COMPUTED_VALUE"""),"Claw")</f>
        <v>Claw</v>
      </c>
      <c r="B508" s="185" t="str">
        <f>IFERROR(__xludf.DUMMYFUNCTION("""COMPUTED_VALUE"""),"Carnage")</f>
        <v>Carnage</v>
      </c>
      <c r="C508" s="185">
        <f t="shared" si="1"/>
        <v>1</v>
      </c>
      <c r="D508" s="20" t="s">
        <v>3169</v>
      </c>
      <c r="E508" s="20">
        <v>1.0</v>
      </c>
    </row>
    <row r="509">
      <c r="A509" s="184"/>
      <c r="B509" s="185" t="str">
        <f>IFERROR(__xludf.DUMMYFUNCTION("""COMPUTED_VALUE"""),"Hornet")</f>
        <v>Hornet</v>
      </c>
      <c r="C509" s="185">
        <f t="shared" si="1"/>
        <v>1</v>
      </c>
      <c r="D509" s="20" t="s">
        <v>3170</v>
      </c>
      <c r="E509" s="20">
        <v>1.0</v>
      </c>
    </row>
    <row r="510">
      <c r="A510" s="184"/>
      <c r="B510" s="185" t="str">
        <f>IFERROR(__xludf.DUMMYFUNCTION("""COMPUTED_VALUE"""),"Champion")</f>
        <v>Champion</v>
      </c>
      <c r="C510" s="185">
        <f t="shared" si="1"/>
        <v>1</v>
      </c>
      <c r="D510" s="20" t="s">
        <v>3171</v>
      </c>
      <c r="E510" s="20">
        <v>1.0</v>
      </c>
    </row>
    <row r="511">
      <c r="A511" s="184"/>
      <c r="B511" s="185" t="str">
        <f>IFERROR(__xludf.DUMMYFUNCTION("""COMPUTED_VALUE"""),"Hell")</f>
        <v>Hell</v>
      </c>
      <c r="C511" s="185">
        <f t="shared" si="1"/>
        <v>1</v>
      </c>
      <c r="D511" s="20" t="s">
        <v>3172</v>
      </c>
      <c r="E511" s="20">
        <v>1.0</v>
      </c>
    </row>
    <row r="512">
      <c r="A512" s="184" t="str">
        <f>IFERROR(__xludf.DUMMYFUNCTION("""COMPUTED_VALUE"""),"Omen")</f>
        <v>Omen</v>
      </c>
      <c r="B512" s="185" t="str">
        <f>IFERROR(__xludf.DUMMYFUNCTION("""COMPUTED_VALUE"""),"Colorgorger")</f>
        <v>Colorgorger</v>
      </c>
      <c r="C512" s="185">
        <f t="shared" si="1"/>
        <v>1</v>
      </c>
      <c r="D512" s="20" t="s">
        <v>3173</v>
      </c>
      <c r="E512" s="20">
        <v>1.0</v>
      </c>
    </row>
    <row r="513">
      <c r="A513" s="184" t="str">
        <f>IFERROR(__xludf.DUMMYFUNCTION("""COMPUTED_VALUE"""),"Firefly")</f>
        <v>Firefly</v>
      </c>
      <c r="B513" s="185" t="str">
        <f>IFERROR(__xludf.DUMMYFUNCTION("""COMPUTED_VALUE"""),"Dark")</f>
        <v>Dark</v>
      </c>
      <c r="C513" s="185">
        <f t="shared" si="1"/>
        <v>1</v>
      </c>
      <c r="D513" s="20" t="s">
        <v>3174</v>
      </c>
      <c r="E513" s="20">
        <v>1.0</v>
      </c>
    </row>
    <row r="514">
      <c r="A514" s="184"/>
      <c r="B514" s="185" t="str">
        <f>IFERROR(__xludf.DUMMYFUNCTION("""COMPUTED_VALUE"""),"Spoon")</f>
        <v>Spoon</v>
      </c>
      <c r="C514" s="185">
        <f t="shared" si="1"/>
        <v>1</v>
      </c>
      <c r="D514" s="20" t="s">
        <v>3175</v>
      </c>
      <c r="E514" s="20">
        <v>1.0</v>
      </c>
    </row>
    <row r="515">
      <c r="A515" s="184"/>
      <c r="B515" s="185" t="str">
        <f>IFERROR(__xludf.DUMMYFUNCTION("""COMPUTED_VALUE"""),"Dawnbreak")</f>
        <v>Dawnbreak</v>
      </c>
      <c r="C515" s="185">
        <f t="shared" si="1"/>
        <v>1</v>
      </c>
      <c r="D515" s="20" t="s">
        <v>3176</v>
      </c>
      <c r="E515" s="20">
        <v>1.0</v>
      </c>
    </row>
    <row r="516">
      <c r="A516" s="184"/>
      <c r="B516" s="185" t="str">
        <f>IFERROR(__xludf.DUMMYFUNCTION("""COMPUTED_VALUE"""),"Wendigo")</f>
        <v>Wendigo</v>
      </c>
      <c r="C516" s="185">
        <f t="shared" si="1"/>
        <v>1</v>
      </c>
      <c r="D516" s="20" t="s">
        <v>3177</v>
      </c>
      <c r="E516" s="20">
        <v>1.0</v>
      </c>
    </row>
    <row r="517">
      <c r="A517" s="184" t="str">
        <f>IFERROR(__xludf.DUMMYFUNCTION("""COMPUTED_VALUE"""),"Pixie")</f>
        <v>Pixie</v>
      </c>
      <c r="B517" s="185" t="str">
        <f>IFERROR(__xludf.DUMMYFUNCTION("""COMPUTED_VALUE"""),"Depthdragger")</f>
        <v>Depthdragger</v>
      </c>
      <c r="C517" s="185">
        <f t="shared" si="1"/>
        <v>1</v>
      </c>
      <c r="D517" s="20" t="s">
        <v>3178</v>
      </c>
      <c r="E517" s="20">
        <v>1.0</v>
      </c>
    </row>
    <row r="518">
      <c r="A518" s="184" t="str">
        <f>IFERROR(__xludf.DUMMYFUNCTION("""COMPUTED_VALUE"""),"Summoner")</f>
        <v>Summoner</v>
      </c>
      <c r="B518" s="185" t="str">
        <f>IFERROR(__xludf.DUMMYFUNCTION("""COMPUTED_VALUE"""),"Discarded")</f>
        <v>Discarded</v>
      </c>
      <c r="C518" s="185">
        <f t="shared" si="1"/>
        <v>1</v>
      </c>
      <c r="D518" s="20" t="s">
        <v>3179</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3180</v>
      </c>
      <c r="E520" s="20">
        <v>1.0</v>
      </c>
    </row>
    <row r="521">
      <c r="A521" s="184"/>
      <c r="B521" s="185" t="str">
        <f>IFERROR(__xludf.DUMMYFUNCTION("""COMPUTED_VALUE"""),"Dread")</f>
        <v>Dread</v>
      </c>
      <c r="C521" s="185">
        <f t="shared" si="1"/>
        <v>2</v>
      </c>
      <c r="D521" s="20" t="s">
        <v>3181</v>
      </c>
      <c r="E521" s="20">
        <v>1.0</v>
      </c>
    </row>
    <row r="522">
      <c r="A522" s="184" t="str">
        <f>IFERROR(__xludf.DUMMYFUNCTION("""COMPUTED_VALUE"""),"Pyretic")</f>
        <v>Pyretic</v>
      </c>
      <c r="B522" s="185" t="str">
        <f>IFERROR(__xludf.DUMMYFUNCTION("""COMPUTED_VALUE"""),"Cryptlord")</f>
        <v>Cryptlord</v>
      </c>
      <c r="C522" s="185">
        <f t="shared" si="1"/>
        <v>1</v>
      </c>
      <c r="D522" s="20" t="s">
        <v>3182</v>
      </c>
      <c r="E522" s="20">
        <v>1.0</v>
      </c>
    </row>
    <row r="523">
      <c r="A523" s="184" t="str">
        <f>IFERROR(__xludf.DUMMYFUNCTION("""COMPUTED_VALUE"""),"Pet")</f>
        <v>Pet</v>
      </c>
      <c r="B523" s="185" t="str">
        <f>IFERROR(__xludf.DUMMYFUNCTION("""COMPUTED_VALUE"""),"Nutrient")</f>
        <v>Nutrient</v>
      </c>
      <c r="C523" s="185">
        <f t="shared" si="1"/>
        <v>1</v>
      </c>
      <c r="D523" s="20" t="s">
        <v>3183</v>
      </c>
      <c r="E523" s="20">
        <v>1.0</v>
      </c>
    </row>
    <row r="524">
      <c r="A524" s="184"/>
      <c r="B524" s="185" t="str">
        <f>IFERROR(__xludf.DUMMYFUNCTION("""COMPUTED_VALUE"""),"Nexus")</f>
        <v>Nexus</v>
      </c>
      <c r="C524" s="185">
        <f t="shared" si="1"/>
        <v>2</v>
      </c>
      <c r="D524" s="20" t="s">
        <v>3184</v>
      </c>
      <c r="E524" s="20">
        <v>1.0</v>
      </c>
    </row>
    <row r="525">
      <c r="A525" s="184"/>
      <c r="B525" s="185" t="str">
        <f>IFERROR(__xludf.DUMMYFUNCTION("""COMPUTED_VALUE"""),"Fatepeek")</f>
        <v>Fatepeek</v>
      </c>
      <c r="C525" s="185">
        <f t="shared" si="1"/>
        <v>1</v>
      </c>
      <c r="D525" s="20" t="s">
        <v>3185</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3186</v>
      </c>
      <c r="E527" s="20">
        <v>1.0</v>
      </c>
    </row>
    <row r="528">
      <c r="A528" s="184" t="str">
        <f>IFERROR(__xludf.DUMMYFUNCTION("""COMPUTED_VALUE"""),"Sands")</f>
        <v>Sands</v>
      </c>
      <c r="B528" s="185" t="str">
        <f>IFERROR(__xludf.DUMMYFUNCTION("""COMPUTED_VALUE"""),"Plunderpillar")</f>
        <v>Plunderpillar</v>
      </c>
      <c r="C528" s="185">
        <f t="shared" si="1"/>
        <v>1</v>
      </c>
      <c r="D528" s="20" t="s">
        <v>3187</v>
      </c>
      <c r="E528" s="20">
        <v>1.0</v>
      </c>
    </row>
    <row r="529">
      <c r="A529" s="184"/>
      <c r="B529" s="185" t="str">
        <f>IFERROR(__xludf.DUMMYFUNCTION("""COMPUTED_VALUE"""),"Raptor")</f>
        <v>Raptor</v>
      </c>
      <c r="C529" s="185">
        <f t="shared" si="1"/>
        <v>1</v>
      </c>
      <c r="D529" s="20" t="s">
        <v>3188</v>
      </c>
      <c r="E529" s="20">
        <v>1.0</v>
      </c>
    </row>
    <row r="530">
      <c r="A530" s="184"/>
      <c r="B530" s="185" t="str">
        <f>IFERROR(__xludf.DUMMYFUNCTION("""COMPUTED_VALUE"""),"Pack")</f>
        <v>Pack</v>
      </c>
      <c r="C530" s="185">
        <f t="shared" si="1"/>
        <v>1</v>
      </c>
      <c r="D530" s="20" t="s">
        <v>3189</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3190</v>
      </c>
      <c r="E532" s="20">
        <v>1.0</v>
      </c>
    </row>
    <row r="533">
      <c r="A533" s="184" t="str">
        <f>IFERROR(__xludf.DUMMYFUNCTION("""COMPUTED_VALUE"""),"Spirit")</f>
        <v>Spirit</v>
      </c>
      <c r="B533" s="185" t="str">
        <f>IFERROR(__xludf.DUMMYFUNCTION("""COMPUTED_VALUE"""),"Gravebound")</f>
        <v>Gravebound</v>
      </c>
      <c r="C533" s="185">
        <f t="shared" si="1"/>
        <v>1</v>
      </c>
      <c r="D533" s="20" t="s">
        <v>3191</v>
      </c>
      <c r="E533" s="20">
        <v>1.0</v>
      </c>
    </row>
    <row r="534">
      <c r="A534" s="184"/>
      <c r="B534" s="185" t="str">
        <f>IFERROR(__xludf.DUMMYFUNCTION("""COMPUTED_VALUE"""),"Ghoul")</f>
        <v>Ghoul</v>
      </c>
      <c r="C534" s="185">
        <f t="shared" si="1"/>
        <v>1</v>
      </c>
      <c r="D534" s="20" t="s">
        <v>3192</v>
      </c>
      <c r="E534" s="20">
        <v>1.0</v>
      </c>
    </row>
    <row r="535">
      <c r="A535" s="184"/>
      <c r="B535" s="185" t="str">
        <f>IFERROR(__xludf.DUMMYFUNCTION("""COMPUTED_VALUE"""),"Graverobber")</f>
        <v>Graverobber</v>
      </c>
      <c r="C535" s="185">
        <f t="shared" si="1"/>
        <v>1</v>
      </c>
      <c r="D535" s="20" t="s">
        <v>3193</v>
      </c>
      <c r="E535" s="20">
        <v>1.0</v>
      </c>
    </row>
    <row r="536">
      <c r="A536" s="184"/>
      <c r="B536" s="185" t="str">
        <f>IFERROR(__xludf.DUMMYFUNCTION("""COMPUTED_VALUE"""),"Greedspawn")</f>
        <v>Greedspawn</v>
      </c>
      <c r="C536" s="185">
        <f t="shared" si="1"/>
        <v>1</v>
      </c>
      <c r="D536" s="20" t="s">
        <v>3194</v>
      </c>
      <c r="E536" s="20">
        <v>1.0</v>
      </c>
    </row>
    <row r="537">
      <c r="A537" s="184" t="str">
        <f>IFERROR(__xludf.DUMMYFUNCTION("""COMPUTED_VALUE"""),"Red")</f>
        <v>Red</v>
      </c>
      <c r="B537" s="185" t="str">
        <f>IFERROR(__xludf.DUMMYFUNCTION("""COMPUTED_VALUE"""),"Grim")</f>
        <v>Grim</v>
      </c>
      <c r="C537" s="185">
        <f t="shared" si="1"/>
        <v>1</v>
      </c>
      <c r="D537" s="20" t="s">
        <v>3195</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3196</v>
      </c>
      <c r="E539" s="20">
        <v>1.0</v>
      </c>
    </row>
    <row r="540">
      <c r="A540" s="184"/>
      <c r="B540" s="185" t="str">
        <f>IFERROR(__xludf.DUMMYFUNCTION("""COMPUTED_VALUE"""),"Shardtooth")</f>
        <v>Shardtooth</v>
      </c>
      <c r="C540" s="185">
        <f t="shared" si="1"/>
        <v>1</v>
      </c>
      <c r="D540" s="20" t="s">
        <v>3197</v>
      </c>
      <c r="E540" s="20">
        <v>1.0</v>
      </c>
    </row>
    <row r="541">
      <c r="A541" s="184"/>
      <c r="B541" s="185" t="str">
        <f>IFERROR(__xludf.DUMMYFUNCTION("""COMPUTED_VALUE"""),"Hungry")</f>
        <v>Hungry</v>
      </c>
      <c r="C541" s="185">
        <f t="shared" si="1"/>
        <v>1</v>
      </c>
      <c r="D541" s="20" t="s">
        <v>3198</v>
      </c>
      <c r="E541" s="20">
        <v>1.0</v>
      </c>
    </row>
    <row r="542">
      <c r="A542" s="184" t="str">
        <f>IFERROR(__xludf.DUMMYFUNCTION("""COMPUTED_VALUE"""),"Windkite")</f>
        <v>Windkite</v>
      </c>
      <c r="B542" s="185" t="str">
        <f>IFERROR(__xludf.DUMMYFUNCTION("""COMPUTED_VALUE"""),"Shambler")</f>
        <v>Shambler</v>
      </c>
      <c r="C542" s="185">
        <f t="shared" si="1"/>
        <v>1</v>
      </c>
      <c r="D542" s="20" t="s">
        <v>3199</v>
      </c>
      <c r="E542" s="20">
        <v>1.0</v>
      </c>
    </row>
    <row r="543">
      <c r="A543" s="184" t="str">
        <f>IFERROR(__xludf.DUMMYFUNCTION("""COMPUTED_VALUE"""),"Acolyte")</f>
        <v>Acolyte</v>
      </c>
      <c r="B543" s="185" t="str">
        <f>IFERROR(__xludf.DUMMYFUNCTION("""COMPUTED_VALUE"""),"Sunflower")</f>
        <v>Sunflower</v>
      </c>
      <c r="C543" s="185">
        <f t="shared" si="1"/>
        <v>1</v>
      </c>
      <c r="D543" s="20" t="s">
        <v>3200</v>
      </c>
      <c r="E543" s="20">
        <v>1.0</v>
      </c>
    </row>
    <row r="544">
      <c r="A544" s="184"/>
      <c r="B544" s="185" t="str">
        <f>IFERROR(__xludf.DUMMYFUNCTION("""COMPUTED_VALUE"""),"Tiger")</f>
        <v>Tiger</v>
      </c>
      <c r="C544" s="185">
        <f t="shared" si="1"/>
        <v>1</v>
      </c>
      <c r="D544" s="20" t="s">
        <v>3201</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3202</v>
      </c>
      <c r="E547" s="20">
        <v>1.0</v>
      </c>
    </row>
    <row r="548">
      <c r="A548" s="184" t="str">
        <f>IFERROR(__xludf.DUMMYFUNCTION("""COMPUTED_VALUE"""),"Moon")</f>
        <v>Moon</v>
      </c>
      <c r="B548" s="185" t="str">
        <f>IFERROR(__xludf.DUMMYFUNCTION("""COMPUTED_VALUE"""),"Shadows")</f>
        <v>Shadows</v>
      </c>
      <c r="C548" s="185">
        <f t="shared" si="1"/>
        <v>1</v>
      </c>
      <c r="D548" s="20" t="s">
        <v>3203</v>
      </c>
      <c r="E548" s="20">
        <v>1.0</v>
      </c>
    </row>
    <row r="549">
      <c r="A549" s="184" t="str">
        <f>IFERROR(__xludf.DUMMYFUNCTION("""COMPUTED_VALUE"""),"Scarab")</f>
        <v>Scarab</v>
      </c>
      <c r="B549" s="185" t="str">
        <f>IFERROR(__xludf.DUMMYFUNCTION("""COMPUTED_VALUE"""),"Venus")</f>
        <v>Venus</v>
      </c>
      <c r="C549" s="185">
        <f t="shared" si="1"/>
        <v>1</v>
      </c>
      <c r="D549" s="20" t="s">
        <v>3204</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3205</v>
      </c>
      <c r="E551" s="20">
        <v>1.0</v>
      </c>
    </row>
    <row r="552">
      <c r="A552" s="184" t="str">
        <f>IFERROR(__xludf.DUMMYFUNCTION("""COMPUTED_VALUE"""),"Sand")</f>
        <v>Sand</v>
      </c>
      <c r="B552" s="185" t="str">
        <f>IFERROR(__xludf.DUMMYFUNCTION("""COMPUTED_VALUE"""),"Gorgosaur")</f>
        <v>Gorgosaur</v>
      </c>
      <c r="C552" s="185">
        <f t="shared" si="1"/>
        <v>1</v>
      </c>
      <c r="D552" s="20" t="s">
        <v>3206</v>
      </c>
      <c r="E552" s="20">
        <v>1.0</v>
      </c>
    </row>
    <row r="553">
      <c r="A553" s="184" t="str">
        <f>IFERROR(__xludf.DUMMYFUNCTION("""COMPUTED_VALUE"""),"Witch")</f>
        <v>Witch</v>
      </c>
      <c r="B553" s="185" t="str">
        <f>IFERROR(__xludf.DUMMYFUNCTION("""COMPUTED_VALUE"""),"Bloodclaw")</f>
        <v>Bloodclaw</v>
      </c>
      <c r="C553" s="185">
        <f t="shared" si="1"/>
        <v>1</v>
      </c>
      <c r="D553" s="20" t="s">
        <v>3207</v>
      </c>
      <c r="E553" s="20">
        <v>1.0</v>
      </c>
    </row>
    <row r="554">
      <c r="A554" s="184"/>
      <c r="B554" s="185" t="str">
        <f>IFERROR(__xludf.DUMMYFUNCTION("""COMPUTED_VALUE"""),"Duke")</f>
        <v>Duke</v>
      </c>
      <c r="C554" s="185">
        <f t="shared" si="1"/>
        <v>1</v>
      </c>
      <c r="D554" s="20" t="s">
        <v>3208</v>
      </c>
      <c r="E554" s="20">
        <v>1.0</v>
      </c>
    </row>
    <row r="555">
      <c r="A555" s="184"/>
      <c r="B555" s="185" t="str">
        <f>IFERROR(__xludf.DUMMYFUNCTION("""COMPUTED_VALUE"""),"Grove")</f>
        <v>Grove</v>
      </c>
      <c r="C555" s="185">
        <f t="shared" si="1"/>
        <v>2</v>
      </c>
      <c r="D555" s="20" t="s">
        <v>3209</v>
      </c>
      <c r="E555" s="20">
        <v>1.0</v>
      </c>
    </row>
    <row r="556">
      <c r="A556" s="184"/>
      <c r="B556" s="185" t="str">
        <f>IFERROR(__xludf.DUMMYFUNCTION("""COMPUTED_VALUE"""),"Omenshadow")</f>
        <v>Omenshadow</v>
      </c>
      <c r="C556" s="185">
        <f t="shared" si="1"/>
        <v>1</v>
      </c>
      <c r="D556" s="20" t="s">
        <v>3210</v>
      </c>
      <c r="E556" s="20">
        <v>1.0</v>
      </c>
    </row>
    <row r="557">
      <c r="A557" s="184" t="str">
        <f>IFERROR(__xludf.DUMMYFUNCTION("""COMPUTED_VALUE"""),"Shardhorde")</f>
        <v>Shardhorde</v>
      </c>
      <c r="B557" s="185" t="str">
        <f>IFERROR(__xludf.DUMMYFUNCTION("""COMPUTED_VALUE"""),"Mantis")</f>
        <v>Mantis</v>
      </c>
      <c r="C557" s="185">
        <f t="shared" si="1"/>
        <v>1</v>
      </c>
      <c r="D557" s="20" t="s">
        <v>3211</v>
      </c>
      <c r="E557" s="20">
        <v>1.0</v>
      </c>
    </row>
    <row r="558">
      <c r="A558" s="184" t="str">
        <f>IFERROR(__xludf.DUMMYFUNCTION("""COMPUTED_VALUE"""),"Galewhelp")</f>
        <v>Galewhelp</v>
      </c>
      <c r="B558" s="185" t="str">
        <f>IFERROR(__xludf.DUMMYFUNCTION("""COMPUTED_VALUE"""),"Queen")</f>
        <v>Queen</v>
      </c>
      <c r="C558" s="185">
        <f t="shared" si="1"/>
        <v>2</v>
      </c>
      <c r="D558" s="20" t="s">
        <v>3212</v>
      </c>
      <c r="E558" s="20">
        <v>1.0</v>
      </c>
    </row>
    <row r="559">
      <c r="A559" s="184"/>
      <c r="B559" s="185" t="str">
        <f>IFERROR(__xludf.DUMMYFUNCTION("""COMPUTED_VALUE"""),"Purple")</f>
        <v>Purple</v>
      </c>
      <c r="C559" s="185">
        <f t="shared" si="1"/>
        <v>2</v>
      </c>
      <c r="D559" s="20" t="s">
        <v>3213</v>
      </c>
      <c r="E559" s="20">
        <v>1.0</v>
      </c>
    </row>
    <row r="560">
      <c r="A560" s="184"/>
      <c r="B560" s="185" t="str">
        <f>IFERROR(__xludf.DUMMYFUNCTION("""COMPUTED_VALUE"""),"Reborn")</f>
        <v>Reborn</v>
      </c>
      <c r="C560" s="185">
        <f t="shared" si="1"/>
        <v>1</v>
      </c>
      <c r="D560" s="20" t="s">
        <v>3214</v>
      </c>
      <c r="E560" s="20">
        <v>1.0</v>
      </c>
    </row>
    <row r="561">
      <c r="A561" s="184"/>
      <c r="B561" s="185" t="str">
        <f>IFERROR(__xludf.DUMMYFUNCTION("""COMPUTED_VALUE"""),"Stargazer")</f>
        <v>Stargazer</v>
      </c>
      <c r="C561" s="185">
        <f t="shared" si="1"/>
        <v>1</v>
      </c>
      <c r="D561" s="20" t="s">
        <v>3215</v>
      </c>
      <c r="E561" s="20">
        <v>1.0</v>
      </c>
    </row>
    <row r="562">
      <c r="A562" s="184" t="str">
        <f>IFERROR(__xludf.DUMMYFUNCTION("""COMPUTED_VALUE"""),"Amberlock")</f>
        <v>Amberlock</v>
      </c>
      <c r="B562" s="185" t="str">
        <f>IFERROR(__xludf.DUMMYFUNCTION("""COMPUTED_VALUE"""),"Relentless")</f>
        <v>Relentless</v>
      </c>
      <c r="C562" s="185">
        <f t="shared" si="1"/>
        <v>1</v>
      </c>
      <c r="D562" s="20" t="s">
        <v>3216</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3217</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3218</v>
      </c>
      <c r="E566" s="20">
        <v>1.0</v>
      </c>
    </row>
    <row r="567">
      <c r="A567" s="184" t="str">
        <f>IFERROR(__xludf.DUMMYFUNCTION("""COMPUTED_VALUE"""),"Dragonfire")</f>
        <v>Dragonfire</v>
      </c>
      <c r="B567" s="185" t="str">
        <f>IFERROR(__xludf.DUMMYFUNCTION("""COMPUTED_VALUE"""),"Saurus")</f>
        <v>Saurus</v>
      </c>
      <c r="C567" s="185">
        <f t="shared" si="1"/>
        <v>1</v>
      </c>
      <c r="D567" s="20" t="s">
        <v>3219</v>
      </c>
      <c r="E567" s="20">
        <v>1.0</v>
      </c>
    </row>
    <row r="568">
      <c r="A568" s="184" t="str">
        <f>IFERROR(__xludf.DUMMYFUNCTION("""COMPUTED_VALUE"""),"Warlock")</f>
        <v>Warlock</v>
      </c>
      <c r="B568" s="185" t="str">
        <f>IFERROR(__xludf.DUMMYFUNCTION("""COMPUTED_VALUE"""),"Sandsilk")</f>
        <v>Sandsilk</v>
      </c>
      <c r="C568" s="185">
        <f t="shared" si="1"/>
        <v>1</v>
      </c>
      <c r="D568" s="20" t="s">
        <v>3220</v>
      </c>
      <c r="E568" s="20">
        <v>1.0</v>
      </c>
    </row>
    <row r="569">
      <c r="A569" s="184"/>
      <c r="B569" s="185" t="str">
        <f>IFERROR(__xludf.DUMMYFUNCTION("""COMPUTED_VALUE"""),"Fox")</f>
        <v>Fox</v>
      </c>
      <c r="C569" s="185">
        <f t="shared" si="1"/>
        <v>1</v>
      </c>
      <c r="D569" s="20" t="s">
        <v>3221</v>
      </c>
      <c r="E569" s="20">
        <v>1.0</v>
      </c>
    </row>
    <row r="570">
      <c r="A570" s="184"/>
      <c r="B570" s="185" t="str">
        <f>IFERROR(__xludf.DUMMYFUNCTION("""COMPUTED_VALUE"""),"Living")</f>
        <v>Living</v>
      </c>
      <c r="C570" s="185">
        <f t="shared" si="1"/>
        <v>1</v>
      </c>
      <c r="D570" s="20" t="s">
        <v>3222</v>
      </c>
      <c r="E570" s="20">
        <v>1.0</v>
      </c>
    </row>
    <row r="571">
      <c r="A571" s="184"/>
      <c r="B571" s="185" t="str">
        <f>IFERROR(__xludf.DUMMYFUNCTION("""COMPUTED_VALUE"""),"Thicket")</f>
        <v>Thicket</v>
      </c>
      <c r="C571" s="185">
        <f t="shared" si="1"/>
        <v>1</v>
      </c>
      <c r="D571" s="20" t="s">
        <v>3223</v>
      </c>
      <c r="E571" s="20">
        <v>1.0</v>
      </c>
    </row>
    <row r="572">
      <c r="A572" s="184" t="str">
        <f>IFERROR(__xludf.DUMMYFUNCTION("""COMPUTED_VALUE"""),"Dragonwind")</f>
        <v>Dragonwind</v>
      </c>
      <c r="B572" s="185" t="str">
        <f>IFERROR(__xludf.DUMMYFUNCTION("""COMPUTED_VALUE"""),"Shrouded")</f>
        <v>Shrouded</v>
      </c>
      <c r="C572" s="185">
        <f t="shared" si="1"/>
        <v>1</v>
      </c>
      <c r="D572" s="20" t="s">
        <v>3224</v>
      </c>
      <c r="E572" s="20">
        <v>1.0</v>
      </c>
    </row>
    <row r="573">
      <c r="A573" s="184" t="str">
        <f>IFERROR(__xludf.DUMMYFUNCTION("""COMPUTED_VALUE"""),"Harbinger")</f>
        <v>Harbinger</v>
      </c>
      <c r="B573" s="185" t="str">
        <f>IFERROR(__xludf.DUMMYFUNCTION("""COMPUTED_VALUE"""),"Advocate")</f>
        <v>Advocate</v>
      </c>
      <c r="C573" s="185">
        <f t="shared" si="1"/>
        <v>1</v>
      </c>
      <c r="D573" s="20" t="s">
        <v>3225</v>
      </c>
      <c r="E573" s="20">
        <v>1.0</v>
      </c>
    </row>
    <row r="574">
      <c r="A574" s="184"/>
      <c r="B574" s="185" t="str">
        <f>IFERROR(__xludf.DUMMYFUNCTION("""COMPUTED_VALUE"""),"Fiend")</f>
        <v>Fiend</v>
      </c>
      <c r="C574" s="185">
        <f t="shared" si="1"/>
        <v>1</v>
      </c>
      <c r="D574" s="20" t="s">
        <v>3226</v>
      </c>
      <c r="E574" s="20">
        <v>1.0</v>
      </c>
    </row>
    <row r="575">
      <c r="A575" s="184"/>
      <c r="B575" s="185" t="str">
        <f>IFERROR(__xludf.DUMMYFUNCTION("""COMPUTED_VALUE"""),"Invigorating")</f>
        <v>Invigorating</v>
      </c>
      <c r="C575" s="185">
        <f t="shared" si="1"/>
        <v>1</v>
      </c>
      <c r="D575" s="20" t="s">
        <v>3227</v>
      </c>
      <c r="E575" s="20">
        <v>1.0</v>
      </c>
    </row>
    <row r="576">
      <c r="A576" s="184"/>
      <c r="B576" s="185" t="str">
        <f>IFERROR(__xludf.DUMMYFUNCTION("""COMPUTED_VALUE"""),"Lotus")</f>
        <v>Lotus</v>
      </c>
      <c r="C576" s="185">
        <f t="shared" si="1"/>
        <v>1</v>
      </c>
      <c r="D576" s="20" t="s">
        <v>3228</v>
      </c>
      <c r="E576" s="20">
        <v>1.0</v>
      </c>
    </row>
    <row r="577">
      <c r="A577" s="184" t="str">
        <f>IFERROR(__xludf.DUMMYFUNCTION("""COMPUTED_VALUE"""),"Sparkwielder")</f>
        <v>Sparkwielder</v>
      </c>
      <c r="B577" s="185" t="str">
        <f>IFERROR(__xludf.DUMMYFUNCTION("""COMPUTED_VALUE"""),"Bloom")</f>
        <v>Bloom</v>
      </c>
      <c r="C577" s="185">
        <f t="shared" si="1"/>
        <v>1</v>
      </c>
      <c r="D577" s="20" t="s">
        <v>3229</v>
      </c>
      <c r="E577" s="20">
        <v>1.0</v>
      </c>
    </row>
    <row r="578">
      <c r="A578" s="184"/>
      <c r="B578" s="185" t="str">
        <f>IFERROR(__xludf.DUMMYFUNCTION("""COMPUTED_VALUE"""),"Photosynthaurus")</f>
        <v>Photosynthaurus</v>
      </c>
      <c r="C578" s="185">
        <f t="shared" si="1"/>
        <v>1</v>
      </c>
      <c r="D578" s="20" t="s">
        <v>3230</v>
      </c>
      <c r="E578" s="20">
        <v>1.0</v>
      </c>
    </row>
    <row r="579">
      <c r="A579" s="184"/>
      <c r="B579" s="185" t="str">
        <f>IFERROR(__xludf.DUMMYFUNCTION("""COMPUTED_VALUE"""),"Southern")</f>
        <v>Southern</v>
      </c>
      <c r="C579" s="185">
        <f t="shared" si="1"/>
        <v>1</v>
      </c>
      <c r="D579" s="20" t="s">
        <v>3231</v>
      </c>
      <c r="E579" s="20">
        <v>1.0</v>
      </c>
    </row>
    <row r="580">
      <c r="A580" s="184"/>
      <c r="B580" s="185" t="str">
        <f>IFERROR(__xludf.DUMMYFUNCTION("""COMPUTED_VALUE"""),"Reach")</f>
        <v>Reach</v>
      </c>
      <c r="C580" s="185">
        <f t="shared" si="1"/>
        <v>1</v>
      </c>
      <c r="D580" s="20" t="s">
        <v>3232</v>
      </c>
      <c r="E580" s="20">
        <v>1.0</v>
      </c>
    </row>
    <row r="581">
      <c r="A581" s="184"/>
      <c r="B581" s="185" t="str">
        <f>IFERROR(__xludf.DUMMYFUNCTION("""COMPUTED_VALUE"""),"Bulwark")</f>
        <v>Bulwark</v>
      </c>
      <c r="C581" s="185">
        <f t="shared" si="1"/>
        <v>1</v>
      </c>
      <c r="D581" s="20" t="s">
        <v>3233</v>
      </c>
      <c r="E581" s="20">
        <v>1.0</v>
      </c>
    </row>
    <row r="582">
      <c r="A582" s="184" t="str">
        <f>IFERROR(__xludf.DUMMYFUNCTION("""COMPUTED_VALUE"""),"Gashopper")</f>
        <v>Gashopper</v>
      </c>
      <c r="B582" s="185" t="str">
        <f>IFERROR(__xludf.DUMMYFUNCTION("""COMPUTED_VALUE"""),"Thoughtfeaster")</f>
        <v>Thoughtfeaster</v>
      </c>
      <c r="C582" s="185">
        <f t="shared" si="1"/>
        <v>1</v>
      </c>
      <c r="D582" s="20" t="s">
        <v>3234</v>
      </c>
      <c r="E582" s="20">
        <v>1.0</v>
      </c>
    </row>
    <row r="583">
      <c r="A583" s="184"/>
      <c r="B583" s="185" t="str">
        <f>IFERROR(__xludf.DUMMYFUNCTION("""COMPUTED_VALUE"""),"Tombstone")</f>
        <v>Tombstone</v>
      </c>
      <c r="C583" s="185">
        <f t="shared" si="1"/>
        <v>1</v>
      </c>
      <c r="D583" s="20" t="s">
        <v>3235</v>
      </c>
      <c r="E583" s="20">
        <v>1.0</v>
      </c>
    </row>
    <row r="584">
      <c r="A584" s="184"/>
      <c r="B584" s="185" t="str">
        <f>IFERROR(__xludf.DUMMYFUNCTION("""COMPUTED_VALUE"""),"Umbral")</f>
        <v>Umbral</v>
      </c>
      <c r="C584" s="185">
        <f t="shared" si="1"/>
        <v>1</v>
      </c>
      <c r="D584" s="20" t="s">
        <v>3236</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3237</v>
      </c>
      <c r="E586" s="20">
        <v>1.0</v>
      </c>
    </row>
    <row r="587">
      <c r="A587" s="184" t="str">
        <f>IFERROR(__xludf.DUMMYFUNCTION("""COMPUTED_VALUE"""),"Hailbringer")</f>
        <v>Hailbringer</v>
      </c>
      <c r="B587" s="185" t="str">
        <f>IFERROR(__xludf.DUMMYFUNCTION("""COMPUTED_VALUE"""),"Rootstrosity")</f>
        <v>Rootstrosity</v>
      </c>
      <c r="C587" s="185">
        <f t="shared" si="1"/>
        <v>1</v>
      </c>
      <c r="D587" s="20" t="s">
        <v>3238</v>
      </c>
      <c r="E587" s="20">
        <v>1.0</v>
      </c>
    </row>
    <row r="588">
      <c r="A588" s="184"/>
      <c r="B588" s="185" t="str">
        <f>IFERROR(__xludf.DUMMYFUNCTION("""COMPUTED_VALUE"""),"Voodoo")</f>
        <v>Voodoo</v>
      </c>
      <c r="C588" s="185">
        <f t="shared" si="1"/>
        <v>1</v>
      </c>
      <c r="D588" s="20" t="s">
        <v>3239</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3240</v>
      </c>
      <c r="E590" s="20">
        <v>1.0</v>
      </c>
    </row>
    <row r="591">
      <c r="A591" s="184"/>
      <c r="B591" s="185" t="str">
        <f>IFERROR(__xludf.DUMMYFUNCTION("""COMPUTED_VALUE"""),"Tome")</f>
        <v>Tome</v>
      </c>
      <c r="C591" s="185">
        <f t="shared" si="1"/>
        <v>1</v>
      </c>
      <c r="D591" s="20" t="s">
        <v>3241</v>
      </c>
      <c r="E591" s="20">
        <v>1.0</v>
      </c>
    </row>
    <row r="592">
      <c r="A592" s="184" t="str">
        <f>IFERROR(__xludf.DUMMYFUNCTION("""COMPUTED_VALUE"""),"Stormlash")</f>
        <v>Stormlash</v>
      </c>
      <c r="B592" s="185" t="str">
        <f>IFERROR(__xludf.DUMMYFUNCTION("""COMPUTED_VALUE"""),"Choking")</f>
        <v>Choking</v>
      </c>
      <c r="C592" s="185">
        <f t="shared" si="1"/>
        <v>1</v>
      </c>
      <c r="D592" s="20" t="s">
        <v>3242</v>
      </c>
      <c r="E592" s="20">
        <v>1.0</v>
      </c>
    </row>
    <row r="593">
      <c r="A593" s="184"/>
      <c r="B593" s="185" t="str">
        <f>IFERROR(__xludf.DUMMYFUNCTION("""COMPUTED_VALUE"""),"Vines")</f>
        <v>Vines</v>
      </c>
      <c r="C593" s="185">
        <f t="shared" si="1"/>
        <v>1</v>
      </c>
      <c r="D593" s="20" t="s">
        <v>3243</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3244</v>
      </c>
      <c r="E595" s="20">
        <v>1.0</v>
      </c>
    </row>
    <row r="596">
      <c r="A596" s="184"/>
      <c r="B596" s="185" t="str">
        <f>IFERROR(__xludf.DUMMYFUNCTION("""COMPUTED_VALUE"""),"Wastelands")</f>
        <v>Wastelands</v>
      </c>
      <c r="C596" s="185">
        <f t="shared" si="1"/>
        <v>2</v>
      </c>
      <c r="D596" s="20" t="s">
        <v>3245</v>
      </c>
      <c r="E596" s="20">
        <v>1.0</v>
      </c>
    </row>
    <row r="597">
      <c r="A597" s="184" t="str">
        <f>IFERROR(__xludf.DUMMYFUNCTION("""COMPUTED_VALUE"""),"Stormworn")</f>
        <v>Stormworn</v>
      </c>
      <c r="B597" s="185" t="str">
        <f>IFERROR(__xludf.DUMMYFUNCTION("""COMPUTED_VALUE"""),"Crystalbane")</f>
        <v>Crystalbane</v>
      </c>
      <c r="C597" s="185">
        <f t="shared" si="1"/>
        <v>1</v>
      </c>
      <c r="D597" s="20" t="s">
        <v>3246</v>
      </c>
      <c r="E597" s="20">
        <v>1.0</v>
      </c>
    </row>
    <row r="598">
      <c r="A598" s="184" t="str">
        <f>IFERROR(__xludf.DUMMYFUNCTION("""COMPUTED_VALUE"""),"Horn")</f>
        <v>Horn</v>
      </c>
      <c r="B598" s="185" t="str">
        <f>IFERROR(__xludf.DUMMYFUNCTION("""COMPUTED_VALUE"""),"Glutton")</f>
        <v>Glutton</v>
      </c>
      <c r="C598" s="185">
        <f t="shared" si="1"/>
        <v>1</v>
      </c>
      <c r="D598" s="20" t="s">
        <v>3247</v>
      </c>
      <c r="E598" s="20">
        <v>1.0</v>
      </c>
    </row>
    <row r="599">
      <c r="A599" s="184"/>
      <c r="B599" s="185" t="str">
        <f>IFERROR(__xludf.DUMMYFUNCTION("""COMPUTED_VALUE"""),"Crystalline")</f>
        <v>Crystalline</v>
      </c>
      <c r="C599" s="185">
        <f t="shared" si="1"/>
        <v>1</v>
      </c>
      <c r="D599" s="20" t="s">
        <v>3248</v>
      </c>
      <c r="E599" s="20">
        <v>1.0</v>
      </c>
    </row>
    <row r="600">
      <c r="A600" s="184"/>
      <c r="B600" s="185" t="str">
        <f>IFERROR(__xludf.DUMMYFUNCTION("""COMPUTED_VALUE"""),"Parasite")</f>
        <v>Parasite</v>
      </c>
      <c r="C600" s="185">
        <f t="shared" si="1"/>
        <v>1</v>
      </c>
      <c r="D600" s="20" t="s">
        <v>3249</v>
      </c>
      <c r="E600" s="20">
        <v>1.0</v>
      </c>
    </row>
    <row r="601">
      <c r="A601" s="184"/>
      <c r="B601" s="185" t="str">
        <f>IFERROR(__xludf.DUMMYFUNCTION("""COMPUTED_VALUE"""),"Fortune's")</f>
        <v>Fortune's</v>
      </c>
      <c r="C601" s="185">
        <f t="shared" si="1"/>
        <v>1</v>
      </c>
      <c r="D601" s="20" t="s">
        <v>3250</v>
      </c>
      <c r="E601" s="20">
        <v>1.0</v>
      </c>
    </row>
    <row r="602">
      <c r="A602" s="184" t="str">
        <f>IFERROR(__xludf.DUMMYFUNCTION("""COMPUTED_VALUE"""),"Glinteye")</f>
        <v>Glinteye</v>
      </c>
      <c r="B602" s="185" t="str">
        <f>IFERROR(__xludf.DUMMYFUNCTION("""COMPUTED_VALUE"""),"Favorite")</f>
        <v>Favorite</v>
      </c>
      <c r="C602" s="185">
        <f t="shared" si="1"/>
        <v>1</v>
      </c>
      <c r="D602" s="20" t="s">
        <v>3251</v>
      </c>
      <c r="E602" s="20">
        <v>1.0</v>
      </c>
    </row>
    <row r="603">
      <c r="A603" s="184" t="str">
        <f>IFERROR(__xludf.DUMMYFUNCTION("""COMPUTED_VALUE"""),"Hoarder")</f>
        <v>Hoarder</v>
      </c>
      <c r="B603" s="185" t="str">
        <f>IFERROR(__xludf.DUMMYFUNCTION("""COMPUTED_VALUE"""),"Gigantic")</f>
        <v>Gigantic</v>
      </c>
      <c r="C603" s="185">
        <f t="shared" si="1"/>
        <v>1</v>
      </c>
      <c r="D603" s="20" t="s">
        <v>3252</v>
      </c>
      <c r="E603" s="20">
        <v>1.0</v>
      </c>
    </row>
    <row r="604">
      <c r="A604" s="184"/>
      <c r="B604" s="185" t="str">
        <f>IFERROR(__xludf.DUMMYFUNCTION("""COMPUTED_VALUE"""),"Terrormaw")</f>
        <v>Terrormaw</v>
      </c>
      <c r="C604" s="185">
        <f t="shared" si="1"/>
        <v>1</v>
      </c>
      <c r="D604" s="20" t="s">
        <v>3253</v>
      </c>
      <c r="E604" s="20">
        <v>1.0</v>
      </c>
    </row>
    <row r="605">
      <c r="A605" s="184"/>
      <c r="B605" s="185" t="str">
        <f>IFERROR(__xludf.DUMMYFUNCTION("""COMPUTED_VALUE"""),"Null")</f>
        <v>Null</v>
      </c>
      <c r="C605" s="185">
        <f t="shared" si="1"/>
        <v>1</v>
      </c>
      <c r="D605" s="20" t="s">
        <v>3254</v>
      </c>
      <c r="E605" s="20">
        <v>1.0</v>
      </c>
    </row>
    <row r="606">
      <c r="A606" s="184"/>
      <c r="B606" s="185" t="str">
        <f>IFERROR(__xludf.DUMMYFUNCTION("""COMPUTED_VALUE"""),"Ghost")</f>
        <v>Ghost</v>
      </c>
      <c r="C606" s="185">
        <f t="shared" si="1"/>
        <v>1</v>
      </c>
      <c r="D606" s="20" t="s">
        <v>3255</v>
      </c>
      <c r="E606" s="20">
        <v>1.0</v>
      </c>
    </row>
    <row r="607">
      <c r="A607" s="184" t="str">
        <f>IFERROR(__xludf.DUMMYFUNCTION("""COMPUTED_VALUE"""),"The")</f>
        <v>The</v>
      </c>
      <c r="B607" s="185" t="str">
        <f>IFERROR(__xludf.DUMMYFUNCTION("""COMPUTED_VALUE"""),"Bear")</f>
        <v>Bear</v>
      </c>
      <c r="C607" s="185">
        <f t="shared" si="1"/>
        <v>1</v>
      </c>
      <c r="D607" s="20" t="s">
        <v>3256</v>
      </c>
      <c r="E607" s="20">
        <v>1.0</v>
      </c>
    </row>
    <row r="608">
      <c r="A608" s="184" t="str">
        <f>IFERROR(__xludf.DUMMYFUNCTION("""COMPUTED_VALUE"""),"Culling")</f>
        <v>Culling</v>
      </c>
      <c r="B608" s="185" t="str">
        <f>IFERROR(__xludf.DUMMYFUNCTION("""COMPUTED_VALUE"""),"Cub")</f>
        <v>Cub</v>
      </c>
      <c r="C608" s="185">
        <f t="shared" si="1"/>
        <v>1</v>
      </c>
      <c r="D608" s="20" t="s">
        <v>3257</v>
      </c>
      <c r="E608" s="20">
        <v>1.0</v>
      </c>
    </row>
    <row r="609">
      <c r="A609" s="184" t="str">
        <f>IFERROR(__xludf.DUMMYFUNCTION("""COMPUTED_VALUE"""),"Claw")</f>
        <v>Claw</v>
      </c>
      <c r="B609" s="185" t="str">
        <f>IFERROR(__xludf.DUMMYFUNCTION("""COMPUTED_VALUE"""),"Necroconut")</f>
        <v>Necroconut</v>
      </c>
      <c r="C609" s="185">
        <f t="shared" si="1"/>
        <v>1</v>
      </c>
      <c r="D609" s="20" t="s">
        <v>3258</v>
      </c>
      <c r="E609" s="20">
        <v>1.0</v>
      </c>
    </row>
    <row r="610">
      <c r="A610" s="184"/>
      <c r="B610" s="185" t="str">
        <f>IFERROR(__xludf.DUMMYFUNCTION("""COMPUTED_VALUE"""),"Crab")</f>
        <v>Crab</v>
      </c>
      <c r="C610" s="185">
        <f t="shared" si="1"/>
        <v>1</v>
      </c>
      <c r="D610" s="20" t="s">
        <v>3259</v>
      </c>
      <c r="E610" s="20">
        <v>1.0</v>
      </c>
    </row>
    <row r="611">
      <c r="A611" s="184"/>
      <c r="B611" s="185" t="str">
        <f>IFERROR(__xludf.DUMMYFUNCTION("""COMPUTED_VALUE"""),"Rotting")</f>
        <v>Rotting</v>
      </c>
      <c r="C611" s="185">
        <f t="shared" si="1"/>
        <v>1</v>
      </c>
      <c r="D611" s="20" t="s">
        <v>3260</v>
      </c>
      <c r="E611" s="20">
        <v>1.0</v>
      </c>
    </row>
    <row r="612">
      <c r="A612" s="184" t="str">
        <f>IFERROR(__xludf.DUMMYFUNCTION("""COMPUTED_VALUE"""),"Thunderfox")</f>
        <v>Thunderfox</v>
      </c>
      <c r="B612" s="185" t="str">
        <f>IFERROR(__xludf.DUMMYFUNCTION("""COMPUTED_VALUE"""),"Alicorn")</f>
        <v>Alicorn</v>
      </c>
      <c r="C612" s="185">
        <f t="shared" si="1"/>
        <v>1</v>
      </c>
      <c r="D612" s="20" t="s">
        <v>3261</v>
      </c>
      <c r="E612" s="20">
        <v>1.0</v>
      </c>
    </row>
    <row r="613">
      <c r="A613" s="184"/>
      <c r="B613" s="185" t="str">
        <f>IFERROR(__xludf.DUMMYFUNCTION("""COMPUTED_VALUE"""),"Initiate")</f>
        <v>Initiate</v>
      </c>
      <c r="C613" s="185">
        <f t="shared" si="1"/>
        <v>1</v>
      </c>
      <c r="D613" s="20" t="s">
        <v>3262</v>
      </c>
      <c r="E613" s="20">
        <v>1.0</v>
      </c>
    </row>
    <row r="614">
      <c r="A614" s="184"/>
      <c r="B614" s="185" t="str">
        <f>IFERROR(__xludf.DUMMYFUNCTION("""COMPUTED_VALUE"""),"Cryptroach")</f>
        <v>Cryptroach</v>
      </c>
      <c r="C614" s="185">
        <f t="shared" si="1"/>
        <v>1</v>
      </c>
      <c r="D614" s="20" t="s">
        <v>3263</v>
      </c>
      <c r="E614" s="20">
        <v>1.0</v>
      </c>
    </row>
    <row r="615">
      <c r="A615" s="184"/>
      <c r="B615" s="185" t="str">
        <f>IFERROR(__xludf.DUMMYFUNCTION("""COMPUTED_VALUE"""),"Abyssal")</f>
        <v>Abyssal</v>
      </c>
      <c r="C615" s="185">
        <f t="shared" si="1"/>
        <v>1</v>
      </c>
      <c r="D615" s="20" t="s">
        <v>3264</v>
      </c>
      <c r="E615" s="20">
        <v>1.0</v>
      </c>
    </row>
    <row r="616">
      <c r="A616" s="184"/>
      <c r="B616" s="185" t="str">
        <f>IFERROR(__xludf.DUMMYFUNCTION("""COMPUTED_VALUE"""),"Silencer")</f>
        <v>Silencer</v>
      </c>
      <c r="C616" s="185">
        <f t="shared" si="1"/>
        <v>1</v>
      </c>
      <c r="D616" s="20" t="s">
        <v>3265</v>
      </c>
      <c r="E616" s="20">
        <v>1.0</v>
      </c>
    </row>
    <row r="617">
      <c r="A617" s="184" t="str">
        <f>IFERROR(__xludf.DUMMYFUNCTION("""COMPUTED_VALUE"""),"Raijin's")</f>
        <v>Raijin's</v>
      </c>
      <c r="B617" s="185" t="str">
        <f>IFERROR(__xludf.DUMMYFUNCTION("""COMPUTED_VALUE"""),"Blightcoven")</f>
        <v>Blightcoven</v>
      </c>
      <c r="C617" s="185">
        <f t="shared" si="1"/>
        <v>1</v>
      </c>
      <c r="D617" s="20" t="s">
        <v>3266</v>
      </c>
      <c r="E617" s="20">
        <v>1.0</v>
      </c>
    </row>
    <row r="618">
      <c r="A618" s="184" t="str">
        <f>IFERROR(__xludf.DUMMYFUNCTION("""COMPUTED_VALUE"""),"Familiar")</f>
        <v>Familiar</v>
      </c>
      <c r="B618" s="185" t="str">
        <f>IFERROR(__xludf.DUMMYFUNCTION("""COMPUTED_VALUE"""),"Puppeteer")</f>
        <v>Puppeteer</v>
      </c>
      <c r="C618" s="185">
        <f t="shared" si="1"/>
        <v>1</v>
      </c>
      <c r="D618" s="20" t="s">
        <v>3267</v>
      </c>
      <c r="E618" s="20">
        <v>1.0</v>
      </c>
    </row>
    <row r="619">
      <c r="A619" s="184"/>
      <c r="B619" s="185" t="str">
        <f>IFERROR(__xludf.DUMMYFUNCTION("""COMPUTED_VALUE"""),"Ambassador")</f>
        <v>Ambassador</v>
      </c>
      <c r="C619" s="185">
        <f t="shared" si="1"/>
        <v>1</v>
      </c>
      <c r="D619" s="20" t="s">
        <v>3268</v>
      </c>
      <c r="E619" s="20">
        <v>1.0</v>
      </c>
    </row>
    <row r="620">
      <c r="A620" s="184"/>
      <c r="B620" s="185" t="str">
        <f>IFERROR(__xludf.DUMMYFUNCTION("""COMPUTED_VALUE"""),"Emissary")</f>
        <v>Emissary</v>
      </c>
      <c r="C620" s="185">
        <f t="shared" si="1"/>
        <v>1</v>
      </c>
      <c r="D620" s="20" t="s">
        <v>2277</v>
      </c>
      <c r="E620" s="20">
        <v>1.0</v>
      </c>
    </row>
    <row r="621">
      <c r="A621" s="184"/>
      <c r="B621" s="185" t="str">
        <f>IFERROR(__xludf.DUMMYFUNCTION("""COMPUTED_VALUE"""),"Darkness")</f>
        <v>Darkness</v>
      </c>
      <c r="C621" s="185">
        <f t="shared" si="1"/>
        <v>1</v>
      </c>
      <c r="D621" s="20" t="s">
        <v>3269</v>
      </c>
      <c r="E621" s="20">
        <v>1.0</v>
      </c>
    </row>
    <row r="622">
      <c r="A622" s="184" t="str">
        <f>IFERROR(__xludf.DUMMYFUNCTION("""COMPUTED_VALUE"""),"Twin")</f>
        <v>Twin</v>
      </c>
      <c r="B622" s="185" t="str">
        <f>IFERROR(__xludf.DUMMYFUNCTION("""COMPUTED_VALUE"""),"Chronicler")</f>
        <v>Chronicler</v>
      </c>
      <c r="C622" s="185">
        <f t="shared" si="1"/>
        <v>1</v>
      </c>
      <c r="D622" s="20" t="s">
        <v>3270</v>
      </c>
      <c r="E622" s="20">
        <v>1.0</v>
      </c>
    </row>
    <row r="623">
      <c r="A623" s="184" t="str">
        <f>IFERROR(__xludf.DUMMYFUNCTION("""COMPUTED_VALUE"""),"Thundertail")</f>
        <v>Thundertail</v>
      </c>
      <c r="B623" s="185" t="str">
        <f>IFERROR(__xludf.DUMMYFUNCTION("""COMPUTED_VALUE"""),"Serenader")</f>
        <v>Serenader</v>
      </c>
      <c r="C623" s="185">
        <f t="shared" si="1"/>
        <v>1</v>
      </c>
      <c r="D623" s="20" t="s">
        <v>3271</v>
      </c>
      <c r="E623" s="20">
        <v>1.0</v>
      </c>
    </row>
    <row r="624">
      <c r="A624" s="184"/>
      <c r="B624" s="185" t="str">
        <f>IFERROR(__xludf.DUMMYFUNCTION("""COMPUTED_VALUE"""),"Foul")</f>
        <v>Foul</v>
      </c>
      <c r="C624" s="185">
        <f t="shared" si="1"/>
        <v>1</v>
      </c>
      <c r="D624" s="20" t="s">
        <v>3272</v>
      </c>
      <c r="E624" s="20">
        <v>1.0</v>
      </c>
    </row>
    <row r="625">
      <c r="A625" s="184"/>
      <c r="B625" s="185" t="str">
        <f>IFERROR(__xludf.DUMMYFUNCTION("""COMPUTED_VALUE"""),"Corruptor")</f>
        <v>Corruptor</v>
      </c>
      <c r="C625" s="185">
        <f t="shared" si="1"/>
        <v>1</v>
      </c>
      <c r="D625" s="20" t="s">
        <v>3273</v>
      </c>
      <c r="E625" s="20">
        <v>1.0</v>
      </c>
    </row>
    <row r="626">
      <c r="A626" s="184"/>
      <c r="B626" s="185" t="str">
        <f>IFERROR(__xludf.DUMMYFUNCTION("""COMPUTED_VALUE"""),"Ghoulflesh")</f>
        <v>Ghoulflesh</v>
      </c>
      <c r="C626" s="185">
        <f t="shared" si="1"/>
        <v>1</v>
      </c>
      <c r="D626" s="20" t="s">
        <v>3274</v>
      </c>
      <c r="E626" s="20">
        <v>1.0</v>
      </c>
    </row>
    <row r="627">
      <c r="A627" s="184" t="str">
        <f>IFERROR(__xludf.DUMMYFUNCTION("""COMPUTED_VALUE"""),"Vengeful")</f>
        <v>Vengeful</v>
      </c>
      <c r="B627" s="185" t="str">
        <f>IFERROR(__xludf.DUMMYFUNCTION("""COMPUTED_VALUE"""),"Devourer")</f>
        <v>Devourer</v>
      </c>
      <c r="C627" s="185">
        <f t="shared" si="1"/>
        <v>1</v>
      </c>
      <c r="D627" s="20" t="s">
        <v>3275</v>
      </c>
      <c r="E627" s="20">
        <v>1.0</v>
      </c>
    </row>
    <row r="628">
      <c r="A628" s="184" t="str">
        <f>IFERROR(__xludf.DUMMYFUNCTION("""COMPUTED_VALUE"""),"Gust")</f>
        <v>Gust</v>
      </c>
      <c r="B628" s="185" t="str">
        <f>IFERROR(__xludf.DUMMYFUNCTION("""COMPUTED_VALUE"""),"Grinning")</f>
        <v>Grinning</v>
      </c>
      <c r="C628" s="185">
        <f t="shared" si="1"/>
        <v>1</v>
      </c>
      <c r="D628" s="20" t="s">
        <v>3276</v>
      </c>
      <c r="E628" s="20">
        <v>1.0</v>
      </c>
    </row>
    <row r="629">
      <c r="A629" s="184"/>
      <c r="B629" s="185" t="str">
        <f>IFERROR(__xludf.DUMMYFUNCTION("""COMPUTED_VALUE"""),"Amphora")</f>
        <v>Amphora</v>
      </c>
      <c r="C629" s="185">
        <f t="shared" si="1"/>
        <v>1</v>
      </c>
      <c r="D629" s="20" t="s">
        <v>3277</v>
      </c>
      <c r="E629" s="20">
        <v>1.0</v>
      </c>
    </row>
    <row r="630">
      <c r="A630" s="184"/>
      <c r="B630" s="185" t="str">
        <f>IFERROR(__xludf.DUMMYFUNCTION("""COMPUTED_VALUE"""),"Intrusive")</f>
        <v>Intrusive</v>
      </c>
      <c r="C630" s="185">
        <f t="shared" si="1"/>
        <v>1</v>
      </c>
      <c r="D630" s="20" t="s">
        <v>3278</v>
      </c>
      <c r="E630" s="20">
        <v>1.0</v>
      </c>
    </row>
    <row r="631">
      <c r="A631" s="184"/>
      <c r="B631" s="185" t="str">
        <f>IFERROR(__xludf.DUMMYFUNCTION("""COMPUTED_VALUE"""),"Advisor")</f>
        <v>Advisor</v>
      </c>
      <c r="C631" s="185">
        <f t="shared" si="1"/>
        <v>1</v>
      </c>
      <c r="D631" s="20" t="s">
        <v>3279</v>
      </c>
      <c r="E631" s="20">
        <v>1.0</v>
      </c>
    </row>
    <row r="632">
      <c r="A632" s="184" t="str">
        <f>IFERROR(__xludf.DUMMYFUNCTION("""COMPUTED_VALUE"""),"Runecursed")</f>
        <v>Runecursed</v>
      </c>
      <c r="B632" s="185" t="str">
        <f>IFERROR(__xludf.DUMMYFUNCTION("""COMPUTED_VALUE"""),"Heaven")</f>
        <v>Heaven</v>
      </c>
      <c r="C632" s="185">
        <f t="shared" si="1"/>
        <v>1</v>
      </c>
      <c r="D632" s="20" t="s">
        <v>3280</v>
      </c>
      <c r="E632" s="20">
        <v>1.0</v>
      </c>
    </row>
    <row r="633">
      <c r="A633" s="184" t="str">
        <f>IFERROR(__xludf.DUMMYFUNCTION("""COMPUTED_VALUE"""),"Wyvern")</f>
        <v>Wyvern</v>
      </c>
      <c r="B633" s="185" t="str">
        <f>IFERROR(__xludf.DUMMYFUNCTION("""COMPUTED_VALUE"""),"Pestilence")</f>
        <v>Pestilence</v>
      </c>
      <c r="C633" s="185">
        <f t="shared" si="1"/>
        <v>1</v>
      </c>
      <c r="D633" s="20" t="s">
        <v>3281</v>
      </c>
      <c r="E633" s="20">
        <v>1.0</v>
      </c>
    </row>
    <row r="634">
      <c r="A634" s="184"/>
      <c r="B634" s="185" t="str">
        <f>IFERROR(__xludf.DUMMYFUNCTION("""COMPUTED_VALUE"""),"Haze")</f>
        <v>Haze</v>
      </c>
      <c r="C634" s="185">
        <f t="shared" si="1"/>
        <v>1</v>
      </c>
      <c r="D634" s="20" t="s">
        <v>3282</v>
      </c>
      <c r="E634" s="20">
        <v>1.0</v>
      </c>
    </row>
    <row r="635">
      <c r="A635" s="184"/>
      <c r="B635" s="185" t="str">
        <f>IFERROR(__xludf.DUMMYFUNCTION("""COMPUTED_VALUE"""),"Lamp")</f>
        <v>Lamp</v>
      </c>
      <c r="C635" s="185">
        <f t="shared" si="1"/>
        <v>1</v>
      </c>
      <c r="D635" s="20" t="s">
        <v>3283</v>
      </c>
      <c r="E635" s="20">
        <v>1.0</v>
      </c>
    </row>
    <row r="636">
      <c r="A636" s="184"/>
      <c r="B636" s="185" t="str">
        <f>IFERROR(__xludf.DUMMYFUNCTION("""COMPUTED_VALUE"""),"Oblivion")</f>
        <v>Oblivion</v>
      </c>
      <c r="C636" s="185">
        <f t="shared" si="1"/>
        <v>1</v>
      </c>
      <c r="D636" s="20" t="s">
        <v>3284</v>
      </c>
      <c r="E636" s="20">
        <v>1.0</v>
      </c>
    </row>
    <row r="637">
      <c r="A637" s="184" t="str">
        <f>IFERROR(__xludf.DUMMYFUNCTION("""COMPUTED_VALUE"""),"Skulloath")</f>
        <v>Skulloath</v>
      </c>
      <c r="B637" s="185" t="str">
        <f>IFERROR(__xludf.DUMMYFUNCTION("""COMPUTED_VALUE"""),"Rejuvenating")</f>
        <v>Rejuvenating</v>
      </c>
      <c r="C637" s="185">
        <f t="shared" si="1"/>
        <v>1</v>
      </c>
      <c r="D637" s="20" t="s">
        <v>3285</v>
      </c>
      <c r="E637" s="20">
        <v>1.0</v>
      </c>
    </row>
    <row r="638">
      <c r="A638" s="184" t="str">
        <f>IFERROR(__xludf.DUMMYFUNCTION("""COMPUTED_VALUE"""),"Lootclaimer")</f>
        <v>Lootclaimer</v>
      </c>
      <c r="B638" s="185" t="str">
        <f>IFERROR(__xludf.DUMMYFUNCTION("""COMPUTED_VALUE"""),"Blinking")</f>
        <v>Blinking</v>
      </c>
      <c r="C638" s="185">
        <f t="shared" si="1"/>
        <v>1</v>
      </c>
      <c r="D638" s="20" t="s">
        <v>3286</v>
      </c>
      <c r="E638" s="20">
        <v>1.0</v>
      </c>
    </row>
    <row r="639">
      <c r="A639" s="184"/>
      <c r="B639" s="185" t="str">
        <f>IFERROR(__xludf.DUMMYFUNCTION("""COMPUTED_VALUE"""),"Onyxion")</f>
        <v>Onyxion</v>
      </c>
      <c r="C639" s="185">
        <f t="shared" si="1"/>
        <v>1</v>
      </c>
      <c r="D639" s="20" t="s">
        <v>3287</v>
      </c>
      <c r="E639" s="20">
        <v>1.0</v>
      </c>
    </row>
    <row r="640">
      <c r="A640" s="184"/>
      <c r="B640" s="185" t="str">
        <f>IFERROR(__xludf.DUMMYFUNCTION("""COMPUTED_VALUE"""),"Thalis")</f>
        <v>Thalis</v>
      </c>
      <c r="C640" s="185">
        <f t="shared" si="1"/>
        <v>1</v>
      </c>
      <c r="D640" s="20" t="s">
        <v>3288</v>
      </c>
      <c r="E640" s="20">
        <v>1.0</v>
      </c>
    </row>
    <row r="641">
      <c r="A641" s="184"/>
      <c r="B641" s="185" t="str">
        <f>IFERROR(__xludf.DUMMYFUNCTION("""COMPUTED_VALUE"""),"Fuming")</f>
        <v>Fuming</v>
      </c>
      <c r="C641" s="185">
        <f t="shared" si="1"/>
        <v>1</v>
      </c>
      <c r="D641" s="20" t="s">
        <v>3289</v>
      </c>
      <c r="E641" s="20">
        <v>1.0</v>
      </c>
    </row>
    <row r="642">
      <c r="A642" s="184" t="str">
        <f>IFERROR(__xludf.DUMMYFUNCTION("""COMPUTED_VALUE"""),"Spell")</f>
        <v>Spell</v>
      </c>
      <c r="B642" s="185" t="str">
        <f>IFERROR(__xludf.DUMMYFUNCTION("""COMPUTED_VALUE"""),"Fukuisaur")</f>
        <v>Fukuisaur</v>
      </c>
      <c r="C642" s="185">
        <f t="shared" si="1"/>
        <v>1</v>
      </c>
      <c r="D642" s="20" t="s">
        <v>2337</v>
      </c>
      <c r="E642" s="20">
        <v>1.0</v>
      </c>
    </row>
    <row r="643">
      <c r="A643" s="184" t="str">
        <f>IFERROR(__xludf.DUMMYFUNCTION("""COMPUTED_VALUE"""),"Cat")</f>
        <v>Cat</v>
      </c>
      <c r="B643" s="185" t="str">
        <f>IFERROR(__xludf.DUMMYFUNCTION("""COMPUTED_VALUE"""),"Spreading")</f>
        <v>Spreading</v>
      </c>
      <c r="C643" s="185">
        <f t="shared" si="1"/>
        <v>1</v>
      </c>
      <c r="D643" s="20" t="s">
        <v>3290</v>
      </c>
      <c r="E643" s="20">
        <v>1.0</v>
      </c>
    </row>
    <row r="644">
      <c r="A644" s="184"/>
      <c r="B644" s="185" t="str">
        <f>IFERROR(__xludf.DUMMYFUNCTION("""COMPUTED_VALUE"""),"Spore")</f>
        <v>Spore</v>
      </c>
      <c r="C644" s="185">
        <f t="shared" si="1"/>
        <v>1</v>
      </c>
      <c r="D644" s="20" t="s">
        <v>3291</v>
      </c>
      <c r="E644" s="20">
        <v>1.0</v>
      </c>
    </row>
    <row r="645">
      <c r="A645" s="184"/>
      <c r="B645" s="185" t="str">
        <f>IFERROR(__xludf.DUMMYFUNCTION("""COMPUTED_VALUE"""),"Nightmare")</f>
        <v>Nightmare</v>
      </c>
      <c r="C645" s="185">
        <f t="shared" si="1"/>
        <v>2</v>
      </c>
      <c r="D645" s="20" t="s">
        <v>3292</v>
      </c>
      <c r="E645" s="20">
        <v>1.0</v>
      </c>
    </row>
    <row r="646">
      <c r="A646" s="184"/>
      <c r="B646" s="185" t="str">
        <f>IFERROR(__xludf.DUMMYFUNCTION("""COMPUTED_VALUE"""),"Chapel")</f>
        <v>Chapel</v>
      </c>
      <c r="C646" s="185">
        <f t="shared" si="1"/>
        <v>1</v>
      </c>
      <c r="D646" s="20" t="s">
        <v>3293</v>
      </c>
      <c r="E646" s="20">
        <v>1.0</v>
      </c>
    </row>
    <row r="647">
      <c r="A647" s="184" t="str">
        <f>IFERROR(__xludf.DUMMYFUNCTION("""COMPUTED_VALUE"""),"Vermillion")</f>
        <v>Vermillion</v>
      </c>
      <c r="B647" s="185" t="str">
        <f>IFERROR(__xludf.DUMMYFUNCTION("""COMPUTED_VALUE"""),"Watcher")</f>
        <v>Watcher</v>
      </c>
      <c r="C647" s="185">
        <f t="shared" si="1"/>
        <v>1</v>
      </c>
      <c r="D647" s="20" t="s">
        <v>3294</v>
      </c>
      <c r="E647" s="20">
        <v>1.0</v>
      </c>
    </row>
    <row r="648">
      <c r="A648" s="184" t="str">
        <f>IFERROR(__xludf.DUMMYFUNCTION("""COMPUTED_VALUE"""),"Firebird")</f>
        <v>Firebird</v>
      </c>
      <c r="B648" s="185" t="str">
        <f>IFERROR(__xludf.DUMMYFUNCTION("""COMPUTED_VALUE"""),"Luring")</f>
        <v>Luring</v>
      </c>
      <c r="C648" s="185">
        <f t="shared" si="1"/>
        <v>1</v>
      </c>
      <c r="D648" s="20" t="s">
        <v>3295</v>
      </c>
      <c r="E648" s="20">
        <v>1.0</v>
      </c>
    </row>
    <row r="649">
      <c r="A649" s="184"/>
      <c r="B649" s="185" t="str">
        <f>IFERROR(__xludf.DUMMYFUNCTION("""COMPUTED_VALUE"""),"Flametooth")</f>
        <v>Flametooth</v>
      </c>
      <c r="C649" s="185">
        <f t="shared" si="1"/>
        <v>1</v>
      </c>
      <c r="D649" s="20" t="s">
        <v>3296</v>
      </c>
      <c r="E649" s="20">
        <v>1.0</v>
      </c>
    </row>
    <row r="650">
      <c r="A650" s="184"/>
      <c r="B650" s="185" t="str">
        <f>IFERROR(__xludf.DUMMYFUNCTION("""COMPUTED_VALUE"""),"Shardsplosion")</f>
        <v>Shardsplosion</v>
      </c>
      <c r="C650" s="185">
        <f t="shared" si="1"/>
        <v>1</v>
      </c>
      <c r="D650" s="20" t="s">
        <v>3297</v>
      </c>
      <c r="E650" s="20">
        <v>1.0</v>
      </c>
    </row>
    <row r="651">
      <c r="A651" s="184"/>
      <c r="B651" s="185" t="str">
        <f>IFERROR(__xludf.DUMMYFUNCTION("""COMPUTED_VALUE"""),"Dragoncaller")</f>
        <v>Dragoncaller</v>
      </c>
      <c r="C651" s="185">
        <f t="shared" si="1"/>
        <v>1</v>
      </c>
      <c r="D651" s="20" t="s">
        <v>3298</v>
      </c>
      <c r="E651" s="20">
        <v>1.0</v>
      </c>
    </row>
    <row r="652">
      <c r="A652" s="184" t="str">
        <f>IFERROR(__xludf.DUMMYFUNCTION("""COMPUTED_VALUE"""),"Oasisdweller")</f>
        <v>Oasisdweller</v>
      </c>
      <c r="B652" s="185" t="str">
        <f>IFERROR(__xludf.DUMMYFUNCTION("""COMPUTED_VALUE"""),"Stalagmite")</f>
        <v>Stalagmite</v>
      </c>
      <c r="C652" s="185">
        <f t="shared" si="1"/>
        <v>1</v>
      </c>
      <c r="D652" s="20" t="s">
        <v>3299</v>
      </c>
      <c r="E652" s="20">
        <v>1.0</v>
      </c>
    </row>
    <row r="653">
      <c r="A653" s="184"/>
      <c r="B653" s="185" t="str">
        <f>IFERROR(__xludf.DUMMYFUNCTION("""COMPUTED_VALUE"""),"Mirage")</f>
        <v>Mirage</v>
      </c>
      <c r="C653" s="185">
        <f t="shared" si="1"/>
        <v>1</v>
      </c>
      <c r="D653" s="20" t="s">
        <v>3300</v>
      </c>
      <c r="E653" s="20">
        <v>1.0</v>
      </c>
    </row>
    <row r="654">
      <c r="A654" s="184"/>
      <c r="B654" s="185" t="str">
        <f>IFERROR(__xludf.DUMMYFUNCTION("""COMPUTED_VALUE"""),"Heavenbound")</f>
        <v>Heavenbound</v>
      </c>
      <c r="C654" s="185">
        <f t="shared" si="1"/>
        <v>1</v>
      </c>
      <c r="D654" s="20" t="s">
        <v>3301</v>
      </c>
      <c r="E654" s="20">
        <v>1.0</v>
      </c>
    </row>
    <row r="655">
      <c r="A655" s="184"/>
      <c r="B655" s="185" t="str">
        <f>IFERROR(__xludf.DUMMYFUNCTION("""COMPUTED_VALUE"""),"Heka-Mage")</f>
        <v>Heka-Mage</v>
      </c>
      <c r="C655" s="185">
        <f t="shared" si="1"/>
        <v>1</v>
      </c>
      <c r="D655" s="20" t="s">
        <v>2368</v>
      </c>
      <c r="E655" s="20">
        <v>1.0</v>
      </c>
    </row>
    <row r="656">
      <c r="A656" s="184"/>
      <c r="B656" s="185" t="str">
        <f>IFERROR(__xludf.DUMMYFUNCTION("""COMPUTED_VALUE"""),"Twilight")</f>
        <v>Twilight</v>
      </c>
      <c r="C656" s="185">
        <f t="shared" si="1"/>
        <v>2</v>
      </c>
      <c r="D656" s="20" t="s">
        <v>2370</v>
      </c>
      <c r="E656" s="20">
        <v>1.0</v>
      </c>
    </row>
    <row r="657">
      <c r="A657" s="184" t="str">
        <f>IFERROR(__xludf.DUMMYFUNCTION("""COMPUTED_VALUE"""),"Portalrunner")</f>
        <v>Portalrunner</v>
      </c>
      <c r="B657" s="185" t="str">
        <f>IFERROR(__xludf.DUMMYFUNCTION("""COMPUTED_VALUE"""),"Sorceress")</f>
        <v>Sorceress</v>
      </c>
      <c r="C657" s="185">
        <f t="shared" si="1"/>
        <v>1</v>
      </c>
      <c r="D657" s="20" t="s">
        <v>3302</v>
      </c>
      <c r="E657" s="20">
        <v>1.0</v>
      </c>
    </row>
    <row r="658">
      <c r="A658" s="184"/>
      <c r="B658" s="185" t="str">
        <f>IFERROR(__xludf.DUMMYFUNCTION("""COMPUTED_VALUE"""),"Twinfang")</f>
        <v>Twinfang</v>
      </c>
      <c r="C658" s="185">
        <f t="shared" si="1"/>
        <v>1</v>
      </c>
      <c r="D658" s="20" t="s">
        <v>3303</v>
      </c>
      <c r="E658" s="20">
        <v>1.0</v>
      </c>
    </row>
    <row r="659">
      <c r="A659" s="184"/>
      <c r="B659" s="185" t="str">
        <f>IFERROR(__xludf.DUMMYFUNCTION("""COMPUTED_VALUE"""),"Huntcaller")</f>
        <v>Huntcaller</v>
      </c>
      <c r="C659" s="185">
        <f t="shared" si="1"/>
        <v>1</v>
      </c>
      <c r="D659" s="20" t="s">
        <v>3304</v>
      </c>
      <c r="E659" s="20">
        <v>1.0</v>
      </c>
    </row>
    <row r="660">
      <c r="A660" s="184"/>
      <c r="B660" s="185" t="str">
        <f>IFERROR(__xludf.DUMMYFUNCTION("""COMPUTED_VALUE"""),"Vanguard")</f>
        <v>Vanguard</v>
      </c>
      <c r="C660" s="185">
        <f t="shared" si="1"/>
        <v>1</v>
      </c>
      <c r="D660" s="20" t="s">
        <v>3305</v>
      </c>
      <c r="E660" s="20">
        <v>1.0</v>
      </c>
    </row>
    <row r="661">
      <c r="A661" s="184"/>
      <c r="B661" s="185" t="str">
        <f>IFERROR(__xludf.DUMMYFUNCTION("""COMPUTED_VALUE"""),"#VALUE!")</f>
        <v>#VALUE!</v>
      </c>
      <c r="C661" s="185">
        <f t="shared" si="1"/>
        <v>1</v>
      </c>
      <c r="D661" s="20" t="s">
        <v>3306</v>
      </c>
      <c r="E661" s="20">
        <v>1.0</v>
      </c>
    </row>
    <row r="662">
      <c r="A662" s="184" t="str">
        <f>IFERROR(__xludf.DUMMYFUNCTION("""COMPUTED_VALUE"""),"Cinderguard")</f>
        <v>Cinderguard</v>
      </c>
      <c r="B662" s="185" t="str">
        <f>IFERROR(__xludf.DUMMYFUNCTION("""COMPUTED_VALUE"""),"Behemoth")</f>
        <v>Behemoth</v>
      </c>
      <c r="C662" s="185">
        <f t="shared" si="1"/>
        <v>2</v>
      </c>
      <c r="D662" s="20" t="s">
        <v>3307</v>
      </c>
      <c r="E662" s="20">
        <v>1.0</v>
      </c>
    </row>
    <row r="663">
      <c r="A663" s="184" t="str">
        <f>IFERROR(__xludf.DUMMYFUNCTION("""COMPUTED_VALUE"""),"Irregulars")</f>
        <v>Irregulars</v>
      </c>
      <c r="B663" s="185" t="str">
        <f>IFERROR(__xludf.DUMMYFUNCTION("""COMPUTED_VALUE"""),"Guider")</f>
        <v>Guider</v>
      </c>
      <c r="C663" s="185">
        <f t="shared" si="1"/>
        <v>1</v>
      </c>
      <c r="D663" s="20" t="s">
        <v>3308</v>
      </c>
      <c r="E663" s="20">
        <v>1.0</v>
      </c>
    </row>
    <row r="664">
      <c r="A664" s="184"/>
      <c r="B664" s="185" t="str">
        <f>IFERROR(__xludf.DUMMYFUNCTION("""COMPUTED_VALUE"""),"Yesterknight")</f>
        <v>Yesterknight</v>
      </c>
      <c r="C664" s="185">
        <f t="shared" si="1"/>
        <v>1</v>
      </c>
      <c r="D664" s="20" t="s">
        <v>3309</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3310</v>
      </c>
      <c r="E666" s="20">
        <v>1.0</v>
      </c>
    </row>
    <row r="667">
      <c r="A667" s="184" t="str">
        <f>IFERROR(__xludf.DUMMYFUNCTION("""COMPUTED_VALUE"""),"Steelclaw")</f>
        <v>Steelclaw</v>
      </c>
      <c r="B667" s="185" t="str">
        <f>IFERROR(__xludf.DUMMYFUNCTION("""COMPUTED_VALUE"""),"Ticking")</f>
        <v>Ticking</v>
      </c>
      <c r="C667" s="185">
        <f t="shared" si="1"/>
        <v>1</v>
      </c>
      <c r="D667" s="20" t="s">
        <v>3311</v>
      </c>
      <c r="E667" s="20">
        <v>1.0</v>
      </c>
    </row>
    <row r="668">
      <c r="A668" s="184" t="str">
        <f>IFERROR(__xludf.DUMMYFUNCTION("""COMPUTED_VALUE"""),"Veterans")</f>
        <v>Veterans</v>
      </c>
      <c r="B668" s="185" t="str">
        <f>IFERROR(__xludf.DUMMYFUNCTION("""COMPUTED_VALUE"""),"Tick")</f>
        <v>Tick</v>
      </c>
      <c r="C668" s="185">
        <f t="shared" si="1"/>
        <v>1</v>
      </c>
      <c r="D668" s="20" t="s">
        <v>3312</v>
      </c>
      <c r="E668" s="20">
        <v>1.0</v>
      </c>
    </row>
    <row r="669">
      <c r="A669" s="184"/>
      <c r="B669" s="185" t="str">
        <f>IFERROR(__xludf.DUMMYFUNCTION("""COMPUTED_VALUE"""),"Sucker")</f>
        <v>Sucker</v>
      </c>
      <c r="C669" s="185">
        <f t="shared" si="1"/>
        <v>5</v>
      </c>
      <c r="D669" s="20" t="s">
        <v>2395</v>
      </c>
      <c r="E669" s="20">
        <v>1.0</v>
      </c>
    </row>
    <row r="670">
      <c r="A670" s="184"/>
      <c r="B670" s="185" t="str">
        <f>IFERROR(__xludf.DUMMYFUNCTION("""COMPUTED_VALUE"""),"Conduit")</f>
        <v>Conduit</v>
      </c>
      <c r="C670" s="185">
        <f t="shared" si="1"/>
        <v>1</v>
      </c>
      <c r="D670" s="20" t="s">
        <v>3313</v>
      </c>
      <c r="E670" s="20">
        <v>1.0</v>
      </c>
    </row>
    <row r="671">
      <c r="A671" s="184"/>
      <c r="B671" s="185" t="str">
        <f>IFERROR(__xludf.DUMMYFUNCTION("""COMPUTED_VALUE"""),"Scale")</f>
        <v>Scale</v>
      </c>
      <c r="C671" s="185">
        <f t="shared" si="1"/>
        <v>1</v>
      </c>
      <c r="D671" s="20" t="s">
        <v>3314</v>
      </c>
      <c r="E671" s="20">
        <v>1.0</v>
      </c>
    </row>
    <row r="672">
      <c r="A672" s="184" t="str">
        <f>IFERROR(__xludf.DUMMYFUNCTION("""COMPUTED_VALUE"""),"Crazed")</f>
        <v>Crazed</v>
      </c>
      <c r="B672" s="185" t="str">
        <f>IFERROR(__xludf.DUMMYFUNCTION("""COMPUTED_VALUE"""),"Nethersilk")</f>
        <v>Nethersilk</v>
      </c>
      <c r="C672" s="185">
        <f t="shared" si="1"/>
        <v>1</v>
      </c>
      <c r="D672" s="20" t="s">
        <v>3315</v>
      </c>
      <c r="E672" s="20">
        <v>1.0</v>
      </c>
    </row>
    <row r="673">
      <c r="A673" s="184" t="str">
        <f>IFERROR(__xludf.DUMMYFUNCTION("""COMPUTED_VALUE"""),"Hermit")</f>
        <v>Hermit</v>
      </c>
      <c r="B673" s="185" t="str">
        <f>IFERROR(__xludf.DUMMYFUNCTION("""COMPUTED_VALUE"""),"Moth")</f>
        <v>Moth</v>
      </c>
      <c r="C673" s="185">
        <f t="shared" si="1"/>
        <v>1</v>
      </c>
      <c r="D673" s="20" t="s">
        <v>3316</v>
      </c>
      <c r="E673" s="20">
        <v>1.0</v>
      </c>
    </row>
    <row r="674">
      <c r="A674" s="184"/>
      <c r="B674" s="185" t="str">
        <f>IFERROR(__xludf.DUMMYFUNCTION("""COMPUTED_VALUE"""),"Penguin")</f>
        <v>Penguin</v>
      </c>
      <c r="C674" s="185">
        <f t="shared" si="1"/>
        <v>1</v>
      </c>
      <c r="D674" s="20" t="s">
        <v>3317</v>
      </c>
      <c r="E674" s="20">
        <v>1.0</v>
      </c>
    </row>
    <row r="675">
      <c r="A675" s="184"/>
      <c r="B675" s="185" t="str">
        <f>IFERROR(__xludf.DUMMYFUNCTION("""COMPUTED_VALUE"""),"Possessed")</f>
        <v>Possessed</v>
      </c>
      <c r="C675" s="185">
        <f t="shared" si="1"/>
        <v>1</v>
      </c>
      <c r="D675" s="20" t="s">
        <v>3318</v>
      </c>
      <c r="E675" s="20">
        <v>1.0</v>
      </c>
    </row>
    <row r="676">
      <c r="A676" s="184"/>
      <c r="B676" s="185" t="str">
        <f>IFERROR(__xludf.DUMMYFUNCTION("""COMPUTED_VALUE"""),"Vermin")</f>
        <v>Vermin</v>
      </c>
      <c r="C676" s="185">
        <f t="shared" si="1"/>
        <v>1</v>
      </c>
      <c r="D676" s="20" t="s">
        <v>3319</v>
      </c>
      <c r="E676" s="20">
        <v>1.0</v>
      </c>
    </row>
    <row r="677">
      <c r="A677" s="184" t="str">
        <f>IFERROR(__xludf.DUMMYFUNCTION("""COMPUTED_VALUE"""),"Galeweaver")</f>
        <v>Galeweaver</v>
      </c>
      <c r="B677" s="185" t="str">
        <f>IFERROR(__xludf.DUMMYFUNCTION("""COMPUTED_VALUE"""),"Brood")</f>
        <v>Brood</v>
      </c>
      <c r="C677" s="185">
        <f t="shared" si="1"/>
        <v>1</v>
      </c>
      <c r="D677" s="20" t="s">
        <v>3320</v>
      </c>
      <c r="E677" s="20">
        <v>1.0</v>
      </c>
    </row>
    <row r="678">
      <c r="A678" s="184"/>
      <c r="B678" s="185" t="str">
        <f>IFERROR(__xludf.DUMMYFUNCTION("""COMPUTED_VALUE"""),"Shadowsting")</f>
        <v>Shadowsting</v>
      </c>
      <c r="C678" s="185">
        <f t="shared" si="1"/>
        <v>1</v>
      </c>
      <c r="D678" s="20" t="s">
        <v>3321</v>
      </c>
      <c r="E678" s="20">
        <v>1.0</v>
      </c>
    </row>
    <row r="679">
      <c r="A679" s="184"/>
      <c r="B679" s="185" t="str">
        <f>IFERROR(__xludf.DUMMYFUNCTION("""COMPUTED_VALUE"""),"Shiverskull")</f>
        <v>Shiverskull</v>
      </c>
      <c r="C679" s="185">
        <f t="shared" si="1"/>
        <v>1</v>
      </c>
      <c r="D679" s="20" t="s">
        <v>3322</v>
      </c>
      <c r="E679" s="20">
        <v>1.0</v>
      </c>
    </row>
    <row r="680">
      <c r="A680" s="184"/>
      <c r="B680" s="185" t="str">
        <f>IFERROR(__xludf.DUMMYFUNCTION("""COMPUTED_VALUE"""),"Skull")</f>
        <v>Skull</v>
      </c>
      <c r="C680" s="185">
        <f t="shared" si="1"/>
        <v>1</v>
      </c>
      <c r="D680" s="20" t="s">
        <v>3323</v>
      </c>
      <c r="E680" s="20">
        <v>1.0</v>
      </c>
    </row>
    <row r="681">
      <c r="A681" s="184"/>
      <c r="B681" s="185" t="str">
        <f>IFERROR(__xludf.DUMMYFUNCTION("""COMPUTED_VALUE"""),"Crow")</f>
        <v>Crow</v>
      </c>
      <c r="C681" s="185">
        <f t="shared" si="1"/>
        <v>1</v>
      </c>
      <c r="D681" s="20" t="s">
        <v>2431</v>
      </c>
      <c r="E681" s="20">
        <v>1.0</v>
      </c>
    </row>
    <row r="682">
      <c r="A682" s="184" t="str">
        <f>IFERROR(__xludf.DUMMYFUNCTION("""COMPUTED_VALUE"""),"Lurking")</f>
        <v>Lurking</v>
      </c>
      <c r="B682" s="185" t="str">
        <f>IFERROR(__xludf.DUMMYFUNCTION("""COMPUTED_VALUE"""),"Symbiotic")</f>
        <v>Symbiotic</v>
      </c>
      <c r="C682" s="185">
        <f t="shared" si="1"/>
        <v>1</v>
      </c>
      <c r="D682" s="20" t="s">
        <v>3324</v>
      </c>
      <c r="E682" s="20">
        <v>1.0</v>
      </c>
    </row>
    <row r="683">
      <c r="A683" s="184" t="str">
        <f>IFERROR(__xludf.DUMMYFUNCTION("""COMPUTED_VALUE"""),"Canopystomper")</f>
        <v>Canopystomper</v>
      </c>
      <c r="B683" s="185" t="str">
        <f>IFERROR(__xludf.DUMMYFUNCTION("""COMPUTED_VALUE"""),"Crawler")</f>
        <v>Crawler</v>
      </c>
      <c r="C683" s="185">
        <f t="shared" si="1"/>
        <v>1</v>
      </c>
      <c r="D683" s="20" t="s">
        <v>3325</v>
      </c>
      <c r="E683" s="20">
        <v>1.0</v>
      </c>
    </row>
    <row r="684">
      <c r="A684" s="184"/>
      <c r="B684" s="185" t="str">
        <f>IFERROR(__xludf.DUMMYFUNCTION("""COMPUTED_VALUE"""),"Nightreaper")</f>
        <v>Nightreaper</v>
      </c>
      <c r="C684" s="185">
        <f t="shared" si="1"/>
        <v>1</v>
      </c>
      <c r="D684" s="20" t="s">
        <v>3326</v>
      </c>
      <c r="E684" s="20">
        <v>1.0</v>
      </c>
    </row>
    <row r="685">
      <c r="A685" s="184"/>
      <c r="B685" s="185" t="str">
        <f>IFERROR(__xludf.DUMMYFUNCTION("""COMPUTED_VALUE"""),"King")</f>
        <v>King</v>
      </c>
      <c r="C685" s="185">
        <f t="shared" si="1"/>
        <v>1</v>
      </c>
      <c r="D685" s="20" t="s">
        <v>3327</v>
      </c>
      <c r="E685" s="20">
        <v>1.0</v>
      </c>
    </row>
    <row r="686">
      <c r="A686" s="184"/>
      <c r="B686" s="185" t="str">
        <f>IFERROR(__xludf.DUMMYFUNCTION("""COMPUTED_VALUE"""),"Gorgon")</f>
        <v>Gorgon</v>
      </c>
      <c r="C686" s="185">
        <f t="shared" si="1"/>
        <v>1</v>
      </c>
      <c r="D686" s="20" t="s">
        <v>2442</v>
      </c>
      <c r="E686" s="20">
        <v>1.0</v>
      </c>
    </row>
    <row r="687">
      <c r="A687" s="184" t="str">
        <f>IFERROR(__xludf.DUMMYFUNCTION("""COMPUTED_VALUE"""),"Resourceful")</f>
        <v>Resourceful</v>
      </c>
      <c r="B687" s="185" t="str">
        <f>IFERROR(__xludf.DUMMYFUNCTION("""COMPUTED_VALUE"""),"Serpentress")</f>
        <v>Serpentress</v>
      </c>
      <c r="C687" s="185">
        <f t="shared" si="1"/>
        <v>1</v>
      </c>
      <c r="D687" s="20" t="s">
        <v>3328</v>
      </c>
      <c r="E687" s="20">
        <v>1.0</v>
      </c>
    </row>
    <row r="688">
      <c r="A688" s="184" t="str">
        <f>IFERROR(__xludf.DUMMYFUNCTION("""COMPUTED_VALUE"""),"Poacher")</f>
        <v>Poacher</v>
      </c>
      <c r="B688" s="185" t="str">
        <f>IFERROR(__xludf.DUMMYFUNCTION("""COMPUTED_VALUE"""),"Ill-Tempered")</f>
        <v>Ill-Tempered</v>
      </c>
      <c r="C688" s="185">
        <f t="shared" si="1"/>
        <v>1</v>
      </c>
      <c r="D688" s="20" t="s">
        <v>3329</v>
      </c>
      <c r="E688" s="20">
        <v>1.0</v>
      </c>
    </row>
    <row r="689">
      <c r="A689" s="184"/>
      <c r="B689" s="185" t="str">
        <f>IFERROR(__xludf.DUMMYFUNCTION("""COMPUTED_VALUE"""),"Nightbloom")</f>
        <v>Nightbloom</v>
      </c>
      <c r="C689" s="185">
        <f t="shared" si="1"/>
        <v>1</v>
      </c>
      <c r="D689" s="20" t="s">
        <v>3330</v>
      </c>
      <c r="E689" s="20">
        <v>1.0</v>
      </c>
    </row>
    <row r="690">
      <c r="A690" s="184"/>
      <c r="B690" s="185" t="str">
        <f>IFERROR(__xludf.DUMMYFUNCTION("""COMPUTED_VALUE"""),"Owl")</f>
        <v>Owl</v>
      </c>
      <c r="C690" s="185">
        <f t="shared" si="1"/>
        <v>1</v>
      </c>
      <c r="D690" s="20" t="s">
        <v>3331</v>
      </c>
      <c r="E690" s="20">
        <v>1.0</v>
      </c>
    </row>
    <row r="691">
      <c r="A691" s="184"/>
      <c r="B691" s="185" t="str">
        <f>IFERROR(__xludf.DUMMYFUNCTION("""COMPUTED_VALUE"""),"Shroom")</f>
        <v>Shroom</v>
      </c>
      <c r="C691" s="185">
        <f t="shared" si="1"/>
        <v>1</v>
      </c>
      <c r="D691" s="20" t="s">
        <v>3332</v>
      </c>
      <c r="E691" s="20">
        <v>1.0</v>
      </c>
    </row>
    <row r="692">
      <c r="A692" s="184" t="str">
        <f>IFERROR(__xludf.DUMMYFUNCTION("""COMPUTED_VALUE"""),"Infernoblight")</f>
        <v>Infernoblight</v>
      </c>
      <c r="B692" s="185" t="str">
        <f>IFERROR(__xludf.DUMMYFUNCTION("""COMPUTED_VALUE"""),"Hellblade")</f>
        <v>Hellblade</v>
      </c>
      <c r="C692" s="185">
        <f t="shared" si="1"/>
        <v>1</v>
      </c>
      <c r="D692" s="20" t="s">
        <v>3333</v>
      </c>
      <c r="E692" s="20">
        <v>1.0</v>
      </c>
    </row>
    <row r="693">
      <c r="A693" s="184"/>
      <c r="B693" s="185" t="str">
        <f>IFERROR(__xludf.DUMMYFUNCTION("""COMPUTED_VALUE"""),"Eclipse")</f>
        <v>Eclipse</v>
      </c>
      <c r="C693" s="185">
        <f t="shared" si="1"/>
        <v>1</v>
      </c>
      <c r="D693" s="20" t="s">
        <v>3334</v>
      </c>
      <c r="E693" s="20">
        <v>1.0</v>
      </c>
    </row>
    <row r="694">
      <c r="A694" s="184"/>
      <c r="B694" s="185" t="str">
        <f>IFERROR(__xludf.DUMMYFUNCTION("""COMPUTED_VALUE"""),"Scythe")</f>
        <v>Scythe</v>
      </c>
      <c r="C694" s="185">
        <f t="shared" si="1"/>
        <v>1</v>
      </c>
      <c r="D694" s="20" t="s">
        <v>2492</v>
      </c>
      <c r="E694" s="20">
        <v>1.0</v>
      </c>
    </row>
    <row r="695">
      <c r="A695" s="184"/>
      <c r="B695" s="185" t="str">
        <f>IFERROR(__xludf.DUMMYFUNCTION("""COMPUTED_VALUE"""),"Rotten")</f>
        <v>Rotten</v>
      </c>
      <c r="C695" s="185">
        <f t="shared" si="1"/>
        <v>1</v>
      </c>
      <c r="D695" s="20" t="s">
        <v>3335</v>
      </c>
      <c r="E695" s="20">
        <v>1.0</v>
      </c>
    </row>
    <row r="696">
      <c r="A696" s="184"/>
      <c r="B696" s="185" t="str">
        <f>IFERROR(__xludf.DUMMYFUNCTION("""COMPUTED_VALUE"""),"Stalker")</f>
        <v>Stalker</v>
      </c>
      <c r="C696" s="185">
        <f t="shared" si="1"/>
        <v>1</v>
      </c>
      <c r="D696" s="20" t="s">
        <v>3336</v>
      </c>
      <c r="E696" s="20">
        <v>1.0</v>
      </c>
    </row>
    <row r="697">
      <c r="A697" s="184" t="str">
        <f>IFERROR(__xludf.DUMMYFUNCTION("""COMPUTED_VALUE"""),"The")</f>
        <v>The</v>
      </c>
      <c r="B697" s="185" t="str">
        <f>IFERROR(__xludf.DUMMYFUNCTION("""COMPUTED_VALUE"""),"Wringing")</f>
        <v>Wringing</v>
      </c>
      <c r="C697" s="185">
        <f t="shared" si="1"/>
        <v>1</v>
      </c>
      <c r="D697" s="20" t="s">
        <v>3337</v>
      </c>
      <c r="E697" s="20">
        <v>1.0</v>
      </c>
    </row>
    <row r="698">
      <c r="A698" s="184" t="str">
        <f>IFERROR(__xludf.DUMMYFUNCTION("""COMPUTED_VALUE"""),"Skyshrieker")</f>
        <v>Skyshrieker</v>
      </c>
      <c r="B698" s="185" t="str">
        <f>IFERROR(__xludf.DUMMYFUNCTION("""COMPUTED_VALUE"""),"Clawing")</f>
        <v>Clawing</v>
      </c>
      <c r="C698" s="185">
        <f t="shared" si="1"/>
        <v>1</v>
      </c>
      <c r="D698" s="20" t="s">
        <v>3338</v>
      </c>
      <c r="E698" s="20">
        <v>1.0</v>
      </c>
    </row>
    <row r="699">
      <c r="A699" s="184"/>
      <c r="B699" s="185" t="str">
        <f>IFERROR(__xludf.DUMMYFUNCTION("""COMPUTED_VALUE"""),"Centipede")</f>
        <v>Centipede</v>
      </c>
      <c r="C699" s="185">
        <f t="shared" si="1"/>
        <v>1</v>
      </c>
      <c r="D699" s="20" t="s">
        <v>3339</v>
      </c>
      <c r="E699" s="20">
        <v>1.0</v>
      </c>
    </row>
    <row r="700">
      <c r="A700" s="184"/>
      <c r="B700" s="185" t="str">
        <f>IFERROR(__xludf.DUMMYFUNCTION("""COMPUTED_VALUE"""),"Voidsinger")</f>
        <v>Voidsinger</v>
      </c>
      <c r="C700" s="185">
        <f t="shared" si="1"/>
        <v>1</v>
      </c>
      <c r="D700" s="20" t="s">
        <v>3340</v>
      </c>
      <c r="E700" s="20">
        <v>1.0</v>
      </c>
    </row>
    <row r="701">
      <c r="A701" s="184"/>
      <c r="B701" s="185" t="str">
        <f>IFERROR(__xludf.DUMMYFUNCTION("""COMPUTED_VALUE"""),"Graverobbing")</f>
        <v>Graverobbing</v>
      </c>
      <c r="C701" s="185">
        <f t="shared" si="1"/>
        <v>1</v>
      </c>
      <c r="D701" s="20" t="s">
        <v>3341</v>
      </c>
      <c r="E701" s="20">
        <v>1.0</v>
      </c>
    </row>
    <row r="702">
      <c r="A702" s="184" t="str">
        <f>IFERROR(__xludf.DUMMYFUNCTION("""COMPUTED_VALUE"""),"Mistborn")</f>
        <v>Mistborn</v>
      </c>
      <c r="B702" s="185" t="str">
        <f>IFERROR(__xludf.DUMMYFUNCTION("""COMPUTED_VALUE"""),"Robot")</f>
        <v>Robot</v>
      </c>
      <c r="C702" s="185">
        <f t="shared" si="1"/>
        <v>1</v>
      </c>
      <c r="D702" s="20" t="s">
        <v>2537</v>
      </c>
      <c r="E702" s="20">
        <v>1.0</v>
      </c>
    </row>
    <row r="703">
      <c r="A703" s="184" t="str">
        <f>IFERROR(__xludf.DUMMYFUNCTION("""COMPUTED_VALUE"""),"Serpent")</f>
        <v>Serpent</v>
      </c>
      <c r="B703" s="185" t="str">
        <f>IFERROR(__xludf.DUMMYFUNCTION("""COMPUTED_VALUE"""),"Bandage")</f>
        <v>Bandage</v>
      </c>
      <c r="C703" s="185">
        <f t="shared" si="1"/>
        <v>1</v>
      </c>
      <c r="D703" s="20" t="s">
        <v>3342</v>
      </c>
      <c r="E703" s="20">
        <v>1.0</v>
      </c>
    </row>
    <row r="704">
      <c r="A704" s="184"/>
      <c r="B704" s="185" t="str">
        <f>IFERROR(__xludf.DUMMYFUNCTION("""COMPUTED_VALUE"""),"Deadfield")</f>
        <v>Deadfield</v>
      </c>
      <c r="C704" s="185">
        <f t="shared" si="1"/>
        <v>1</v>
      </c>
      <c r="D704" s="20" t="s">
        <v>3343</v>
      </c>
      <c r="E704" s="20">
        <v>1.0</v>
      </c>
    </row>
    <row r="705">
      <c r="A705" s="184"/>
      <c r="B705" s="185" t="str">
        <f>IFERROR(__xludf.DUMMYFUNCTION("""COMPUTED_VALUE"""),"Tiller")</f>
        <v>Tiller</v>
      </c>
      <c r="C705" s="185">
        <f t="shared" si="1"/>
        <v>1</v>
      </c>
      <c r="D705" s="20" t="s">
        <v>3344</v>
      </c>
      <c r="E705" s="20">
        <v>1.0</v>
      </c>
    </row>
    <row r="706">
      <c r="A706" s="184"/>
      <c r="B706" s="185" t="str">
        <f>IFERROR(__xludf.DUMMYFUNCTION("""COMPUTED_VALUE"""),"Frightweaver")</f>
        <v>Frightweaver</v>
      </c>
      <c r="C706" s="185">
        <f t="shared" si="1"/>
        <v>1</v>
      </c>
      <c r="D706" s="20" t="s">
        <v>3345</v>
      </c>
      <c r="E706" s="20">
        <v>1.0</v>
      </c>
    </row>
    <row r="707">
      <c r="A707" s="184" t="str">
        <f>IFERROR(__xludf.DUMMYFUNCTION("""COMPUTED_VALUE"""),"Bringer")</f>
        <v>Bringer</v>
      </c>
      <c r="B707" s="185" t="str">
        <f>IFERROR(__xludf.DUMMYFUNCTION("""COMPUTED_VALUE"""),"Mini")</f>
        <v>Mini</v>
      </c>
      <c r="C707" s="185">
        <f t="shared" si="1"/>
        <v>1</v>
      </c>
      <c r="D707" s="20" t="s">
        <v>3346</v>
      </c>
      <c r="E707" s="20">
        <v>1.0</v>
      </c>
    </row>
    <row r="708">
      <c r="A708" s="184" t="str">
        <f>IFERROR(__xludf.DUMMYFUNCTION("""COMPUTED_VALUE"""),"of")</f>
        <v>of</v>
      </c>
      <c r="B708" s="185" t="str">
        <f>IFERROR(__xludf.DUMMYFUNCTION("""COMPUTED_VALUE"""),"Clocktower")</f>
        <v>Clocktower</v>
      </c>
      <c r="C708" s="185">
        <f t="shared" si="1"/>
        <v>1</v>
      </c>
      <c r="D708" s="20" t="s">
        <v>2565</v>
      </c>
      <c r="E708" s="20">
        <v>1.0</v>
      </c>
    </row>
    <row r="709">
      <c r="A709" s="184" t="str">
        <f>IFERROR(__xludf.DUMMYFUNCTION("""COMPUTED_VALUE"""),"Bad")</f>
        <v>Bad</v>
      </c>
      <c r="B709" s="185" t="str">
        <f>IFERROR(__xludf.DUMMYFUNCTION("""COMPUTED_VALUE"""),"Drake")</f>
        <v>Drake</v>
      </c>
      <c r="C709" s="185">
        <f t="shared" si="1"/>
        <v>1</v>
      </c>
      <c r="D709" s="20" t="s">
        <v>3347</v>
      </c>
      <c r="E709" s="20">
        <v>1.0</v>
      </c>
    </row>
    <row r="710">
      <c r="A710" s="184" t="str">
        <f>IFERROR(__xludf.DUMMYFUNCTION("""COMPUTED_VALUE"""),"Omens")</f>
        <v>Omens</v>
      </c>
      <c r="B710" s="185" t="str">
        <f>IFERROR(__xludf.DUMMYFUNCTION("""COMPUTED_VALUE"""),"Roaming")</f>
        <v>Roaming</v>
      </c>
      <c r="C710" s="185">
        <f t="shared" si="1"/>
        <v>1</v>
      </c>
      <c r="D710" s="20" t="s">
        <v>3348</v>
      </c>
      <c r="E710" s="20">
        <v>1.0</v>
      </c>
    </row>
    <row r="711">
      <c r="A711" s="184"/>
      <c r="B711" s="185" t="str">
        <f>IFERROR(__xludf.DUMMYFUNCTION("""COMPUTED_VALUE"""),"Cherub")</f>
        <v>Cherub</v>
      </c>
      <c r="C711" s="185">
        <f t="shared" si="1"/>
        <v>1</v>
      </c>
      <c r="D711" s="20" t="s">
        <v>3349</v>
      </c>
      <c r="E711" s="20">
        <v>1.0</v>
      </c>
    </row>
    <row r="712">
      <c r="A712" s="184" t="str">
        <f>IFERROR(__xludf.DUMMYFUNCTION("""COMPUTED_VALUE"""),"Gaunt")</f>
        <v>Gaunt</v>
      </c>
      <c r="B712" s="185" t="str">
        <f>IFERROR(__xludf.DUMMYFUNCTION("""COMPUTED_VALUE"""),"Bessy")</f>
        <v>Bessy</v>
      </c>
      <c r="C712" s="185">
        <f t="shared" si="1"/>
        <v>1</v>
      </c>
      <c r="D712" s="20" t="s">
        <v>3350</v>
      </c>
      <c r="E712" s="20">
        <v>1.0</v>
      </c>
    </row>
    <row r="713">
      <c r="A713" s="184" t="str">
        <f>IFERROR(__xludf.DUMMYFUNCTION("""COMPUTED_VALUE"""),"Visitation")</f>
        <v>Visitation</v>
      </c>
      <c r="B713" s="185" t="str">
        <f>IFERROR(__xludf.DUMMYFUNCTION("""COMPUTED_VALUE"""),"Realmshifter")</f>
        <v>Realmshifter</v>
      </c>
      <c r="C713" s="185">
        <f t="shared" si="1"/>
        <v>1</v>
      </c>
      <c r="D713" s="20" t="s">
        <v>3351</v>
      </c>
      <c r="E713" s="20">
        <v>1.0</v>
      </c>
    </row>
    <row r="714">
      <c r="A714" s="184"/>
      <c r="B714" s="185" t="str">
        <f>IFERROR(__xludf.DUMMYFUNCTION("""COMPUTED_VALUE"""),"Shapeshifter")</f>
        <v>Shapeshifter</v>
      </c>
      <c r="C714" s="185">
        <f t="shared" si="1"/>
        <v>1</v>
      </c>
      <c r="D714" s="20" t="s">
        <v>3352</v>
      </c>
      <c r="E714" s="20">
        <v>1.0</v>
      </c>
    </row>
    <row r="715">
      <c r="A715" s="184"/>
      <c r="B715" s="185" t="str">
        <f>IFERROR(__xludf.DUMMYFUNCTION("""COMPUTED_VALUE"""),"Big")</f>
        <v>Big</v>
      </c>
      <c r="C715" s="185">
        <f t="shared" si="1"/>
        <v>1</v>
      </c>
      <c r="D715" s="20" t="s">
        <v>2606</v>
      </c>
      <c r="E715" s="20">
        <v>1.0</v>
      </c>
    </row>
    <row r="716">
      <c r="A716" s="184"/>
      <c r="B716" s="185" t="str">
        <f>IFERROR(__xludf.DUMMYFUNCTION("""COMPUTED_VALUE"""),"Dino")</f>
        <v>Dino</v>
      </c>
      <c r="C716" s="185">
        <f t="shared" si="1"/>
        <v>2</v>
      </c>
      <c r="D716" s="20" t="s">
        <v>2613</v>
      </c>
      <c r="E716" s="20">
        <v>1.0</v>
      </c>
    </row>
    <row r="717">
      <c r="A717" s="184" t="str">
        <f>IFERROR(__xludf.DUMMYFUNCTION("""COMPUTED_VALUE"""),"Lightning")</f>
        <v>Lightning</v>
      </c>
      <c r="B717" s="185" t="str">
        <f>IFERROR(__xludf.DUMMYFUNCTION("""COMPUTED_VALUE"""),"Boy")</f>
        <v>Boy</v>
      </c>
      <c r="C717" s="185">
        <f t="shared" si="1"/>
        <v>2</v>
      </c>
      <c r="D717" s="20" t="s">
        <v>3353</v>
      </c>
      <c r="E717" s="20">
        <v>1.0</v>
      </c>
    </row>
    <row r="718">
      <c r="A718" s="184" t="str">
        <f>IFERROR(__xludf.DUMMYFUNCTION("""COMPUTED_VALUE"""),"Manticore")</f>
        <v>Manticore</v>
      </c>
      <c r="B718" s="185" t="str">
        <f>IFERROR(__xludf.DUMMYFUNCTION("""COMPUTED_VALUE"""),"Middle")</f>
        <v>Middle</v>
      </c>
      <c r="C718" s="185">
        <f t="shared" si="1"/>
        <v>1</v>
      </c>
      <c r="D718" s="20" t="s">
        <v>3354</v>
      </c>
      <c r="E718" s="20">
        <v>1.0</v>
      </c>
    </row>
    <row r="719">
      <c r="A719" s="184"/>
      <c r="B719" s="185" t="str">
        <f>IFERROR(__xludf.DUMMYFUNCTION("""COMPUTED_VALUE"""),"Sha'kar")</f>
        <v>Sha'kar</v>
      </c>
      <c r="C719" s="185">
        <f t="shared" si="1"/>
        <v>1</v>
      </c>
      <c r="D719" s="20" t="s">
        <v>3355</v>
      </c>
      <c r="E719" s="20">
        <v>1.0</v>
      </c>
    </row>
    <row r="720">
      <c r="A720" s="184"/>
      <c r="B720" s="185" t="str">
        <f>IFERROR(__xludf.DUMMYFUNCTION("""COMPUTED_VALUE"""),"Battlegrounds")</f>
        <v>Battlegrounds</v>
      </c>
      <c r="C720" s="185">
        <f t="shared" si="1"/>
        <v>1</v>
      </c>
      <c r="D720" s="20" t="s">
        <v>3356</v>
      </c>
      <c r="E720" s="20">
        <v>1.0</v>
      </c>
    </row>
    <row r="721">
      <c r="A721" s="184"/>
      <c r="B721" s="185" t="str">
        <f>IFERROR(__xludf.DUMMYFUNCTION("""COMPUTED_VALUE"""),"Road")</f>
        <v>Road</v>
      </c>
      <c r="C721" s="185">
        <f t="shared" si="1"/>
        <v>1</v>
      </c>
      <c r="D721" s="20" t="s">
        <v>3357</v>
      </c>
      <c r="E721" s="20">
        <v>1.0</v>
      </c>
    </row>
    <row r="722">
      <c r="A722" s="184" t="str">
        <f>IFERROR(__xludf.DUMMYFUNCTION("""COMPUTED_VALUE"""),"Featherfrost")</f>
        <v>Featherfrost</v>
      </c>
      <c r="B722" s="185" t="str">
        <f>IFERROR(__xludf.DUMMYFUNCTION("""COMPUTED_VALUE"""),"Black")</f>
        <v>Black</v>
      </c>
      <c r="C722" s="185">
        <f t="shared" si="1"/>
        <v>1</v>
      </c>
      <c r="D722" s="20" t="s">
        <v>3358</v>
      </c>
      <c r="E722" s="20">
        <v>1.0</v>
      </c>
    </row>
    <row r="723">
      <c r="A723" s="184" t="str">
        <f>IFERROR(__xludf.DUMMYFUNCTION("""COMPUTED_VALUE"""),"Harpy")</f>
        <v>Harpy</v>
      </c>
      <c r="B723" s="185" t="str">
        <f>IFERROR(__xludf.DUMMYFUNCTION("""COMPUTED_VALUE"""),"Colosseum")</f>
        <v>Colosseum</v>
      </c>
      <c r="C723" s="185">
        <f t="shared" si="1"/>
        <v>1</v>
      </c>
      <c r="D723" s="20" t="s">
        <v>3359</v>
      </c>
      <c r="E723" s="20">
        <v>1.0</v>
      </c>
    </row>
    <row r="724">
      <c r="A724" s="184"/>
      <c r="B724" s="185" t="str">
        <f>IFERROR(__xludf.DUMMYFUNCTION("""COMPUTED_VALUE"""),"Docks")</f>
        <v>Docks</v>
      </c>
      <c r="C724" s="185">
        <f t="shared" si="1"/>
        <v>1</v>
      </c>
      <c r="D724" s="20" t="s">
        <v>3360</v>
      </c>
      <c r="E724" s="20">
        <v>1.0</v>
      </c>
    </row>
    <row r="725">
      <c r="A725" s="184"/>
      <c r="B725" s="185" t="str">
        <f>IFERROR(__xludf.DUMMYFUNCTION("""COMPUTED_VALUE"""),"Despair")</f>
        <v>Despair</v>
      </c>
      <c r="C725" s="185">
        <f t="shared" si="1"/>
        <v>1</v>
      </c>
      <c r="D725" s="20" t="s">
        <v>3361</v>
      </c>
      <c r="E725" s="20">
        <v>1.0</v>
      </c>
    </row>
    <row r="726">
      <c r="A726" s="184"/>
      <c r="B726" s="185" t="str">
        <f>IFERROR(__xludf.DUMMYFUNCTION("""COMPUTED_VALUE"""),"Secret")</f>
        <v>Secret</v>
      </c>
      <c r="C726" s="185">
        <f t="shared" si="1"/>
        <v>1</v>
      </c>
      <c r="D726" s="20" t="s">
        <v>3362</v>
      </c>
      <c r="E726" s="20">
        <v>1.0</v>
      </c>
    </row>
    <row r="727">
      <c r="A727" s="184" t="str">
        <f>IFERROR(__xludf.DUMMYFUNCTION("""COMPUTED_VALUE"""),"Raging")</f>
        <v>Raging</v>
      </c>
      <c r="B727" s="185" t="str">
        <f>IFERROR(__xludf.DUMMYFUNCTION("""COMPUTED_VALUE"""),"Underwood")</f>
        <v>Underwood</v>
      </c>
      <c r="C727" s="185">
        <f t="shared" si="1"/>
        <v>1</v>
      </c>
      <c r="D727" s="20" t="s">
        <v>3363</v>
      </c>
      <c r="E727" s="20">
        <v>1.0</v>
      </c>
    </row>
    <row r="728">
      <c r="A728" s="184" t="str">
        <f>IFERROR(__xludf.DUMMYFUNCTION("""COMPUTED_VALUE"""),"Minotaur")</f>
        <v>Minotaur</v>
      </c>
      <c r="B728" s="185" t="str">
        <f>IFERROR(__xludf.DUMMYFUNCTION("""COMPUTED_VALUE"""),"Ayasha")</f>
        <v>Ayasha</v>
      </c>
      <c r="C728" s="185">
        <f t="shared" si="1"/>
        <v>1</v>
      </c>
      <c r="D728" s="20" t="s">
        <v>3364</v>
      </c>
      <c r="E728" s="20">
        <v>1.0</v>
      </c>
    </row>
    <row r="729">
      <c r="A729" s="184"/>
      <c r="B729" s="185" t="str">
        <f>IFERROR(__xludf.DUMMYFUNCTION("""COMPUTED_VALUE"""),"Monastery")</f>
        <v>Monastery</v>
      </c>
      <c r="C729" s="185">
        <f t="shared" si="1"/>
        <v>1</v>
      </c>
      <c r="D729" s="20" t="s">
        <v>3365</v>
      </c>
      <c r="E729" s="20">
        <v>1.0</v>
      </c>
    </row>
    <row r="730">
      <c r="A730" s="184"/>
      <c r="B730" s="185" t="str">
        <f>IFERROR(__xludf.DUMMYFUNCTION("""COMPUTED_VALUE"""),"Dusky")</f>
        <v>Dusky</v>
      </c>
      <c r="C730" s="185">
        <f t="shared" si="1"/>
        <v>1</v>
      </c>
      <c r="D730" s="20" t="s">
        <v>3366</v>
      </c>
      <c r="E730" s="20">
        <v>1.0</v>
      </c>
    </row>
    <row r="731">
      <c r="A731" s="184"/>
      <c r="B731" s="185" t="str">
        <f>IFERROR(__xludf.DUMMYFUNCTION("""COMPUTED_VALUE"""),"Trees")</f>
        <v>Trees</v>
      </c>
      <c r="C731" s="185">
        <f t="shared" si="1"/>
        <v>1</v>
      </c>
      <c r="D731" s="20" t="s">
        <v>3367</v>
      </c>
      <c r="E731" s="20">
        <v>1.0</v>
      </c>
    </row>
    <row r="732">
      <c r="A732" s="184" t="str">
        <f>IFERROR(__xludf.DUMMYFUNCTION("""COMPUTED_VALUE"""),"Raijin")</f>
        <v>Raijin</v>
      </c>
      <c r="B732" s="185" t="str">
        <f>IFERROR(__xludf.DUMMYFUNCTION("""COMPUTED_VALUE"""),"Empire")</f>
        <v>Empire</v>
      </c>
      <c r="C732" s="185">
        <f t="shared" si="1"/>
        <v>1</v>
      </c>
      <c r="D732" s="20" t="s">
        <v>3368</v>
      </c>
      <c r="E732" s="20">
        <v>1.0</v>
      </c>
    </row>
    <row r="733">
      <c r="A733" s="184"/>
      <c r="B733" s="185" t="str">
        <f>IFERROR(__xludf.DUMMYFUNCTION("""COMPUTED_VALUE"""),"Barracks")</f>
        <v>Barracks</v>
      </c>
      <c r="C733" s="185">
        <f t="shared" si="1"/>
        <v>1</v>
      </c>
      <c r="D733" s="20" t="s">
        <v>3369</v>
      </c>
      <c r="E733" s="20">
        <v>1.0</v>
      </c>
    </row>
    <row r="734">
      <c r="A734" s="184"/>
      <c r="B734" s="185" t="str">
        <f>IFERROR(__xludf.DUMMYFUNCTION("""COMPUTED_VALUE"""),"Still")</f>
        <v>Still</v>
      </c>
      <c r="C734" s="185">
        <f t="shared" si="1"/>
        <v>1</v>
      </c>
      <c r="D734" s="20" t="s">
        <v>3370</v>
      </c>
      <c r="E734" s="20">
        <v>1.0</v>
      </c>
    </row>
    <row r="735">
      <c r="A735" s="184"/>
      <c r="B735" s="185" t="str">
        <f>IFERROR(__xludf.DUMMYFUNCTION("""COMPUTED_VALUE"""),"Sanctuary")</f>
        <v>Sanctuary</v>
      </c>
      <c r="C735" s="185">
        <f t="shared" si="1"/>
        <v>1</v>
      </c>
      <c r="D735" s="20" t="s">
        <v>3371</v>
      </c>
      <c r="E735" s="20">
        <v>1.0</v>
      </c>
    </row>
    <row r="736">
      <c r="A736" s="184"/>
      <c r="B736" s="185" t="str">
        <f>IFERROR(__xludf.DUMMYFUNCTION("""COMPUTED_VALUE"""),"Underground")</f>
        <v>Underground</v>
      </c>
      <c r="C736" s="185">
        <f t="shared" si="1"/>
        <v>1</v>
      </c>
      <c r="D736" s="20" t="s">
        <v>3372</v>
      </c>
      <c r="E736" s="20">
        <v>1.0</v>
      </c>
    </row>
    <row r="737">
      <c r="A737" s="184" t="str">
        <f>IFERROR(__xludf.DUMMYFUNCTION("""COMPUTED_VALUE"""),"Venomshade")</f>
        <v>Venomshade</v>
      </c>
      <c r="B737" s="185" t="str">
        <f>IFERROR(__xludf.DUMMYFUNCTION("""COMPUTED_VALUE"""),"Treasury")</f>
        <v>Treasury</v>
      </c>
      <c r="C737" s="185">
        <f t="shared" si="1"/>
        <v>1</v>
      </c>
      <c r="D737" s="20" t="s">
        <v>3373</v>
      </c>
      <c r="E737" s="20">
        <v>1.0</v>
      </c>
    </row>
    <row r="738">
      <c r="A738" s="184" t="str">
        <f>IFERROR(__xludf.DUMMYFUNCTION("""COMPUTED_VALUE"""),"Lamia")</f>
        <v>Lamia</v>
      </c>
      <c r="B738" s="185" t="str">
        <f>IFERROR(__xludf.DUMMYFUNCTION("""COMPUTED_VALUE"""),"Mala'sia")</f>
        <v>Mala'sia</v>
      </c>
      <c r="C738" s="185">
        <f t="shared" si="1"/>
        <v>1</v>
      </c>
      <c r="D738" s="20" t="s">
        <v>3374</v>
      </c>
      <c r="E738" s="20">
        <v>1.0</v>
      </c>
    </row>
    <row r="739">
      <c r="A739" s="184"/>
      <c r="B739" s="185" t="str">
        <f>IFERROR(__xludf.DUMMYFUNCTION("""COMPUTED_VALUE"""),"Exchange")</f>
        <v>Exchange</v>
      </c>
      <c r="C739" s="185">
        <f t="shared" si="1"/>
        <v>1</v>
      </c>
      <c r="D739" s="20" t="s">
        <v>3375</v>
      </c>
      <c r="E739" s="20">
        <v>1.0</v>
      </c>
    </row>
    <row r="740">
      <c r="A740" s="184"/>
      <c r="B740" s="185" t="str">
        <f>IFERROR(__xludf.DUMMYFUNCTION("""COMPUTED_VALUE"""),"Place")</f>
        <v>Place</v>
      </c>
      <c r="C740" s="185">
        <f t="shared" si="1"/>
        <v>1</v>
      </c>
      <c r="D740" s="20" t="s">
        <v>3376</v>
      </c>
      <c r="E740" s="20">
        <v>1.0</v>
      </c>
    </row>
    <row r="741">
      <c r="A741" s="184"/>
      <c r="B741" s="185" t="str">
        <f>IFERROR(__xludf.DUMMYFUNCTION("""COMPUTED_VALUE"""),"Steamy")</f>
        <v>Steamy</v>
      </c>
      <c r="C741" s="185">
        <f t="shared" si="1"/>
        <v>1</v>
      </c>
      <c r="D741" s="20" t="s">
        <v>3377</v>
      </c>
      <c r="E741" s="20">
        <v>1.0</v>
      </c>
    </row>
    <row r="742">
      <c r="A742" s="184" t="str">
        <f>IFERROR(__xludf.DUMMYFUNCTION("""COMPUTED_VALUE"""),"Volcano")</f>
        <v>Volcano</v>
      </c>
      <c r="B742" s="185" t="str">
        <f>IFERROR(__xludf.DUMMYFUNCTION("""COMPUTED_VALUE"""),"Upwinds")</f>
        <v>Upwinds</v>
      </c>
      <c r="C742" s="185">
        <f t="shared" si="1"/>
        <v>1</v>
      </c>
      <c r="D742" s="20" t="s">
        <v>3378</v>
      </c>
      <c r="E742" s="20">
        <v>1.0</v>
      </c>
    </row>
    <row r="743">
      <c r="A743" s="184" t="str">
        <f>IFERROR(__xludf.DUMMYFUNCTION("""COMPUTED_VALUE"""),"Embodiment")</f>
        <v>Embodiment</v>
      </c>
      <c r="B743" s="185" t="str">
        <f>IFERROR(__xludf.DUMMYFUNCTION("""COMPUTED_VALUE"""),"Terrain")</f>
        <v>Terrain</v>
      </c>
      <c r="C743" s="185">
        <f t="shared" si="1"/>
        <v>9</v>
      </c>
      <c r="D743" s="20" t="s">
        <v>3379</v>
      </c>
      <c r="E743" s="20">
        <v>1.0</v>
      </c>
    </row>
    <row r="744">
      <c r="A744" s="184"/>
      <c r="B744" s="185" t="str">
        <f>IFERROR(__xludf.DUMMYFUNCTION("""COMPUTED_VALUE"""),"#1")</f>
        <v>#1</v>
      </c>
      <c r="C744" s="185">
        <f t="shared" si="1"/>
        <v>1</v>
      </c>
      <c r="D744" s="20" t="s">
        <v>3380</v>
      </c>
      <c r="E744" s="20">
        <v>1.0</v>
      </c>
    </row>
    <row r="745">
      <c r="A745" s="184"/>
      <c r="B745" s="185" t="str">
        <f>IFERROR(__xludf.DUMMYFUNCTION("""COMPUTED_VALUE"""),"#2")</f>
        <v>#2</v>
      </c>
      <c r="C745" s="185">
        <f t="shared" si="1"/>
        <v>1</v>
      </c>
      <c r="D745" s="20" t="s">
        <v>3381</v>
      </c>
      <c r="E745" s="20">
        <v>1.0</v>
      </c>
    </row>
    <row r="746">
      <c r="A746" s="184"/>
      <c r="B746" s="185" t="str">
        <f>IFERROR(__xludf.DUMMYFUNCTION("""COMPUTED_VALUE"""),"#3")</f>
        <v>#3</v>
      </c>
      <c r="C746" s="185">
        <f t="shared" si="1"/>
        <v>1</v>
      </c>
      <c r="D746" s="20" t="s">
        <v>3382</v>
      </c>
      <c r="E746" s="20">
        <v>1.0</v>
      </c>
    </row>
    <row r="747">
      <c r="A747" s="184" t="str">
        <f>IFERROR(__xludf.DUMMYFUNCTION("""COMPUTED_VALUE"""),"Shardhorde")</f>
        <v>Shardhorde</v>
      </c>
      <c r="B747" s="185" t="str">
        <f>IFERROR(__xludf.DUMMYFUNCTION("""COMPUTED_VALUE"""),"#4")</f>
        <v>#4</v>
      </c>
      <c r="C747" s="185">
        <f t="shared" si="1"/>
        <v>1</v>
      </c>
      <c r="D747" s="20" t="s">
        <v>3383</v>
      </c>
      <c r="E747" s="20">
        <v>1.0</v>
      </c>
    </row>
    <row r="748">
      <c r="A748" s="184" t="str">
        <f>IFERROR(__xludf.DUMMYFUNCTION("""COMPUTED_VALUE"""),"Leviathan")</f>
        <v>Leviathan</v>
      </c>
      <c r="B748" s="185" t="str">
        <f>IFERROR(__xludf.DUMMYFUNCTION("""COMPUTED_VALUE"""),"#5")</f>
        <v>#5</v>
      </c>
      <c r="C748" s="185">
        <f t="shared" si="1"/>
        <v>1</v>
      </c>
      <c r="D748" s="20" t="s">
        <v>3384</v>
      </c>
      <c r="E748" s="20">
        <v>1.0</v>
      </c>
    </row>
    <row r="749">
      <c r="A749" s="184"/>
      <c r="B749" s="185" t="str">
        <f>IFERROR(__xludf.DUMMYFUNCTION("""COMPUTED_VALUE"""),"#6")</f>
        <v>#6</v>
      </c>
      <c r="C749" s="185">
        <f t="shared" si="1"/>
        <v>1</v>
      </c>
      <c r="D749" s="20" t="s">
        <v>3385</v>
      </c>
      <c r="E749" s="20">
        <v>1.0</v>
      </c>
    </row>
    <row r="750">
      <c r="A750" s="184"/>
      <c r="B750" s="185" t="str">
        <f>IFERROR(__xludf.DUMMYFUNCTION("""COMPUTED_VALUE"""),"#7")</f>
        <v>#7</v>
      </c>
      <c r="C750" s="185">
        <f t="shared" si="1"/>
        <v>1</v>
      </c>
      <c r="D750" s="20" t="s">
        <v>3386</v>
      </c>
      <c r="E750" s="20">
        <v>1.0</v>
      </c>
    </row>
    <row r="751">
      <c r="A751" s="184"/>
      <c r="B751" s="185" t="str">
        <f>IFERROR(__xludf.DUMMYFUNCTION("""COMPUTED_VALUE"""),"#8")</f>
        <v>#8</v>
      </c>
      <c r="C751" s="185">
        <f t="shared" si="1"/>
        <v>1</v>
      </c>
      <c r="D751" s="20" t="s">
        <v>3387</v>
      </c>
      <c r="E751" s="20">
        <v>1.0</v>
      </c>
    </row>
    <row r="752">
      <c r="A752" s="184" t="str">
        <f>IFERROR(__xludf.DUMMYFUNCTION("""COMPUTED_VALUE"""),"Tectonic")</f>
        <v>Tectonic</v>
      </c>
      <c r="B752" s="185" t="str">
        <f>IFERROR(__xludf.DUMMYFUNCTION("""COMPUTED_VALUE"""),"#9")</f>
        <v>#9</v>
      </c>
      <c r="C752" s="185">
        <f t="shared" si="1"/>
        <v>1</v>
      </c>
      <c r="D752" s="20" t="s">
        <v>3388</v>
      </c>
      <c r="E752" s="20">
        <v>1.0</v>
      </c>
    </row>
    <row r="753">
      <c r="A753" s="184" t="str">
        <f>IFERROR(__xludf.DUMMYFUNCTION("""COMPUTED_VALUE"""),"Shifter")</f>
        <v>Shifter</v>
      </c>
      <c r="B753" s="185" t="str">
        <f>IFERROR(__xludf.DUMMYFUNCTION("""COMPUTED_VALUE"""),"Meek")</f>
        <v>Meek</v>
      </c>
      <c r="C753" s="185">
        <f t="shared" si="1"/>
        <v>1</v>
      </c>
      <c r="D753" s="20" t="s">
        <v>3389</v>
      </c>
      <c r="E753" s="20">
        <v>1.0</v>
      </c>
    </row>
    <row r="754">
      <c r="A754" s="184"/>
      <c r="B754" s="185" t="str">
        <f>IFERROR(__xludf.DUMMYFUNCTION("""COMPUTED_VALUE"""),"Mellows")</f>
        <v>Mellows</v>
      </c>
      <c r="C754" s="185">
        <f t="shared" si="1"/>
        <v>1</v>
      </c>
      <c r="D754" s="20" t="s">
        <v>3390</v>
      </c>
      <c r="E754" s="20">
        <v>1.0</v>
      </c>
    </row>
    <row r="755">
      <c r="A755" s="184"/>
      <c r="B755" s="185" t="str">
        <f>IFERROR(__xludf.DUMMYFUNCTION("""COMPUTED_VALUE"""),"Thundering")</f>
        <v>Thundering</v>
      </c>
      <c r="C755" s="185">
        <f t="shared" si="1"/>
        <v>1</v>
      </c>
      <c r="D755" s="20" t="s">
        <v>3391</v>
      </c>
      <c r="E755" s="20">
        <v>1.0</v>
      </c>
    </row>
    <row r="756">
      <c r="A756" s="184"/>
      <c r="B756" s="185" t="str">
        <f>IFERROR(__xludf.DUMMYFUNCTION("""COMPUTED_VALUE"""),"Valley")</f>
        <v>Valley</v>
      </c>
      <c r="C756" s="185">
        <f t="shared" si="1"/>
        <v>1</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IFERROR(__xludf.DUMMYFUNCTION("""COMPUTED_VALUE"""),"Colosseum")</f>
        <v>Colosseum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t="str">
        <f>IFERROR(__xludf.DUMMYFUNCTION("""COMPUTED_VALUE"""),"Thundering")</f>
        <v>Thundering</v>
      </c>
      <c r="B2262" s="185"/>
      <c r="C2262" s="185"/>
      <c r="D2262" s="20"/>
      <c r="E2262" s="20"/>
    </row>
    <row r="2263">
      <c r="A2263" s="184" t="str">
        <f>IFERROR(__xludf.DUMMYFUNCTION("""COMPUTED_VALUE"""),"Valley")</f>
        <v>Valley</v>
      </c>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row r="3137">
      <c r="A3137" s="184"/>
      <c r="B3137" s="185"/>
      <c r="C3137" s="185"/>
      <c r="D3137" s="20"/>
      <c r="E3137" s="20"/>
    </row>
    <row r="3138">
      <c r="A3138" s="184"/>
      <c r="B3138" s="185"/>
      <c r="C3138" s="185"/>
      <c r="D3138" s="20"/>
      <c r="E3138" s="20"/>
    </row>
    <row r="3139">
      <c r="A3139" s="184"/>
      <c r="B3139" s="185"/>
      <c r="C3139" s="185"/>
      <c r="D3139" s="20"/>
      <c r="E3139" s="20"/>
    </row>
    <row r="3140">
      <c r="A3140" s="184"/>
      <c r="B3140" s="185"/>
      <c r="C3140" s="185"/>
      <c r="D3140" s="20"/>
      <c r="E3140" s="20"/>
    </row>
    <row r="3141">
      <c r="A3141" s="184"/>
      <c r="B3141" s="185"/>
      <c r="C3141" s="185"/>
      <c r="D3141" s="20"/>
      <c r="E3141" s="20"/>
    </row>
    <row r="3142">
      <c r="A3142" s="184"/>
      <c r="B3142" s="185"/>
      <c r="C3142" s="185"/>
      <c r="D3142" s="20"/>
      <c r="E3142" s="20"/>
    </row>
    <row r="3143">
      <c r="A3143" s="184"/>
      <c r="B3143" s="185"/>
      <c r="C3143" s="185"/>
      <c r="D3143" s="20"/>
      <c r="E3143" s="20"/>
    </row>
    <row r="3144">
      <c r="A3144" s="184"/>
      <c r="B3144" s="185"/>
      <c r="C3144" s="185"/>
      <c r="D3144" s="20"/>
      <c r="E3144" s="20"/>
    </row>
    <row r="3145">
      <c r="A3145" s="184"/>
      <c r="B3145" s="185"/>
      <c r="C3145" s="185"/>
      <c r="D3145" s="20"/>
      <c r="E3145" s="20"/>
    </row>
    <row r="3146">
      <c r="A3146" s="184"/>
      <c r="B3146" s="185"/>
      <c r="C3146" s="185"/>
      <c r="D3146" s="20"/>
      <c r="E3146" s="20"/>
    </row>
    <row r="3147">
      <c r="A3147" s="184"/>
      <c r="B3147" s="185"/>
      <c r="C3147" s="185"/>
      <c r="D3147" s="20"/>
      <c r="E3147" s="20"/>
    </row>
    <row r="3148">
      <c r="A3148" s="184"/>
      <c r="B3148" s="185"/>
      <c r="C3148" s="185"/>
      <c r="D3148" s="20"/>
      <c r="E3148" s="20"/>
    </row>
    <row r="3149">
      <c r="A3149" s="184"/>
      <c r="B3149" s="185"/>
      <c r="C3149" s="185"/>
      <c r="D3149" s="20"/>
      <c r="E3149" s="20"/>
    </row>
    <row r="3150">
      <c r="A3150" s="184"/>
      <c r="B3150" s="185"/>
      <c r="C3150" s="185"/>
      <c r="D3150" s="20"/>
      <c r="E3150" s="20"/>
    </row>
    <row r="3151">
      <c r="A3151" s="184"/>
      <c r="B3151" s="185"/>
      <c r="C3151" s="185"/>
      <c r="D3151" s="20"/>
      <c r="E3151" s="20"/>
    </row>
    <row r="3152">
      <c r="A3152" s="184"/>
      <c r="B3152" s="185"/>
      <c r="C3152" s="185"/>
      <c r="D3152" s="20"/>
      <c r="E3152" s="20"/>
    </row>
    <row r="3153">
      <c r="A3153" s="184"/>
      <c r="B3153" s="185"/>
      <c r="C3153" s="185"/>
      <c r="D3153" s="20"/>
      <c r="E3153" s="20"/>
    </row>
    <row r="3154">
      <c r="A3154" s="184"/>
      <c r="B3154" s="185"/>
      <c r="C3154" s="185"/>
      <c r="D3154" s="20"/>
      <c r="E3154" s="20"/>
    </row>
    <row r="3155">
      <c r="A3155" s="184"/>
      <c r="B3155" s="185"/>
      <c r="C3155" s="185"/>
      <c r="D3155" s="20"/>
      <c r="E3155" s="20"/>
    </row>
    <row r="3156">
      <c r="A3156" s="184"/>
      <c r="B3156" s="185"/>
      <c r="C3156" s="185"/>
      <c r="D3156" s="20"/>
      <c r="E3156" s="20"/>
    </row>
    <row r="3157">
      <c r="A3157" s="184"/>
      <c r="B3157" s="185"/>
      <c r="C3157" s="185"/>
      <c r="D3157" s="20"/>
      <c r="E3157" s="20"/>
    </row>
    <row r="3158">
      <c r="A3158" s="184"/>
      <c r="B3158" s="185"/>
      <c r="C3158" s="185"/>
      <c r="D3158" s="20"/>
      <c r="E3158" s="20"/>
    </row>
    <row r="3159">
      <c r="A3159" s="184"/>
      <c r="B3159" s="185"/>
      <c r="C3159" s="185"/>
      <c r="D3159" s="20"/>
      <c r="E3159" s="20"/>
    </row>
    <row r="3160">
      <c r="A3160" s="184"/>
      <c r="B3160" s="185"/>
      <c r="C3160" s="185"/>
      <c r="D3160" s="20"/>
      <c r="E3160" s="20"/>
    </row>
    <row r="3161">
      <c r="A3161" s="184"/>
      <c r="B3161" s="185"/>
      <c r="C3161" s="185"/>
      <c r="D3161" s="20"/>
      <c r="E3161" s="20"/>
    </row>
    <row r="3162">
      <c r="A3162" s="184"/>
      <c r="B3162" s="185"/>
      <c r="C3162" s="185"/>
      <c r="D3162" s="20"/>
      <c r="E3162" s="20"/>
    </row>
    <row r="3163">
      <c r="A3163" s="184"/>
      <c r="B3163" s="185"/>
      <c r="C3163" s="185"/>
      <c r="D3163" s="20"/>
      <c r="E3163" s="20"/>
    </row>
    <row r="3164">
      <c r="A3164" s="184"/>
      <c r="B3164" s="185"/>
      <c r="C3164" s="185"/>
      <c r="D3164" s="20"/>
      <c r="E3164" s="20"/>
    </row>
    <row r="3165">
      <c r="A3165" s="184"/>
      <c r="B3165" s="185"/>
      <c r="C3165" s="185"/>
      <c r="D3165" s="20"/>
      <c r="E3165" s="20"/>
    </row>
    <row r="3166">
      <c r="A3166" s="184"/>
      <c r="B3166" s="185"/>
      <c r="C3166" s="185"/>
      <c r="D3166" s="20"/>
      <c r="E3166" s="20"/>
    </row>
    <row r="3167">
      <c r="A3167" s="184"/>
      <c r="B3167" s="185"/>
      <c r="C3167" s="185"/>
      <c r="D3167" s="20"/>
      <c r="E3167" s="20"/>
    </row>
    <row r="3168">
      <c r="A3168" s="184"/>
      <c r="B3168" s="185"/>
      <c r="C3168" s="185"/>
      <c r="D3168" s="20"/>
      <c r="E3168" s="20"/>
    </row>
    <row r="3169">
      <c r="A3169" s="184"/>
      <c r="B3169" s="185"/>
      <c r="C3169" s="185"/>
      <c r="D3169" s="20"/>
      <c r="E3169" s="20"/>
    </row>
    <row r="3170">
      <c r="A3170" s="184"/>
      <c r="B3170" s="185"/>
      <c r="C3170" s="185"/>
      <c r="D3170" s="20"/>
      <c r="E3170" s="20"/>
    </row>
    <row r="3171">
      <c r="A3171" s="184"/>
      <c r="B3171" s="185"/>
      <c r="C3171" s="185"/>
      <c r="D3171" s="20"/>
      <c r="E3171" s="20"/>
    </row>
    <row r="3172">
      <c r="A3172" s="184"/>
      <c r="B3172" s="185"/>
      <c r="C3172" s="185"/>
      <c r="D3172" s="20"/>
      <c r="E3172" s="20"/>
    </row>
    <row r="3173">
      <c r="A3173" s="184"/>
      <c r="B3173" s="185"/>
      <c r="C3173" s="185"/>
      <c r="D3173" s="20"/>
      <c r="E3173" s="20"/>
    </row>
    <row r="3174">
      <c r="A3174" s="184"/>
      <c r="B3174" s="185"/>
      <c r="C3174" s="185"/>
      <c r="D3174" s="20"/>
      <c r="E3174" s="20"/>
    </row>
    <row r="3175">
      <c r="A3175" s="184"/>
      <c r="B3175" s="185"/>
      <c r="C3175" s="185"/>
      <c r="D3175" s="20"/>
      <c r="E3175" s="20"/>
    </row>
    <row r="3176">
      <c r="A3176" s="184"/>
      <c r="B3176" s="185"/>
      <c r="C3176" s="185"/>
      <c r="D3176" s="20"/>
      <c r="E3176" s="20"/>
    </row>
    <row r="3177">
      <c r="A3177" s="184"/>
      <c r="B3177" s="185"/>
      <c r="C3177" s="185"/>
      <c r="D3177" s="20"/>
      <c r="E3177" s="20"/>
    </row>
    <row r="3178">
      <c r="A3178" s="184"/>
      <c r="B3178" s="185"/>
      <c r="C3178" s="185"/>
      <c r="D3178" s="20"/>
      <c r="E3178" s="20"/>
    </row>
    <row r="3179">
      <c r="A3179" s="184"/>
      <c r="B3179" s="185"/>
      <c r="C3179" s="185"/>
      <c r="D3179" s="20"/>
      <c r="E3179" s="20"/>
    </row>
    <row r="3180">
      <c r="A3180" s="184"/>
      <c r="B3180" s="185"/>
      <c r="C3180" s="185"/>
      <c r="D3180" s="20"/>
      <c r="E3180" s="20"/>
    </row>
    <row r="3181">
      <c r="A3181" s="184"/>
      <c r="B3181" s="185"/>
      <c r="C3181" s="185"/>
      <c r="D3181" s="20"/>
      <c r="E3181" s="20"/>
    </row>
    <row r="3182">
      <c r="A3182" s="184"/>
      <c r="B3182" s="185"/>
      <c r="C3182" s="185"/>
      <c r="D3182" s="20"/>
      <c r="E3182" s="20"/>
    </row>
    <row r="3183">
      <c r="A3183" s="184"/>
      <c r="B3183" s="185"/>
      <c r="C3183" s="185"/>
      <c r="D3183" s="20"/>
      <c r="E3183" s="20"/>
    </row>
    <row r="3184">
      <c r="A3184" s="184"/>
      <c r="B3184" s="185"/>
      <c r="C3184" s="185"/>
      <c r="D3184" s="20"/>
      <c r="E3184" s="20"/>
    </row>
    <row r="3185">
      <c r="A3185" s="184"/>
      <c r="B3185" s="185"/>
      <c r="C3185" s="185"/>
      <c r="D3185" s="20"/>
      <c r="E3185" s="20"/>
    </row>
    <row r="3186">
      <c r="A3186" s="184"/>
      <c r="B3186" s="185"/>
      <c r="C3186" s="185"/>
      <c r="D3186" s="20"/>
      <c r="E3186" s="20"/>
    </row>
    <row r="3187">
      <c r="A3187" s="184"/>
      <c r="B3187" s="185"/>
      <c r="C3187" s="185"/>
      <c r="D3187" s="20"/>
      <c r="E3187" s="20"/>
    </row>
    <row r="3188">
      <c r="A3188" s="184"/>
      <c r="B3188" s="185"/>
      <c r="C3188" s="185"/>
      <c r="D3188" s="20"/>
      <c r="E3188" s="20"/>
    </row>
    <row r="3189">
      <c r="A3189" s="184"/>
      <c r="B3189" s="185"/>
      <c r="C3189" s="185"/>
      <c r="D3189" s="20"/>
      <c r="E3189" s="20"/>
    </row>
    <row r="3190">
      <c r="A3190" s="184"/>
      <c r="B3190" s="185"/>
      <c r="C3190" s="185"/>
      <c r="D3190" s="20"/>
      <c r="E3190" s="20"/>
    </row>
    <row r="3191">
      <c r="A3191" s="184"/>
      <c r="B3191" s="185"/>
      <c r="C3191" s="185"/>
      <c r="D3191" s="20"/>
      <c r="E3191" s="20"/>
    </row>
    <row r="3192">
      <c r="A3192" s="184"/>
      <c r="B3192" s="185"/>
      <c r="C3192" s="185"/>
      <c r="D3192" s="20"/>
      <c r="E3192" s="20"/>
    </row>
    <row r="3193">
      <c r="A3193" s="184"/>
      <c r="B3193" s="185"/>
      <c r="C3193" s="185"/>
      <c r="D3193" s="20"/>
      <c r="E3193" s="20"/>
    </row>
    <row r="3194">
      <c r="A3194" s="184"/>
      <c r="B3194" s="185"/>
      <c r="C3194" s="185"/>
      <c r="D3194" s="20"/>
      <c r="E3194" s="20"/>
    </row>
    <row r="3195">
      <c r="A3195" s="184"/>
      <c r="B3195" s="185"/>
      <c r="C3195" s="185"/>
      <c r="D3195" s="20"/>
      <c r="E3195" s="20"/>
    </row>
    <row r="3196">
      <c r="A3196" s="184"/>
      <c r="B3196" s="185"/>
      <c r="C3196" s="185"/>
      <c r="D3196" s="20"/>
      <c r="E3196" s="20"/>
    </row>
    <row r="3197">
      <c r="A3197" s="184"/>
      <c r="B3197" s="185"/>
      <c r="C3197" s="185"/>
      <c r="D3197" s="20"/>
      <c r="E3197" s="20"/>
    </row>
    <row r="3198">
      <c r="A3198" s="184"/>
      <c r="B3198" s="185"/>
      <c r="C3198" s="185"/>
      <c r="D3198" s="20"/>
      <c r="E3198" s="20"/>
    </row>
    <row r="3199">
      <c r="A3199" s="184"/>
      <c r="B3199" s="185"/>
      <c r="C3199" s="185"/>
      <c r="D3199" s="20"/>
      <c r="E3199" s="20"/>
    </row>
    <row r="3200">
      <c r="A3200" s="184"/>
      <c r="B3200" s="185"/>
      <c r="C3200" s="185"/>
      <c r="D3200" s="20"/>
      <c r="E3200" s="20"/>
    </row>
    <row r="3201">
      <c r="A3201" s="184"/>
      <c r="B3201" s="185"/>
      <c r="C3201" s="185"/>
      <c r="D3201" s="20"/>
      <c r="E3201" s="20"/>
    </row>
    <row r="3202">
      <c r="A3202" s="184"/>
      <c r="B3202" s="185"/>
      <c r="C3202" s="185"/>
      <c r="D3202" s="20"/>
      <c r="E3202" s="20"/>
    </row>
    <row r="3203">
      <c r="A3203" s="184"/>
      <c r="B3203" s="185"/>
      <c r="C3203" s="185"/>
      <c r="D3203" s="20"/>
      <c r="E3203" s="20"/>
    </row>
    <row r="3204">
      <c r="A3204" s="184"/>
      <c r="B3204" s="185"/>
      <c r="C3204" s="185"/>
      <c r="D3204" s="20"/>
      <c r="E3204" s="20"/>
    </row>
    <row r="3205">
      <c r="A3205" s="184"/>
      <c r="B3205" s="185"/>
      <c r="C3205" s="185"/>
      <c r="D3205" s="20"/>
      <c r="E3205" s="20"/>
    </row>
    <row r="3206">
      <c r="A3206" s="184"/>
      <c r="B3206" s="185"/>
      <c r="C3206" s="185"/>
      <c r="D3206" s="20"/>
      <c r="E3206" s="20"/>
    </row>
    <row r="3207">
      <c r="A3207" s="184"/>
      <c r="B3207" s="185"/>
      <c r="C3207" s="185"/>
      <c r="D3207" s="20"/>
      <c r="E3207" s="20"/>
    </row>
    <row r="3208">
      <c r="A3208" s="184"/>
      <c r="B3208" s="185"/>
      <c r="C3208" s="185"/>
      <c r="D3208" s="20"/>
      <c r="E3208" s="20"/>
    </row>
    <row r="3209">
      <c r="A3209" s="184"/>
      <c r="B3209" s="185"/>
      <c r="C3209" s="185"/>
      <c r="D3209" s="20"/>
      <c r="E3209" s="20"/>
    </row>
    <row r="3210">
      <c r="A3210" s="184"/>
      <c r="B3210" s="185"/>
      <c r="C3210" s="185"/>
      <c r="D3210" s="20"/>
      <c r="E3210" s="20"/>
    </row>
    <row r="3211">
      <c r="A3211" s="184"/>
      <c r="B3211" s="185"/>
      <c r="C3211" s="185"/>
      <c r="D3211" s="20"/>
      <c r="E3211" s="20"/>
    </row>
    <row r="3212">
      <c r="A3212" s="184"/>
      <c r="B3212" s="185"/>
      <c r="C3212" s="185"/>
      <c r="D3212" s="20"/>
      <c r="E3212" s="20"/>
    </row>
    <row r="3213">
      <c r="A3213" s="184"/>
      <c r="B3213" s="185"/>
      <c r="C3213" s="185"/>
      <c r="D3213" s="20"/>
      <c r="E3213" s="20"/>
    </row>
    <row r="3214">
      <c r="A3214" s="184"/>
      <c r="B3214" s="185"/>
      <c r="C3214" s="185"/>
      <c r="D3214" s="20"/>
      <c r="E3214" s="20"/>
    </row>
    <row r="3215">
      <c r="A3215" s="184"/>
      <c r="B3215" s="185"/>
      <c r="C3215" s="185"/>
      <c r="D3215" s="20"/>
      <c r="E3215" s="20"/>
    </row>
    <row r="3216">
      <c r="A3216" s="184"/>
      <c r="B3216" s="185"/>
      <c r="C3216" s="185"/>
      <c r="D3216" s="20"/>
      <c r="E3216" s="20"/>
    </row>
    <row r="3217">
      <c r="A3217" s="184"/>
      <c r="B3217" s="185"/>
      <c r="C3217" s="185"/>
      <c r="D3217" s="20"/>
      <c r="E3217" s="20"/>
    </row>
    <row r="3218">
      <c r="A3218" s="184"/>
      <c r="B3218" s="185"/>
      <c r="C3218" s="185"/>
      <c r="D3218" s="20"/>
      <c r="E3218" s="20"/>
    </row>
    <row r="3219">
      <c r="A3219" s="184"/>
      <c r="B3219" s="185"/>
      <c r="C3219" s="185"/>
      <c r="D3219" s="20"/>
      <c r="E3219" s="20"/>
    </row>
    <row r="3220">
      <c r="A3220" s="184"/>
      <c r="B3220" s="185"/>
      <c r="C3220" s="185"/>
      <c r="D3220" s="20"/>
      <c r="E3220" s="20"/>
    </row>
    <row r="3221">
      <c r="A3221" s="184"/>
      <c r="B3221" s="185"/>
      <c r="C3221" s="185"/>
      <c r="D3221" s="20"/>
      <c r="E3221" s="20"/>
    </row>
    <row r="3222">
      <c r="A3222" s="184"/>
      <c r="B3222" s="185"/>
      <c r="C3222" s="185"/>
      <c r="D3222" s="20"/>
      <c r="E3222" s="20"/>
    </row>
    <row r="3223">
      <c r="A3223" s="184"/>
      <c r="B3223" s="185"/>
      <c r="C3223" s="185"/>
      <c r="D3223" s="20"/>
      <c r="E3223" s="20"/>
    </row>
    <row r="3224">
      <c r="A3224" s="184"/>
      <c r="B3224" s="185"/>
      <c r="C3224" s="185"/>
      <c r="D3224" s="20"/>
      <c r="E3224" s="20"/>
    </row>
    <row r="3225">
      <c r="A3225" s="184"/>
      <c r="B3225" s="185"/>
      <c r="C3225" s="185"/>
      <c r="D3225" s="20"/>
      <c r="E3225" s="20"/>
    </row>
    <row r="3226">
      <c r="A3226" s="184"/>
      <c r="B3226" s="185"/>
      <c r="C3226" s="185"/>
      <c r="D3226" s="20"/>
      <c r="E3226" s="20"/>
    </row>
    <row r="3227">
      <c r="A3227" s="184"/>
      <c r="B3227" s="185"/>
      <c r="C3227" s="185"/>
      <c r="D3227" s="20"/>
      <c r="E3227" s="20"/>
    </row>
    <row r="3228">
      <c r="A3228" s="184"/>
      <c r="B3228" s="185"/>
      <c r="C3228" s="185"/>
      <c r="D3228" s="20"/>
      <c r="E3228" s="20"/>
    </row>
    <row r="3229">
      <c r="A3229" s="184"/>
      <c r="B3229" s="185"/>
      <c r="C3229" s="185"/>
      <c r="D3229" s="20"/>
      <c r="E3229" s="20"/>
    </row>
    <row r="3230">
      <c r="A3230" s="184"/>
      <c r="B3230" s="185"/>
      <c r="C3230" s="185"/>
      <c r="D3230" s="20"/>
      <c r="E3230" s="20"/>
    </row>
    <row r="3231">
      <c r="A3231" s="184"/>
      <c r="B3231" s="185"/>
      <c r="C3231" s="185"/>
      <c r="D3231" s="20"/>
      <c r="E3231" s="20"/>
    </row>
    <row r="3232">
      <c r="A3232" s="184"/>
      <c r="B3232" s="185"/>
      <c r="C3232" s="185"/>
      <c r="D3232" s="20"/>
      <c r="E3232" s="20"/>
    </row>
    <row r="3233">
      <c r="A3233" s="184"/>
      <c r="B3233" s="185"/>
      <c r="C3233" s="185"/>
      <c r="D3233" s="20"/>
      <c r="E3233" s="20"/>
    </row>
    <row r="3234">
      <c r="A3234" s="184"/>
      <c r="B3234" s="185"/>
      <c r="C3234" s="185"/>
      <c r="D3234" s="20"/>
      <c r="E3234" s="20"/>
    </row>
    <row r="3235">
      <c r="A3235" s="184"/>
      <c r="B3235" s="185"/>
      <c r="C3235" s="185"/>
      <c r="D3235" s="20"/>
      <c r="E3235" s="20"/>
    </row>
    <row r="3236">
      <c r="A3236" s="184"/>
      <c r="B3236" s="185"/>
      <c r="C3236" s="185"/>
      <c r="D3236" s="20"/>
      <c r="E3236" s="20"/>
    </row>
    <row r="3237">
      <c r="A3237" s="184"/>
      <c r="B3237" s="185"/>
      <c r="C3237" s="185"/>
      <c r="D3237" s="20"/>
      <c r="E3237" s="20"/>
    </row>
    <row r="3238">
      <c r="A3238" s="184"/>
      <c r="B3238" s="185"/>
      <c r="C3238" s="185"/>
      <c r="D3238" s="20"/>
      <c r="E3238" s="20"/>
    </row>
    <row r="3239">
      <c r="A3239" s="184"/>
      <c r="B3239" s="185"/>
      <c r="C3239" s="185"/>
      <c r="D3239" s="20"/>
      <c r="E3239" s="20"/>
    </row>
    <row r="3240">
      <c r="A3240" s="184"/>
      <c r="B3240" s="185"/>
      <c r="C3240" s="185"/>
      <c r="D3240" s="20"/>
      <c r="E3240" s="20"/>
    </row>
    <row r="3241">
      <c r="A3241" s="184"/>
      <c r="B3241" s="185"/>
      <c r="C3241" s="185"/>
      <c r="D3241" s="20"/>
      <c r="E3241" s="20"/>
    </row>
    <row r="3242">
      <c r="A3242" s="184"/>
      <c r="B3242" s="185"/>
      <c r="C3242" s="185"/>
      <c r="D3242" s="20"/>
      <c r="E3242" s="20"/>
    </row>
    <row r="3243">
      <c r="A3243" s="184"/>
      <c r="B3243" s="185"/>
      <c r="C3243" s="185"/>
      <c r="D3243" s="20"/>
      <c r="E3243" s="20"/>
    </row>
    <row r="3244">
      <c r="A3244" s="184"/>
      <c r="B3244" s="185"/>
      <c r="C3244" s="185"/>
      <c r="D3244" s="20"/>
      <c r="E3244" s="20"/>
    </row>
    <row r="3245">
      <c r="A3245" s="184"/>
      <c r="B3245" s="185"/>
      <c r="C3245" s="185"/>
      <c r="D3245" s="20"/>
      <c r="E3245" s="20"/>
    </row>
    <row r="3246">
      <c r="A3246" s="184"/>
      <c r="B3246" s="185"/>
      <c r="C3246" s="185"/>
      <c r="D3246" s="20"/>
      <c r="E3246" s="20"/>
    </row>
    <row r="3247">
      <c r="A3247" s="184"/>
      <c r="B3247" s="185"/>
      <c r="C3247" s="185"/>
      <c r="D3247" s="20"/>
      <c r="E3247" s="20"/>
    </row>
    <row r="3248">
      <c r="A3248" s="184"/>
      <c r="B3248" s="185"/>
      <c r="C3248" s="185"/>
      <c r="D3248" s="20"/>
      <c r="E3248" s="20"/>
    </row>
    <row r="3249">
      <c r="A3249" s="184"/>
      <c r="B3249" s="185"/>
      <c r="C3249" s="185"/>
      <c r="D3249" s="20"/>
      <c r="E3249" s="20"/>
    </row>
    <row r="3250">
      <c r="A3250" s="184"/>
      <c r="B3250" s="185"/>
      <c r="C3250" s="185"/>
      <c r="D3250" s="20"/>
      <c r="E3250" s="20"/>
    </row>
    <row r="3251">
      <c r="A3251" s="184"/>
      <c r="B3251" s="185"/>
      <c r="C3251" s="185"/>
      <c r="D3251" s="20"/>
      <c r="E3251" s="20"/>
    </row>
    <row r="3252">
      <c r="A3252" s="184"/>
      <c r="B3252" s="185"/>
      <c r="C3252" s="185"/>
      <c r="D3252" s="20"/>
      <c r="E3252" s="20"/>
    </row>
    <row r="3253">
      <c r="A3253" s="184"/>
      <c r="B3253" s="185"/>
      <c r="C3253" s="185"/>
      <c r="D3253" s="20"/>
      <c r="E3253" s="20"/>
    </row>
    <row r="3254">
      <c r="A3254" s="184"/>
      <c r="B3254" s="185"/>
      <c r="C3254" s="185"/>
      <c r="D3254" s="20"/>
      <c r="E3254" s="20"/>
    </row>
    <row r="3255">
      <c r="A3255" s="184"/>
      <c r="B3255" s="185"/>
      <c r="C3255" s="185"/>
      <c r="D3255" s="20"/>
      <c r="E3255" s="20"/>
    </row>
    <row r="3256">
      <c r="A3256" s="184"/>
      <c r="B3256" s="185"/>
      <c r="C3256" s="185"/>
      <c r="D3256" s="20"/>
      <c r="E3256" s="20"/>
    </row>
    <row r="3257">
      <c r="A3257" s="184"/>
      <c r="B3257" s="185"/>
      <c r="C3257" s="185"/>
      <c r="D3257" s="20"/>
      <c r="E3257" s="20"/>
    </row>
    <row r="3258">
      <c r="A3258" s="184"/>
      <c r="B3258" s="185"/>
      <c r="C3258" s="185"/>
      <c r="D3258" s="20"/>
      <c r="E3258" s="20"/>
    </row>
    <row r="3259">
      <c r="A3259" s="184"/>
      <c r="B3259" s="185"/>
      <c r="C3259" s="185"/>
      <c r="D3259" s="20"/>
      <c r="E3259" s="20"/>
    </row>
    <row r="3260">
      <c r="A3260" s="184"/>
      <c r="B3260" s="185"/>
      <c r="C3260" s="185"/>
      <c r="D3260" s="20"/>
      <c r="E3260" s="20"/>
    </row>
    <row r="3261">
      <c r="A3261" s="184"/>
      <c r="B3261" s="185"/>
      <c r="C3261" s="185"/>
      <c r="D3261" s="20"/>
      <c r="E3261" s="20"/>
    </row>
    <row r="3262">
      <c r="A3262" s="184"/>
      <c r="B3262" s="185"/>
      <c r="C3262" s="185"/>
      <c r="D3262" s="20"/>
      <c r="E3262" s="20"/>
    </row>
    <row r="3263">
      <c r="A3263" s="184"/>
      <c r="B3263" s="185"/>
      <c r="C3263" s="185"/>
      <c r="D3263" s="20"/>
      <c r="E3263" s="20"/>
    </row>
    <row r="3264">
      <c r="A3264" s="184"/>
      <c r="B3264" s="185"/>
      <c r="C3264" s="185"/>
      <c r="D3264" s="20"/>
      <c r="E3264" s="20"/>
    </row>
    <row r="3265">
      <c r="A3265" s="184"/>
      <c r="B3265" s="185"/>
      <c r="C3265" s="185"/>
      <c r="D3265" s="20"/>
      <c r="E3265" s="20"/>
    </row>
    <row r="3266">
      <c r="A3266" s="184"/>
      <c r="B3266" s="185"/>
      <c r="C3266" s="185"/>
      <c r="D3266" s="20"/>
      <c r="E3266" s="20"/>
    </row>
    <row r="3267">
      <c r="A3267" s="184"/>
      <c r="B3267" s="185"/>
      <c r="C3267" s="185"/>
      <c r="D3267" s="20"/>
      <c r="E3267" s="20"/>
    </row>
    <row r="3268">
      <c r="A3268" s="184"/>
      <c r="B3268" s="185"/>
      <c r="C3268" s="185"/>
      <c r="D3268" s="20"/>
      <c r="E3268" s="20"/>
    </row>
    <row r="3269">
      <c r="A3269" s="184"/>
      <c r="B3269" s="185"/>
      <c r="C3269" s="185"/>
      <c r="D3269" s="20"/>
      <c r="E3269" s="20"/>
    </row>
    <row r="3270">
      <c r="A3270" s="184"/>
      <c r="B3270" s="185"/>
      <c r="C3270" s="185"/>
      <c r="D3270" s="20"/>
      <c r="E3270" s="20"/>
    </row>
    <row r="3271">
      <c r="A3271" s="184"/>
      <c r="B3271" s="185"/>
      <c r="C3271" s="185"/>
      <c r="D3271" s="20"/>
      <c r="E3271" s="20"/>
    </row>
    <row r="3272">
      <c r="A3272" s="184"/>
      <c r="B3272" s="185"/>
      <c r="C3272" s="185"/>
      <c r="D3272" s="20"/>
      <c r="E3272" s="20"/>
    </row>
    <row r="3273">
      <c r="A3273" s="184"/>
      <c r="B3273" s="185"/>
      <c r="C3273" s="185"/>
      <c r="D3273" s="20"/>
      <c r="E3273" s="20"/>
    </row>
    <row r="3274">
      <c r="A3274" s="184"/>
      <c r="B3274" s="185"/>
      <c r="C3274" s="185"/>
      <c r="D3274" s="20"/>
      <c r="E3274" s="20"/>
    </row>
    <row r="3275">
      <c r="A3275" s="184"/>
      <c r="B3275" s="185"/>
      <c r="C3275" s="185"/>
      <c r="D3275" s="20"/>
      <c r="E3275" s="20"/>
    </row>
    <row r="3276">
      <c r="A3276" s="184"/>
      <c r="B3276" s="185"/>
      <c r="C3276" s="185"/>
      <c r="D3276" s="20"/>
      <c r="E3276" s="20"/>
    </row>
    <row r="3277">
      <c r="A3277" s="184"/>
      <c r="B3277" s="185"/>
      <c r="C3277" s="185"/>
      <c r="D3277" s="20"/>
      <c r="E3277" s="20"/>
    </row>
    <row r="3278">
      <c r="A3278" s="184"/>
      <c r="B3278" s="185"/>
      <c r="C3278" s="185"/>
      <c r="D3278" s="20"/>
      <c r="E3278" s="20"/>
    </row>
    <row r="3279">
      <c r="A3279" s="184"/>
      <c r="B3279" s="185"/>
      <c r="C3279" s="185"/>
      <c r="D3279" s="20"/>
      <c r="E3279" s="20"/>
    </row>
    <row r="3280">
      <c r="A3280" s="184"/>
      <c r="B3280" s="185"/>
      <c r="C3280" s="185"/>
      <c r="D3280" s="20"/>
      <c r="E3280" s="20"/>
    </row>
    <row r="3281">
      <c r="A3281" s="184"/>
      <c r="B3281" s="185"/>
      <c r="C3281" s="185"/>
      <c r="D3281" s="20"/>
      <c r="E3281" s="20"/>
    </row>
    <row r="3282">
      <c r="A3282" s="184"/>
      <c r="B3282" s="185"/>
      <c r="C3282" s="185"/>
      <c r="D3282" s="20"/>
      <c r="E3282" s="20"/>
    </row>
    <row r="3283">
      <c r="A3283" s="184"/>
      <c r="B3283" s="185"/>
      <c r="C3283" s="185"/>
      <c r="D3283" s="20"/>
      <c r="E3283" s="20"/>
    </row>
    <row r="3284">
      <c r="A3284" s="184"/>
      <c r="B3284" s="185"/>
      <c r="C3284" s="185"/>
      <c r="D3284" s="20"/>
      <c r="E3284" s="20"/>
    </row>
    <row r="3285">
      <c r="A3285" s="184"/>
      <c r="B3285" s="185"/>
      <c r="C3285" s="185"/>
      <c r="D3285" s="20"/>
      <c r="E3285" s="20"/>
    </row>
    <row r="3286">
      <c r="A3286" s="184"/>
      <c r="B3286" s="185"/>
      <c r="C3286" s="185"/>
      <c r="D3286" s="20"/>
      <c r="E3286" s="20"/>
    </row>
    <row r="3287">
      <c r="A3287" s="184"/>
      <c r="B3287" s="185"/>
      <c r="C3287" s="185"/>
      <c r="D3287" s="20"/>
      <c r="E3287" s="20"/>
    </row>
    <row r="3288">
      <c r="A3288" s="184"/>
      <c r="B3288" s="185"/>
      <c r="C3288" s="185"/>
      <c r="D3288" s="20"/>
      <c r="E3288" s="20"/>
    </row>
    <row r="3289">
      <c r="A3289" s="184"/>
      <c r="B3289" s="185"/>
      <c r="C3289" s="185"/>
      <c r="D3289" s="20"/>
      <c r="E3289" s="20"/>
    </row>
    <row r="3290">
      <c r="A3290" s="184"/>
      <c r="B3290" s="185"/>
      <c r="C3290" s="185"/>
      <c r="D3290" s="20"/>
      <c r="E3290" s="20"/>
    </row>
    <row r="3291">
      <c r="A3291" s="184"/>
      <c r="B3291" s="185"/>
      <c r="C3291" s="185"/>
      <c r="D3291" s="20"/>
      <c r="E3291" s="20"/>
    </row>
    <row r="3292">
      <c r="A3292" s="184"/>
      <c r="B3292" s="185"/>
      <c r="C3292" s="185"/>
      <c r="D3292" s="20"/>
      <c r="E3292" s="20"/>
    </row>
    <row r="3293">
      <c r="A3293" s="184"/>
      <c r="B3293" s="185"/>
      <c r="C3293" s="185"/>
      <c r="D3293" s="20"/>
      <c r="E3293" s="20"/>
    </row>
    <row r="3294">
      <c r="A3294" s="184"/>
      <c r="B3294" s="185"/>
      <c r="C3294" s="185"/>
      <c r="D3294" s="20"/>
      <c r="E3294" s="20"/>
    </row>
    <row r="3295">
      <c r="A3295" s="184"/>
      <c r="B3295" s="185"/>
      <c r="C3295" s="185"/>
      <c r="D3295" s="20"/>
      <c r="E3295" s="20"/>
    </row>
    <row r="3296">
      <c r="A3296" s="184"/>
      <c r="B3296" s="185"/>
      <c r="C3296" s="185"/>
      <c r="D3296" s="20"/>
      <c r="E3296" s="20"/>
    </row>
    <row r="3297">
      <c r="A3297" s="184"/>
      <c r="B3297" s="185"/>
      <c r="C3297" s="185"/>
      <c r="D3297" s="20"/>
      <c r="E3297" s="20"/>
    </row>
    <row r="3298">
      <c r="A3298" s="184"/>
      <c r="B3298" s="185"/>
      <c r="C3298" s="185"/>
      <c r="D3298" s="20"/>
      <c r="E3298" s="20"/>
    </row>
    <row r="3299">
      <c r="A3299" s="184"/>
      <c r="B3299" s="185"/>
      <c r="C3299" s="185"/>
      <c r="D3299" s="20"/>
      <c r="E3299" s="20"/>
    </row>
    <row r="3300">
      <c r="A3300" s="184"/>
      <c r="B3300" s="185"/>
      <c r="C3300" s="185"/>
      <c r="D3300" s="20"/>
      <c r="E3300" s="20"/>
    </row>
    <row r="3301">
      <c r="A3301" s="184"/>
      <c r="B3301" s="185"/>
      <c r="C3301" s="185"/>
      <c r="D3301" s="20"/>
      <c r="E3301" s="20"/>
    </row>
    <row r="3302">
      <c r="A3302" s="184"/>
      <c r="B3302" s="185"/>
      <c r="C3302" s="185"/>
      <c r="D3302" s="20"/>
      <c r="E3302" s="20"/>
    </row>
    <row r="3303">
      <c r="A3303" s="184"/>
      <c r="B3303" s="185"/>
      <c r="C3303" s="185"/>
      <c r="D3303" s="20"/>
      <c r="E3303" s="20"/>
    </row>
    <row r="3304">
      <c r="A3304" s="184"/>
      <c r="B3304" s="185"/>
      <c r="C3304" s="185"/>
      <c r="D3304" s="20"/>
      <c r="E3304" s="20"/>
    </row>
    <row r="3305">
      <c r="A3305" s="184"/>
      <c r="B3305" s="185"/>
      <c r="C3305" s="185"/>
      <c r="D3305" s="20"/>
      <c r="E3305" s="20"/>
    </row>
    <row r="3306">
      <c r="A3306" s="184"/>
      <c r="B3306" s="185"/>
      <c r="C3306" s="185"/>
      <c r="D3306" s="20"/>
      <c r="E3306" s="20"/>
    </row>
    <row r="3307">
      <c r="A3307" s="184"/>
      <c r="B3307" s="185"/>
      <c r="C3307" s="185"/>
      <c r="D3307" s="20"/>
      <c r="E3307" s="20"/>
    </row>
    <row r="3308">
      <c r="A3308" s="184"/>
      <c r="B3308" s="185"/>
      <c r="C3308" s="185"/>
      <c r="D3308" s="20"/>
      <c r="E3308" s="20"/>
    </row>
    <row r="3309">
      <c r="A3309" s="184"/>
      <c r="B3309" s="185"/>
      <c r="C3309" s="185"/>
      <c r="D3309" s="20"/>
      <c r="E3309" s="20"/>
    </row>
    <row r="3310">
      <c r="A3310" s="184"/>
      <c r="B3310" s="185"/>
      <c r="C3310" s="185"/>
      <c r="D3310" s="20"/>
      <c r="E3310" s="20"/>
    </row>
    <row r="3311">
      <c r="A3311" s="184"/>
      <c r="B3311" s="185"/>
      <c r="C3311" s="185"/>
      <c r="D3311" s="20"/>
      <c r="E3311" s="20"/>
    </row>
    <row r="3312">
      <c r="A3312" s="184"/>
      <c r="B3312" s="185"/>
      <c r="C3312" s="185"/>
      <c r="D3312" s="20"/>
      <c r="E3312" s="20"/>
    </row>
    <row r="3313">
      <c r="A3313" s="184"/>
      <c r="B3313" s="185"/>
      <c r="C3313" s="185"/>
      <c r="D3313" s="20"/>
      <c r="E3313" s="20"/>
    </row>
    <row r="3314">
      <c r="A3314" s="184"/>
      <c r="B3314" s="185"/>
      <c r="C3314" s="185"/>
      <c r="D3314" s="20"/>
      <c r="E3314" s="20"/>
    </row>
    <row r="3315">
      <c r="A3315" s="184"/>
      <c r="B3315" s="185"/>
      <c r="C3315" s="185"/>
      <c r="D3315" s="20"/>
      <c r="E3315" s="20"/>
    </row>
    <row r="3316">
      <c r="A3316" s="184"/>
      <c r="B3316" s="185"/>
      <c r="C3316" s="185"/>
      <c r="D3316" s="20"/>
      <c r="E3316" s="20"/>
    </row>
    <row r="3317">
      <c r="A3317" s="184"/>
      <c r="B3317" s="185"/>
      <c r="C3317" s="185"/>
      <c r="D3317" s="20"/>
      <c r="E3317" s="20"/>
    </row>
    <row r="3318">
      <c r="A3318" s="184"/>
      <c r="B3318" s="185"/>
      <c r="C3318" s="185"/>
      <c r="D3318" s="20"/>
      <c r="E3318" s="20"/>
    </row>
    <row r="3319">
      <c r="A3319" s="184"/>
      <c r="B3319" s="185"/>
      <c r="C3319" s="185"/>
      <c r="D3319" s="20"/>
      <c r="E3319" s="20"/>
    </row>
    <row r="3320">
      <c r="A3320" s="184"/>
      <c r="B3320" s="185"/>
      <c r="C3320" s="185"/>
      <c r="D3320" s="20"/>
      <c r="E3320" s="20"/>
    </row>
    <row r="3321">
      <c r="A3321" s="184"/>
      <c r="B3321" s="185"/>
      <c r="C3321" s="185"/>
      <c r="D3321" s="20"/>
      <c r="E3321" s="20"/>
    </row>
    <row r="3322">
      <c r="A3322" s="184"/>
      <c r="B3322" s="185"/>
      <c r="C3322" s="185"/>
      <c r="D3322" s="20"/>
      <c r="E3322" s="20"/>
    </row>
    <row r="3323">
      <c r="A3323" s="184"/>
      <c r="B3323" s="185"/>
      <c r="C3323" s="185"/>
      <c r="D3323" s="20"/>
      <c r="E3323" s="20"/>
    </row>
    <row r="3324">
      <c r="A3324" s="184"/>
      <c r="B3324" s="185"/>
      <c r="C3324" s="185"/>
      <c r="D3324" s="20"/>
      <c r="E3324" s="20"/>
    </row>
    <row r="3325">
      <c r="A3325" s="184"/>
      <c r="B3325" s="185"/>
      <c r="C3325" s="185"/>
      <c r="D3325" s="20"/>
      <c r="E3325" s="20"/>
    </row>
    <row r="3326">
      <c r="A3326" s="184"/>
      <c r="B3326" s="185"/>
      <c r="C3326" s="185"/>
      <c r="D3326" s="20"/>
      <c r="E3326" s="20"/>
    </row>
    <row r="3327">
      <c r="A3327" s="184"/>
      <c r="B3327" s="185"/>
      <c r="C3327" s="185"/>
      <c r="D3327" s="20"/>
      <c r="E3327" s="20"/>
    </row>
    <row r="3328">
      <c r="A3328" s="184"/>
      <c r="B3328" s="185"/>
      <c r="C3328" s="185"/>
      <c r="D3328" s="20"/>
      <c r="E3328" s="20"/>
    </row>
    <row r="3329">
      <c r="A3329" s="184"/>
      <c r="B3329" s="185"/>
      <c r="C3329" s="185"/>
      <c r="D3329" s="20"/>
      <c r="E3329" s="20"/>
    </row>
    <row r="3330">
      <c r="A3330" s="184"/>
      <c r="B3330" s="185"/>
      <c r="C3330" s="185"/>
      <c r="D3330" s="20"/>
      <c r="E3330" s="20"/>
    </row>
    <row r="3331">
      <c r="A3331" s="184"/>
      <c r="B3331" s="185"/>
      <c r="C3331" s="185"/>
      <c r="D3331" s="20"/>
      <c r="E3331" s="20"/>
    </row>
    <row r="3332">
      <c r="A3332" s="184"/>
      <c r="B3332" s="185"/>
      <c r="C3332" s="185"/>
      <c r="D3332" s="20"/>
      <c r="E3332" s="20"/>
    </row>
    <row r="3333">
      <c r="A3333" s="184"/>
      <c r="B3333" s="185"/>
      <c r="C3333" s="185"/>
      <c r="D3333" s="20"/>
      <c r="E3333" s="20"/>
    </row>
    <row r="3334">
      <c r="A3334" s="184"/>
      <c r="B3334" s="185"/>
      <c r="C3334" s="185"/>
      <c r="D3334" s="20"/>
      <c r="E3334" s="20"/>
    </row>
    <row r="3335">
      <c r="A3335" s="184"/>
      <c r="B3335" s="185"/>
      <c r="C3335" s="185"/>
      <c r="D3335" s="20"/>
      <c r="E3335" s="20"/>
    </row>
    <row r="3336">
      <c r="A3336" s="184"/>
      <c r="B3336" s="185"/>
      <c r="C3336" s="185"/>
      <c r="D3336" s="20"/>
      <c r="E3336" s="20"/>
    </row>
    <row r="3337">
      <c r="A3337" s="184"/>
      <c r="B3337" s="185"/>
      <c r="C3337" s="185"/>
      <c r="D3337" s="20"/>
      <c r="E3337" s="20"/>
    </row>
    <row r="3338">
      <c r="A3338" s="184"/>
      <c r="B3338" s="185"/>
      <c r="C3338" s="185"/>
      <c r="D3338" s="20"/>
      <c r="E3338" s="20"/>
    </row>
    <row r="3339">
      <c r="A3339" s="184"/>
      <c r="B3339" s="185"/>
      <c r="C3339" s="185"/>
      <c r="D3339" s="20"/>
      <c r="E3339" s="20"/>
    </row>
    <row r="3340">
      <c r="A3340" s="184"/>
      <c r="B3340" s="185"/>
      <c r="C3340" s="185"/>
      <c r="D3340" s="20"/>
      <c r="E3340" s="20"/>
    </row>
    <row r="3341">
      <c r="A3341" s="184"/>
      <c r="B3341" s="185"/>
      <c r="C3341" s="185"/>
      <c r="D3341" s="20"/>
      <c r="E3341" s="20"/>
    </row>
    <row r="3342">
      <c r="A3342" s="184"/>
      <c r="B3342" s="185"/>
      <c r="C3342" s="185"/>
      <c r="D3342" s="20"/>
      <c r="E3342" s="20"/>
    </row>
    <row r="3343">
      <c r="A3343" s="184"/>
      <c r="B3343" s="185"/>
      <c r="C3343" s="185"/>
      <c r="D3343" s="20"/>
      <c r="E3343" s="20"/>
    </row>
    <row r="3344">
      <c r="A3344" s="184"/>
      <c r="B3344" s="185"/>
      <c r="C3344" s="185"/>
      <c r="D3344" s="20"/>
      <c r="E3344" s="20"/>
    </row>
    <row r="3345">
      <c r="A3345" s="184"/>
      <c r="B3345" s="185"/>
      <c r="C3345" s="185"/>
      <c r="D3345" s="20"/>
      <c r="E3345" s="20"/>
    </row>
    <row r="3346">
      <c r="A3346" s="184"/>
      <c r="B3346" s="185"/>
      <c r="C3346" s="185"/>
      <c r="D3346" s="20"/>
      <c r="E3346" s="20"/>
    </row>
    <row r="3347">
      <c r="A3347" s="184"/>
      <c r="B3347" s="185"/>
      <c r="C3347" s="185"/>
      <c r="D3347" s="20"/>
      <c r="E3347" s="20"/>
    </row>
    <row r="3348">
      <c r="A3348" s="184"/>
      <c r="B3348" s="185"/>
      <c r="C3348" s="185"/>
      <c r="D3348" s="20"/>
      <c r="E3348" s="20"/>
    </row>
    <row r="3349">
      <c r="A3349" s="184"/>
      <c r="B3349" s="185"/>
      <c r="C3349" s="185"/>
      <c r="D3349" s="20"/>
      <c r="E3349" s="20"/>
    </row>
    <row r="3350">
      <c r="A3350" s="184"/>
      <c r="B3350" s="185"/>
      <c r="C3350" s="185"/>
      <c r="D3350" s="20"/>
      <c r="E3350" s="20"/>
    </row>
    <row r="3351">
      <c r="A3351" s="184"/>
      <c r="B3351" s="185"/>
      <c r="C3351" s="185"/>
      <c r="D3351" s="20"/>
      <c r="E3351" s="20"/>
    </row>
    <row r="3352">
      <c r="A3352" s="184"/>
      <c r="B3352" s="185"/>
      <c r="C3352" s="185"/>
      <c r="D3352" s="20"/>
      <c r="E3352" s="20"/>
    </row>
    <row r="3353">
      <c r="A3353" s="184"/>
      <c r="B3353" s="185"/>
      <c r="C3353" s="185"/>
      <c r="D3353" s="20"/>
      <c r="E3353" s="20"/>
    </row>
    <row r="3354">
      <c r="A3354" s="184"/>
      <c r="B3354" s="185"/>
      <c r="C3354" s="185"/>
      <c r="D3354" s="20"/>
      <c r="E3354" s="20"/>
    </row>
    <row r="3355">
      <c r="A3355" s="184"/>
      <c r="B3355" s="185"/>
      <c r="C3355" s="185"/>
      <c r="D3355" s="20"/>
      <c r="E3355" s="20"/>
    </row>
    <row r="3356">
      <c r="A3356" s="184"/>
      <c r="B3356" s="185"/>
      <c r="C3356" s="185"/>
      <c r="D3356" s="20"/>
      <c r="E3356" s="20"/>
    </row>
    <row r="3357">
      <c r="A3357" s="184"/>
      <c r="B3357" s="185"/>
      <c r="C3357" s="185"/>
      <c r="D3357" s="20"/>
      <c r="E3357" s="20"/>
    </row>
    <row r="3358">
      <c r="A3358" s="184"/>
      <c r="B3358" s="185"/>
      <c r="C3358" s="185"/>
      <c r="D3358" s="20"/>
      <c r="E3358" s="20"/>
    </row>
    <row r="3359">
      <c r="A3359" s="184"/>
      <c r="B3359" s="185"/>
      <c r="C3359" s="185"/>
      <c r="D3359" s="20"/>
      <c r="E3359" s="20"/>
    </row>
    <row r="3360">
      <c r="A3360" s="184"/>
      <c r="B3360" s="185"/>
      <c r="C3360" s="185"/>
      <c r="D3360" s="20"/>
      <c r="E3360" s="20"/>
    </row>
    <row r="3361">
      <c r="A3361" s="184"/>
      <c r="B3361" s="185"/>
      <c r="C3361" s="185"/>
      <c r="D3361" s="20"/>
      <c r="E3361" s="20"/>
    </row>
    <row r="3362">
      <c r="A3362" s="184"/>
      <c r="B3362" s="185"/>
      <c r="C3362" s="185"/>
      <c r="D3362" s="20"/>
      <c r="E3362" s="20"/>
    </row>
    <row r="3363">
      <c r="A3363" s="184"/>
      <c r="B3363" s="185"/>
      <c r="C3363" s="185"/>
      <c r="D3363" s="20"/>
      <c r="E3363" s="20"/>
    </row>
    <row r="3364">
      <c r="A3364" s="184"/>
      <c r="B3364" s="185"/>
      <c r="C3364" s="185"/>
      <c r="D3364" s="20"/>
      <c r="E3364" s="20"/>
    </row>
    <row r="3365">
      <c r="A3365" s="184"/>
      <c r="B3365" s="185"/>
      <c r="C3365" s="185"/>
      <c r="D3365" s="20"/>
      <c r="E3365" s="20"/>
    </row>
    <row r="3366">
      <c r="A3366" s="184"/>
      <c r="B3366" s="185"/>
      <c r="C3366" s="185"/>
      <c r="D3366" s="20"/>
      <c r="E3366" s="20"/>
    </row>
    <row r="3367">
      <c r="A3367" s="184"/>
      <c r="B3367" s="185"/>
      <c r="C3367" s="185"/>
      <c r="D3367" s="20"/>
      <c r="E3367" s="20"/>
    </row>
    <row r="3368">
      <c r="A3368" s="184"/>
      <c r="B3368" s="185"/>
      <c r="C3368" s="185"/>
      <c r="D3368" s="20"/>
      <c r="E3368" s="20"/>
    </row>
    <row r="3369">
      <c r="A3369" s="184"/>
      <c r="B3369" s="185"/>
      <c r="C3369" s="185"/>
      <c r="D3369" s="20"/>
      <c r="E3369" s="20"/>
    </row>
    <row r="3370">
      <c r="A3370" s="184"/>
      <c r="B3370" s="185"/>
      <c r="C3370" s="185"/>
      <c r="D3370" s="20"/>
      <c r="E3370" s="20"/>
    </row>
    <row r="3371">
      <c r="A3371" s="184"/>
      <c r="B3371" s="185"/>
      <c r="C3371" s="185"/>
      <c r="D3371" s="20"/>
      <c r="E3371" s="20"/>
    </row>
    <row r="3372">
      <c r="A3372" s="184"/>
      <c r="B3372" s="185"/>
      <c r="C3372" s="185"/>
      <c r="D3372" s="20"/>
      <c r="E3372" s="20"/>
    </row>
    <row r="3373">
      <c r="A3373" s="184"/>
      <c r="B3373" s="185"/>
      <c r="C3373" s="185"/>
      <c r="D3373" s="20"/>
      <c r="E3373" s="20"/>
    </row>
    <row r="3374">
      <c r="A3374" s="184"/>
      <c r="B3374" s="185"/>
      <c r="C3374" s="185"/>
      <c r="D3374" s="20"/>
      <c r="E3374" s="20"/>
    </row>
    <row r="3375">
      <c r="A3375" s="184"/>
      <c r="B3375" s="185"/>
      <c r="C3375" s="185"/>
      <c r="D3375" s="20"/>
      <c r="E3375" s="20"/>
    </row>
    <row r="3376">
      <c r="A3376" s="184"/>
      <c r="B3376" s="185"/>
      <c r="C3376" s="185"/>
      <c r="D3376" s="20"/>
      <c r="E3376" s="20"/>
    </row>
    <row r="3377">
      <c r="A3377" s="184"/>
      <c r="B3377" s="185"/>
      <c r="C3377" s="185"/>
      <c r="D3377" s="20"/>
      <c r="E3377" s="20"/>
    </row>
    <row r="3378">
      <c r="A3378" s="184"/>
      <c r="B3378" s="185"/>
      <c r="C3378" s="185"/>
      <c r="D3378" s="20"/>
      <c r="E3378" s="20"/>
    </row>
    <row r="3379">
      <c r="A3379" s="184"/>
      <c r="B3379" s="185"/>
      <c r="C3379" s="185"/>
      <c r="D3379" s="20"/>
      <c r="E3379" s="20"/>
    </row>
    <row r="3380">
      <c r="A3380" s="184"/>
      <c r="B3380" s="185"/>
      <c r="C3380" s="185"/>
      <c r="D3380" s="20"/>
      <c r="E3380" s="20"/>
    </row>
    <row r="3381">
      <c r="A3381" s="184"/>
      <c r="B3381" s="185"/>
      <c r="C3381" s="185"/>
      <c r="D3381" s="20"/>
      <c r="E3381" s="20"/>
    </row>
    <row r="3382">
      <c r="A3382" s="184"/>
      <c r="B3382" s="185"/>
      <c r="C3382" s="185"/>
      <c r="D3382" s="20"/>
      <c r="E3382" s="20"/>
    </row>
    <row r="3383">
      <c r="A3383" s="184"/>
      <c r="B3383" s="185"/>
      <c r="C3383" s="185"/>
      <c r="D3383" s="20"/>
      <c r="E3383" s="20"/>
    </row>
    <row r="3384">
      <c r="A3384" s="184"/>
      <c r="B3384" s="185"/>
      <c r="C3384" s="185"/>
      <c r="D3384" s="20"/>
      <c r="E3384" s="20"/>
    </row>
    <row r="3385">
      <c r="A3385" s="184"/>
      <c r="B3385" s="185"/>
      <c r="C3385" s="185"/>
      <c r="D3385" s="20"/>
      <c r="E3385" s="20"/>
    </row>
    <row r="3386">
      <c r="A3386" s="184"/>
      <c r="B3386" s="185"/>
      <c r="C3386" s="185"/>
      <c r="D3386" s="20"/>
      <c r="E3386" s="20"/>
    </row>
    <row r="3387">
      <c r="A3387" s="184"/>
      <c r="B3387" s="185"/>
      <c r="C3387" s="185"/>
      <c r="D3387" s="20"/>
      <c r="E3387" s="20"/>
    </row>
    <row r="3388">
      <c r="A3388" s="184"/>
      <c r="B3388" s="185"/>
      <c r="C3388" s="185"/>
      <c r="D3388" s="20"/>
      <c r="E3388" s="20"/>
    </row>
    <row r="3389">
      <c r="A3389" s="184"/>
      <c r="B3389" s="185"/>
      <c r="C3389" s="185"/>
      <c r="D3389" s="20"/>
      <c r="E3389" s="20"/>
    </row>
    <row r="3390">
      <c r="A3390" s="184"/>
      <c r="B3390" s="185"/>
      <c r="C3390" s="185"/>
      <c r="D3390" s="20"/>
      <c r="E3390" s="20"/>
    </row>
    <row r="3391">
      <c r="A3391" s="184"/>
      <c r="B3391" s="185"/>
      <c r="C3391" s="185"/>
      <c r="D3391" s="20"/>
      <c r="E3391" s="20"/>
    </row>
    <row r="3392">
      <c r="A3392" s="184"/>
      <c r="B3392" s="185"/>
      <c r="C3392" s="185"/>
      <c r="D3392" s="20"/>
      <c r="E3392" s="20"/>
    </row>
    <row r="3393">
      <c r="A3393" s="184"/>
      <c r="B3393" s="185"/>
      <c r="C3393" s="185"/>
      <c r="D3393" s="20"/>
      <c r="E3393" s="20"/>
    </row>
    <row r="3394">
      <c r="A3394" s="184"/>
      <c r="B3394" s="185"/>
      <c r="C3394" s="185"/>
      <c r="D3394" s="20"/>
      <c r="E3394" s="20"/>
    </row>
    <row r="3395">
      <c r="A3395" s="184"/>
      <c r="B3395" s="185"/>
      <c r="C3395" s="185"/>
      <c r="D3395" s="20"/>
      <c r="E3395" s="20"/>
    </row>
    <row r="3396">
      <c r="A3396" s="184"/>
      <c r="B3396" s="185"/>
      <c r="C3396" s="185"/>
      <c r="D3396" s="20"/>
      <c r="E3396" s="20"/>
    </row>
    <row r="3397">
      <c r="A3397" s="184"/>
      <c r="B3397" s="185"/>
      <c r="C3397" s="185"/>
      <c r="D3397" s="20"/>
      <c r="E3397" s="20"/>
    </row>
    <row r="3398">
      <c r="A3398" s="184"/>
      <c r="B3398" s="185"/>
      <c r="C3398" s="185"/>
      <c r="D3398" s="20"/>
      <c r="E3398" s="20"/>
    </row>
    <row r="3399">
      <c r="A3399" s="184"/>
      <c r="B3399" s="185"/>
      <c r="C3399" s="185"/>
      <c r="D3399" s="20"/>
      <c r="E3399" s="20"/>
    </row>
    <row r="3400">
      <c r="A3400" s="184"/>
      <c r="B3400" s="185"/>
      <c r="C3400" s="185"/>
      <c r="D3400" s="20"/>
      <c r="E3400" s="20"/>
    </row>
    <row r="3401">
      <c r="A3401" s="184"/>
      <c r="B3401" s="185"/>
      <c r="C3401" s="185"/>
      <c r="D3401" s="20"/>
      <c r="E3401" s="20"/>
    </row>
    <row r="3402">
      <c r="A3402" s="184"/>
      <c r="B3402" s="185"/>
      <c r="C3402" s="185"/>
      <c r="D3402" s="20"/>
      <c r="E3402" s="20"/>
    </row>
    <row r="3403">
      <c r="A3403" s="184"/>
      <c r="B3403" s="185"/>
      <c r="C3403" s="185"/>
      <c r="D3403" s="20"/>
      <c r="E3403" s="20"/>
    </row>
    <row r="3404">
      <c r="A3404" s="184"/>
      <c r="B3404" s="185"/>
      <c r="C3404" s="185"/>
      <c r="D3404" s="20"/>
      <c r="E3404" s="20"/>
    </row>
    <row r="3405">
      <c r="A3405" s="184"/>
      <c r="B3405" s="185"/>
      <c r="C3405" s="185"/>
      <c r="D3405" s="20"/>
      <c r="E3405" s="20"/>
    </row>
    <row r="3406">
      <c r="A3406" s="184"/>
      <c r="B3406" s="185"/>
      <c r="C3406" s="185"/>
      <c r="D3406" s="20"/>
      <c r="E3406" s="20"/>
    </row>
    <row r="3407">
      <c r="A3407" s="184"/>
      <c r="B3407" s="185"/>
      <c r="C3407" s="185"/>
      <c r="D3407" s="20"/>
      <c r="E3407" s="20"/>
    </row>
    <row r="3408">
      <c r="A3408" s="184"/>
      <c r="B3408" s="185"/>
      <c r="C3408" s="185"/>
      <c r="D3408" s="20"/>
      <c r="E3408" s="20"/>
    </row>
    <row r="3409">
      <c r="A3409" s="184"/>
      <c r="B3409" s="185"/>
      <c r="C3409" s="185"/>
      <c r="D3409" s="20"/>
      <c r="E3409" s="20"/>
    </row>
    <row r="3410">
      <c r="A3410" s="184"/>
      <c r="B3410" s="185"/>
      <c r="C3410" s="185"/>
      <c r="D3410" s="20"/>
      <c r="E3410" s="20"/>
    </row>
    <row r="3411">
      <c r="A3411" s="184"/>
      <c r="B3411" s="185"/>
      <c r="C3411" s="185"/>
      <c r="D3411" s="20"/>
      <c r="E3411" s="20"/>
    </row>
    <row r="3412">
      <c r="A3412" s="184"/>
      <c r="B3412" s="185"/>
      <c r="C3412" s="185"/>
      <c r="D3412" s="20"/>
      <c r="E3412" s="20"/>
    </row>
    <row r="3413">
      <c r="A3413" s="184"/>
      <c r="B3413" s="185"/>
      <c r="C3413" s="185"/>
      <c r="D3413" s="20"/>
      <c r="E3413" s="20"/>
    </row>
    <row r="3414">
      <c r="A3414" s="184"/>
      <c r="B3414" s="185"/>
      <c r="C3414" s="185"/>
      <c r="D3414" s="20"/>
      <c r="E3414" s="20"/>
    </row>
    <row r="3415">
      <c r="A3415" s="184"/>
      <c r="B3415" s="185"/>
      <c r="C3415" s="185"/>
      <c r="D3415" s="20"/>
      <c r="E3415" s="20"/>
    </row>
    <row r="3416">
      <c r="A3416" s="184"/>
      <c r="B3416" s="185"/>
      <c r="C3416" s="185"/>
      <c r="D3416" s="20"/>
      <c r="E3416" s="20"/>
    </row>
    <row r="3417">
      <c r="A3417" s="184"/>
      <c r="B3417" s="185"/>
      <c r="C3417" s="185"/>
      <c r="D3417" s="20"/>
      <c r="E3417" s="20"/>
    </row>
    <row r="3418">
      <c r="A3418" s="184"/>
      <c r="B3418" s="185"/>
      <c r="C3418" s="185"/>
      <c r="D3418" s="20"/>
      <c r="E3418" s="20"/>
    </row>
    <row r="3419">
      <c r="A3419" s="184"/>
      <c r="B3419" s="185"/>
      <c r="C3419" s="185"/>
      <c r="D3419" s="20"/>
      <c r="E3419" s="20"/>
    </row>
    <row r="3420">
      <c r="A3420" s="184"/>
      <c r="B3420" s="185"/>
      <c r="C3420" s="185"/>
      <c r="D3420" s="20"/>
      <c r="E3420" s="20"/>
    </row>
    <row r="3421">
      <c r="A3421" s="184"/>
      <c r="B3421" s="185"/>
      <c r="C3421" s="185"/>
      <c r="D3421" s="20"/>
      <c r="E3421" s="20"/>
    </row>
    <row r="3422">
      <c r="A3422" s="184"/>
      <c r="B3422" s="185"/>
      <c r="C3422" s="185"/>
      <c r="D3422" s="20"/>
      <c r="E3422" s="20"/>
    </row>
    <row r="3423">
      <c r="A3423" s="184"/>
      <c r="B3423" s="185"/>
      <c r="C3423" s="185"/>
      <c r="D3423" s="20"/>
      <c r="E3423" s="20"/>
    </row>
    <row r="3424">
      <c r="A3424" s="184"/>
      <c r="B3424" s="185"/>
      <c r="C3424" s="185"/>
      <c r="D3424" s="20"/>
      <c r="E3424" s="20"/>
    </row>
    <row r="3425">
      <c r="A3425" s="184"/>
      <c r="B3425" s="185"/>
      <c r="C3425" s="185"/>
      <c r="D3425" s="20"/>
      <c r="E3425" s="20"/>
    </row>
    <row r="3426">
      <c r="A3426" s="184"/>
      <c r="B3426" s="185"/>
      <c r="C3426" s="185"/>
      <c r="D3426" s="20"/>
      <c r="E3426" s="20"/>
    </row>
    <row r="3427">
      <c r="A3427" s="184"/>
      <c r="B3427" s="185"/>
      <c r="C3427" s="185"/>
      <c r="D3427" s="20"/>
      <c r="E3427" s="20"/>
    </row>
    <row r="3428">
      <c r="A3428" s="184"/>
      <c r="B3428" s="185"/>
      <c r="C3428" s="185"/>
      <c r="D3428" s="20"/>
      <c r="E3428" s="20"/>
    </row>
    <row r="3429">
      <c r="A3429" s="184"/>
      <c r="B3429" s="185"/>
      <c r="C3429" s="185"/>
      <c r="D3429" s="20"/>
      <c r="E3429" s="20"/>
    </row>
    <row r="3430">
      <c r="A3430" s="184"/>
      <c r="B3430" s="185"/>
      <c r="C3430" s="185"/>
      <c r="D3430" s="20"/>
      <c r="E3430" s="20"/>
    </row>
    <row r="3431">
      <c r="A3431" s="184"/>
      <c r="B3431" s="185"/>
      <c r="C3431" s="185"/>
      <c r="D3431" s="20"/>
      <c r="E3431" s="20"/>
    </row>
    <row r="3432">
      <c r="A3432" s="184"/>
      <c r="B3432" s="185"/>
      <c r="C3432" s="185"/>
      <c r="D3432" s="20"/>
      <c r="E3432" s="20"/>
    </row>
    <row r="3433">
      <c r="A3433" s="184"/>
      <c r="B3433" s="185"/>
      <c r="C3433" s="185"/>
      <c r="D3433" s="20"/>
      <c r="E3433" s="20"/>
    </row>
    <row r="3434">
      <c r="A3434" s="184"/>
      <c r="B3434" s="185"/>
      <c r="C3434" s="185"/>
      <c r="D3434" s="20"/>
      <c r="E3434" s="20"/>
    </row>
    <row r="3435">
      <c r="A3435" s="184"/>
      <c r="B3435" s="185"/>
      <c r="C3435" s="185"/>
      <c r="D3435" s="20"/>
      <c r="E3435" s="20"/>
    </row>
    <row r="3436">
      <c r="A3436" s="184"/>
      <c r="B3436" s="185"/>
      <c r="C3436" s="185"/>
      <c r="D3436" s="20"/>
      <c r="E3436" s="20"/>
    </row>
    <row r="3437">
      <c r="A3437" s="184"/>
      <c r="B3437" s="185"/>
      <c r="C3437" s="185"/>
      <c r="D3437" s="20"/>
      <c r="E3437" s="20"/>
    </row>
    <row r="3438">
      <c r="A3438" s="184"/>
      <c r="B3438" s="185"/>
      <c r="C3438" s="185"/>
      <c r="D3438" s="20"/>
      <c r="E3438" s="20"/>
    </row>
    <row r="3439">
      <c r="A3439" s="184"/>
      <c r="B3439" s="185"/>
      <c r="C3439" s="185"/>
      <c r="D3439" s="20"/>
      <c r="E3439" s="20"/>
    </row>
    <row r="3440">
      <c r="A3440" s="184"/>
      <c r="B3440" s="185"/>
      <c r="C3440" s="185"/>
      <c r="D3440" s="20"/>
      <c r="E3440" s="20"/>
    </row>
    <row r="3441">
      <c r="A3441" s="184"/>
      <c r="B3441" s="185"/>
      <c r="C3441" s="185"/>
      <c r="D3441" s="20"/>
      <c r="E3441" s="20"/>
    </row>
    <row r="3442">
      <c r="A3442" s="184"/>
      <c r="B3442" s="185"/>
      <c r="C3442" s="185"/>
      <c r="D3442" s="20"/>
      <c r="E3442" s="20"/>
    </row>
    <row r="3443">
      <c r="A3443" s="184"/>
      <c r="B3443" s="185"/>
      <c r="C3443" s="185"/>
      <c r="D3443" s="20"/>
      <c r="E3443" s="20"/>
    </row>
    <row r="3444">
      <c r="A3444" s="184"/>
      <c r="B3444" s="185"/>
      <c r="C3444" s="185"/>
      <c r="D3444" s="20"/>
      <c r="E3444" s="20"/>
    </row>
    <row r="3445">
      <c r="A3445" s="184"/>
      <c r="B3445" s="185"/>
      <c r="C3445" s="185"/>
      <c r="D3445" s="20"/>
      <c r="E3445" s="20"/>
    </row>
    <row r="3446">
      <c r="A3446" s="184"/>
      <c r="B3446" s="185"/>
      <c r="C3446" s="185"/>
      <c r="D3446" s="20"/>
      <c r="E3446" s="20"/>
    </row>
    <row r="3447">
      <c r="A3447" s="184"/>
      <c r="B3447" s="185"/>
      <c r="C3447" s="185"/>
      <c r="D3447" s="20"/>
      <c r="E3447" s="20"/>
    </row>
    <row r="3448">
      <c r="A3448" s="184"/>
      <c r="B3448" s="185"/>
      <c r="C3448" s="185"/>
      <c r="D3448" s="20"/>
      <c r="E3448" s="20"/>
    </row>
    <row r="3449">
      <c r="A3449" s="184"/>
      <c r="B3449" s="185"/>
      <c r="C3449" s="185"/>
      <c r="D3449" s="20"/>
      <c r="E3449" s="20"/>
    </row>
    <row r="3450">
      <c r="A3450" s="184"/>
      <c r="B3450" s="185"/>
      <c r="C3450" s="185"/>
      <c r="D3450" s="20"/>
      <c r="E3450" s="20"/>
    </row>
    <row r="3451">
      <c r="A3451" s="184"/>
      <c r="B3451" s="185"/>
      <c r="C3451" s="185"/>
      <c r="D3451" s="20"/>
      <c r="E3451" s="20"/>
    </row>
    <row r="3452">
      <c r="A3452" s="184"/>
      <c r="B3452" s="185"/>
      <c r="C3452" s="185"/>
      <c r="D3452" s="20"/>
      <c r="E3452" s="20"/>
    </row>
    <row r="3453">
      <c r="A3453" s="184"/>
      <c r="B3453" s="185"/>
      <c r="C3453" s="185"/>
      <c r="D3453" s="20"/>
      <c r="E3453" s="20"/>
    </row>
    <row r="3454">
      <c r="A3454" s="184"/>
      <c r="B3454" s="185"/>
      <c r="C3454" s="185"/>
      <c r="D3454" s="20"/>
      <c r="E3454" s="20"/>
    </row>
    <row r="3455">
      <c r="A3455" s="184"/>
      <c r="B3455" s="185"/>
      <c r="C3455" s="185"/>
      <c r="D3455" s="20"/>
      <c r="E3455" s="20"/>
    </row>
    <row r="3456">
      <c r="A3456" s="184"/>
      <c r="B3456" s="185"/>
      <c r="C3456" s="185"/>
      <c r="D3456" s="20"/>
      <c r="E3456" s="20"/>
    </row>
    <row r="3457">
      <c r="A3457" s="184"/>
      <c r="B3457" s="185"/>
      <c r="C3457" s="185"/>
      <c r="D3457" s="20"/>
      <c r="E3457" s="20"/>
    </row>
    <row r="3458">
      <c r="A3458" s="184"/>
      <c r="B3458" s="185"/>
      <c r="C3458" s="185"/>
      <c r="D3458" s="20"/>
      <c r="E3458" s="20"/>
    </row>
    <row r="3459">
      <c r="A3459" s="184"/>
      <c r="B3459" s="185"/>
      <c r="C3459" s="185"/>
      <c r="D3459" s="20"/>
      <c r="E3459" s="20"/>
    </row>
    <row r="3460">
      <c r="A3460" s="184"/>
      <c r="B3460" s="185"/>
      <c r="C3460" s="185"/>
      <c r="D3460" s="20"/>
      <c r="E3460" s="20"/>
    </row>
    <row r="3461">
      <c r="A3461" s="184"/>
      <c r="B3461" s="185"/>
      <c r="C3461" s="185"/>
      <c r="D3461" s="20"/>
      <c r="E3461" s="20"/>
    </row>
    <row r="3462">
      <c r="A3462" s="184"/>
      <c r="B3462" s="185"/>
      <c r="C3462" s="185"/>
      <c r="D3462" s="20"/>
      <c r="E3462" s="20"/>
    </row>
    <row r="3463">
      <c r="A3463" s="184"/>
      <c r="B3463" s="185"/>
      <c r="C3463" s="185"/>
      <c r="D3463" s="20"/>
      <c r="E3463" s="20"/>
    </row>
    <row r="3464">
      <c r="A3464" s="184"/>
      <c r="B3464" s="185"/>
      <c r="C3464" s="185"/>
      <c r="D3464" s="20"/>
      <c r="E3464" s="20"/>
    </row>
    <row r="3465">
      <c r="A3465" s="184"/>
      <c r="B3465" s="185"/>
      <c r="C3465" s="185"/>
      <c r="D3465" s="20"/>
      <c r="E3465" s="20"/>
    </row>
    <row r="3466">
      <c r="A3466" s="184"/>
      <c r="B3466" s="185"/>
      <c r="C3466" s="185"/>
      <c r="D3466" s="20"/>
      <c r="E3466" s="20"/>
    </row>
    <row r="3467">
      <c r="A3467" s="184"/>
      <c r="B3467" s="185"/>
      <c r="C3467" s="185"/>
      <c r="D3467" s="20"/>
      <c r="E3467" s="20"/>
    </row>
    <row r="3468">
      <c r="A3468" s="184"/>
      <c r="B3468" s="185"/>
      <c r="C3468" s="185"/>
      <c r="D3468" s="20"/>
      <c r="E3468" s="20"/>
    </row>
    <row r="3469">
      <c r="A3469" s="184"/>
      <c r="B3469" s="185"/>
      <c r="C3469" s="185"/>
      <c r="D3469" s="20"/>
      <c r="E3469" s="20"/>
    </row>
    <row r="3470">
      <c r="A3470" s="184"/>
      <c r="B3470" s="185"/>
      <c r="C3470" s="185"/>
      <c r="D3470" s="20"/>
      <c r="E3470" s="20"/>
    </row>
    <row r="3471">
      <c r="A3471" s="184"/>
      <c r="B3471" s="185"/>
      <c r="C3471" s="185"/>
      <c r="D3471" s="20"/>
      <c r="E3471" s="20"/>
    </row>
    <row r="3472">
      <c r="A3472" s="184"/>
      <c r="B3472" s="185"/>
      <c r="C3472" s="185"/>
      <c r="D3472" s="20"/>
      <c r="E3472" s="20"/>
    </row>
    <row r="3473">
      <c r="A3473" s="184"/>
      <c r="B3473" s="185"/>
      <c r="C3473" s="185"/>
      <c r="D3473" s="20"/>
      <c r="E3473" s="20"/>
    </row>
    <row r="3474">
      <c r="A3474" s="184"/>
      <c r="B3474" s="185"/>
      <c r="C3474" s="185"/>
      <c r="D3474" s="20"/>
      <c r="E3474" s="20"/>
    </row>
    <row r="3475">
      <c r="A3475" s="184"/>
      <c r="B3475" s="185"/>
      <c r="C3475" s="185"/>
      <c r="D3475" s="20"/>
      <c r="E3475" s="20"/>
    </row>
    <row r="3476">
      <c r="A3476" s="184"/>
      <c r="B3476" s="185"/>
      <c r="C3476" s="185"/>
      <c r="D3476" s="20"/>
      <c r="E3476" s="20"/>
    </row>
    <row r="3477">
      <c r="A3477" s="184"/>
      <c r="B3477" s="185"/>
      <c r="C3477" s="185"/>
      <c r="D3477" s="20"/>
      <c r="E3477" s="20"/>
    </row>
    <row r="3478">
      <c r="A3478" s="184"/>
      <c r="B3478" s="185"/>
      <c r="C3478" s="185"/>
      <c r="D3478" s="20"/>
      <c r="E3478" s="20"/>
    </row>
    <row r="3479">
      <c r="A3479" s="184"/>
      <c r="B3479" s="185"/>
      <c r="C3479" s="185"/>
      <c r="D3479" s="20"/>
      <c r="E3479" s="20"/>
    </row>
    <row r="3480">
      <c r="A3480" s="184"/>
      <c r="B3480" s="185"/>
      <c r="C3480" s="185"/>
      <c r="D3480" s="20"/>
      <c r="E3480" s="20"/>
    </row>
    <row r="3481">
      <c r="A3481" s="184"/>
      <c r="B3481" s="185"/>
      <c r="C3481" s="185"/>
      <c r="D3481" s="20"/>
      <c r="E3481" s="20"/>
    </row>
    <row r="3482">
      <c r="A3482" s="184"/>
      <c r="B3482" s="185"/>
      <c r="C3482" s="185"/>
      <c r="D3482" s="20"/>
      <c r="E3482" s="20"/>
    </row>
    <row r="3483">
      <c r="A3483" s="184"/>
      <c r="B3483" s="185"/>
      <c r="C3483" s="185"/>
      <c r="D3483" s="20"/>
      <c r="E3483" s="20"/>
    </row>
    <row r="3484">
      <c r="A3484" s="184"/>
      <c r="B3484" s="185"/>
      <c r="C3484" s="185"/>
      <c r="D3484" s="20"/>
      <c r="E3484" s="20"/>
    </row>
    <row r="3485">
      <c r="A3485" s="184"/>
      <c r="B3485" s="185"/>
      <c r="C3485" s="185"/>
      <c r="D3485" s="20"/>
      <c r="E3485" s="20"/>
    </row>
    <row r="3486">
      <c r="A3486" s="184"/>
      <c r="B3486" s="185"/>
      <c r="C3486" s="185"/>
      <c r="D3486" s="20"/>
      <c r="E3486" s="20"/>
    </row>
    <row r="3487">
      <c r="A3487" s="184"/>
      <c r="B3487" s="185"/>
      <c r="C3487" s="185"/>
      <c r="D3487" s="20"/>
      <c r="E3487" s="20"/>
    </row>
    <row r="3488">
      <c r="A3488" s="184"/>
      <c r="B3488" s="185"/>
      <c r="C3488" s="185"/>
      <c r="D3488" s="20"/>
      <c r="E3488" s="20"/>
    </row>
    <row r="3489">
      <c r="A3489" s="184"/>
      <c r="B3489" s="185"/>
      <c r="C3489" s="185"/>
      <c r="D3489" s="20"/>
      <c r="E3489" s="20"/>
    </row>
    <row r="3490">
      <c r="A3490" s="184"/>
      <c r="B3490" s="185"/>
      <c r="C3490" s="185"/>
      <c r="D3490" s="20"/>
      <c r="E3490" s="20"/>
    </row>
    <row r="3491">
      <c r="A3491" s="184"/>
      <c r="B3491" s="185"/>
      <c r="C3491" s="185"/>
      <c r="D3491" s="20"/>
      <c r="E3491" s="20"/>
    </row>
    <row r="3492">
      <c r="A3492" s="184"/>
      <c r="B3492" s="185"/>
      <c r="C3492" s="185"/>
      <c r="D3492" s="20"/>
      <c r="E3492" s="20"/>
    </row>
    <row r="3493">
      <c r="A3493" s="184"/>
      <c r="B3493" s="185"/>
      <c r="C3493" s="185"/>
      <c r="D3493" s="20"/>
      <c r="E3493" s="20"/>
    </row>
    <row r="3494">
      <c r="A3494" s="184"/>
      <c r="B3494" s="185"/>
      <c r="C3494" s="185"/>
      <c r="D3494" s="20"/>
      <c r="E3494" s="20"/>
    </row>
    <row r="3495">
      <c r="A3495" s="184"/>
      <c r="B3495" s="185"/>
      <c r="C3495" s="185"/>
      <c r="D3495" s="20"/>
      <c r="E3495" s="20"/>
    </row>
    <row r="3496">
      <c r="A3496" s="184"/>
      <c r="B3496" s="185"/>
      <c r="C3496" s="185"/>
      <c r="D3496" s="20"/>
      <c r="E3496" s="20"/>
    </row>
    <row r="3497">
      <c r="A3497" s="184"/>
      <c r="B3497" s="185"/>
      <c r="C3497" s="185"/>
      <c r="D3497" s="20"/>
      <c r="E3497" s="20"/>
    </row>
    <row r="3498">
      <c r="A3498" s="184"/>
      <c r="B3498" s="185"/>
      <c r="C3498" s="185"/>
      <c r="D3498" s="20"/>
      <c r="E3498" s="20"/>
    </row>
    <row r="3499">
      <c r="A3499" s="184"/>
      <c r="B3499" s="185"/>
      <c r="C3499" s="185"/>
      <c r="D3499" s="20"/>
      <c r="E3499" s="20"/>
    </row>
    <row r="3500">
      <c r="A3500" s="184"/>
      <c r="B3500" s="185"/>
      <c r="C3500" s="185"/>
      <c r="D3500" s="20"/>
      <c r="E3500" s="20"/>
    </row>
    <row r="3501">
      <c r="A3501" s="184"/>
      <c r="B3501" s="185"/>
      <c r="C3501" s="185"/>
      <c r="D3501" s="20"/>
      <c r="E3501" s="20"/>
    </row>
    <row r="3502">
      <c r="A3502" s="184"/>
      <c r="B3502" s="185"/>
      <c r="C3502" s="185"/>
      <c r="D3502" s="20"/>
      <c r="E3502" s="20"/>
    </row>
    <row r="3503">
      <c r="A3503" s="184"/>
      <c r="B3503" s="185"/>
      <c r="C3503" s="185"/>
      <c r="D3503" s="20"/>
      <c r="E3503" s="20"/>
    </row>
    <row r="3504">
      <c r="A3504" s="184"/>
      <c r="B3504" s="185"/>
      <c r="C3504" s="185"/>
      <c r="D3504" s="20"/>
      <c r="E3504" s="20"/>
    </row>
    <row r="3505">
      <c r="A3505" s="184"/>
      <c r="B3505" s="185"/>
      <c r="C3505" s="185"/>
      <c r="D3505" s="20"/>
      <c r="E3505" s="20"/>
    </row>
    <row r="3506">
      <c r="A3506" s="184"/>
      <c r="B3506" s="185"/>
      <c r="C3506" s="185"/>
      <c r="D3506" s="20"/>
      <c r="E3506" s="20"/>
    </row>
    <row r="3507">
      <c r="A3507" s="184"/>
      <c r="B3507" s="185"/>
      <c r="C3507" s="185"/>
      <c r="D3507" s="20"/>
      <c r="E3507" s="20"/>
    </row>
    <row r="3508">
      <c r="A3508" s="184"/>
      <c r="B3508" s="185"/>
      <c r="C3508" s="185"/>
      <c r="D3508" s="20"/>
      <c r="E3508" s="20"/>
    </row>
    <row r="3509">
      <c r="A3509" s="184"/>
      <c r="B3509" s="185"/>
      <c r="C3509" s="185"/>
      <c r="D3509" s="20"/>
      <c r="E3509" s="20"/>
    </row>
    <row r="3510">
      <c r="A3510" s="184"/>
      <c r="B3510" s="185"/>
      <c r="C3510" s="185"/>
      <c r="D3510" s="20"/>
      <c r="E3510" s="20"/>
    </row>
    <row r="3511">
      <c r="A3511" s="184"/>
      <c r="B3511" s="185"/>
      <c r="C3511" s="185"/>
      <c r="D3511" s="20"/>
      <c r="E3511" s="20"/>
    </row>
    <row r="3512">
      <c r="A3512" s="184"/>
      <c r="B3512" s="185"/>
      <c r="C3512" s="185"/>
      <c r="D3512" s="20"/>
      <c r="E3512" s="20"/>
    </row>
    <row r="3513">
      <c r="A3513" s="184"/>
      <c r="B3513" s="185"/>
      <c r="C3513" s="185"/>
      <c r="D3513" s="20"/>
      <c r="E3513" s="20"/>
    </row>
    <row r="3514">
      <c r="A3514" s="184"/>
      <c r="B3514" s="185"/>
      <c r="C3514" s="185"/>
      <c r="D3514" s="20"/>
      <c r="E3514" s="20"/>
    </row>
    <row r="3515">
      <c r="A3515" s="184"/>
      <c r="B3515" s="185"/>
      <c r="C3515" s="185"/>
      <c r="D3515" s="20"/>
      <c r="E3515" s="20"/>
    </row>
    <row r="3516">
      <c r="A3516" s="184"/>
      <c r="B3516" s="185"/>
      <c r="C3516" s="185"/>
      <c r="D3516" s="20"/>
      <c r="E3516" s="20"/>
    </row>
    <row r="3517">
      <c r="A3517" s="184"/>
      <c r="B3517" s="185"/>
      <c r="C3517" s="185"/>
      <c r="D3517" s="20"/>
      <c r="E3517" s="20"/>
    </row>
    <row r="3518">
      <c r="A3518" s="184"/>
      <c r="B3518" s="185"/>
      <c r="C3518" s="185"/>
      <c r="D3518" s="20"/>
      <c r="E3518" s="20"/>
    </row>
    <row r="3519">
      <c r="A3519" s="184"/>
      <c r="B3519" s="185"/>
      <c r="C3519" s="185"/>
      <c r="D3519" s="20"/>
      <c r="E3519" s="20"/>
    </row>
    <row r="3520">
      <c r="A3520" s="184"/>
      <c r="B3520" s="185"/>
      <c r="C3520" s="185"/>
      <c r="D3520" s="20"/>
      <c r="E3520" s="20"/>
    </row>
    <row r="3521">
      <c r="A3521" s="184"/>
      <c r="B3521" s="185"/>
      <c r="C3521" s="185"/>
      <c r="D3521" s="20"/>
      <c r="E3521" s="20"/>
    </row>
    <row r="3522">
      <c r="A3522" s="184"/>
      <c r="B3522" s="185"/>
      <c r="C3522" s="185"/>
      <c r="D3522" s="20"/>
      <c r="E3522" s="20"/>
    </row>
    <row r="3523">
      <c r="A3523" s="184"/>
      <c r="B3523" s="185"/>
      <c r="C3523" s="185"/>
      <c r="D3523" s="20"/>
      <c r="E3523" s="20"/>
    </row>
    <row r="3524">
      <c r="A3524" s="184"/>
      <c r="B3524" s="185"/>
      <c r="C3524" s="185"/>
      <c r="D3524" s="20"/>
      <c r="E3524" s="20"/>
    </row>
    <row r="3525">
      <c r="A3525" s="184"/>
      <c r="B3525" s="185"/>
      <c r="C3525" s="185"/>
      <c r="D3525" s="20"/>
      <c r="E3525" s="20"/>
    </row>
    <row r="3526">
      <c r="A3526" s="184"/>
      <c r="B3526" s="185"/>
      <c r="C3526" s="185"/>
      <c r="D3526" s="20"/>
      <c r="E3526" s="20"/>
    </row>
    <row r="3527">
      <c r="A3527" s="184"/>
      <c r="B3527" s="185"/>
      <c r="C3527" s="185"/>
      <c r="D3527" s="20"/>
      <c r="E3527" s="20"/>
    </row>
    <row r="3528">
      <c r="A3528" s="184"/>
      <c r="B3528" s="185"/>
      <c r="C3528" s="185"/>
      <c r="D3528" s="20"/>
      <c r="E3528" s="20"/>
    </row>
    <row r="3529">
      <c r="A3529" s="184"/>
      <c r="B3529" s="185"/>
      <c r="C3529" s="185"/>
      <c r="D3529" s="20"/>
      <c r="E3529" s="20"/>
    </row>
    <row r="3530">
      <c r="A3530" s="184"/>
      <c r="B3530" s="185"/>
      <c r="C3530" s="185"/>
      <c r="D3530" s="20"/>
      <c r="E3530" s="20"/>
    </row>
    <row r="3531">
      <c r="A3531" s="184"/>
      <c r="B3531" s="185"/>
      <c r="C3531" s="185"/>
      <c r="D3531" s="20"/>
      <c r="E3531" s="20"/>
    </row>
    <row r="3532">
      <c r="A3532" s="184"/>
      <c r="B3532" s="185"/>
      <c r="C3532" s="185"/>
      <c r="D3532" s="20"/>
      <c r="E3532" s="20"/>
    </row>
    <row r="3533">
      <c r="A3533" s="184"/>
      <c r="B3533" s="185"/>
      <c r="C3533" s="185"/>
      <c r="D3533" s="20"/>
      <c r="E3533" s="20"/>
    </row>
    <row r="3534">
      <c r="A3534" s="184"/>
      <c r="B3534" s="185"/>
      <c r="C3534" s="185"/>
      <c r="D3534" s="20"/>
      <c r="E3534" s="20"/>
    </row>
    <row r="3535">
      <c r="A3535" s="184"/>
      <c r="B3535" s="185"/>
      <c r="C3535" s="185"/>
      <c r="D3535" s="20"/>
      <c r="E3535" s="20"/>
    </row>
    <row r="3536">
      <c r="A3536" s="184"/>
      <c r="B3536" s="185"/>
      <c r="C3536" s="185"/>
      <c r="D3536" s="20"/>
      <c r="E3536" s="20"/>
    </row>
    <row r="3537">
      <c r="A3537" s="184"/>
      <c r="B3537" s="185"/>
      <c r="C3537" s="185"/>
      <c r="D3537" s="20"/>
      <c r="E3537" s="20"/>
    </row>
    <row r="3538">
      <c r="A3538" s="184"/>
      <c r="B3538" s="185"/>
      <c r="C3538" s="185"/>
      <c r="D3538" s="20"/>
      <c r="E3538" s="20"/>
    </row>
    <row r="3539">
      <c r="A3539" s="184"/>
      <c r="B3539" s="185"/>
      <c r="C3539" s="185"/>
      <c r="D3539" s="20"/>
      <c r="E3539" s="20"/>
    </row>
    <row r="3540">
      <c r="A3540" s="184"/>
      <c r="B3540" s="185"/>
      <c r="C3540" s="185"/>
      <c r="D3540" s="20"/>
      <c r="E3540" s="20"/>
    </row>
    <row r="3541">
      <c r="A3541" s="184"/>
      <c r="B3541" s="185"/>
      <c r="C3541" s="185"/>
      <c r="D3541" s="20"/>
      <c r="E3541" s="20"/>
    </row>
    <row r="3542">
      <c r="A3542" s="184"/>
      <c r="B3542" s="185"/>
      <c r="C3542" s="185"/>
      <c r="D3542" s="20"/>
      <c r="E3542" s="20"/>
    </row>
    <row r="3543">
      <c r="A3543" s="184"/>
      <c r="B3543" s="185"/>
      <c r="C3543" s="185"/>
      <c r="D3543" s="20"/>
      <c r="E3543" s="20"/>
    </row>
    <row r="3544">
      <c r="A3544" s="184"/>
      <c r="B3544" s="185"/>
      <c r="C3544" s="185"/>
      <c r="D3544" s="20"/>
      <c r="E3544" s="20"/>
    </row>
    <row r="3545">
      <c r="A3545" s="184"/>
      <c r="B3545" s="185"/>
      <c r="C3545" s="185"/>
      <c r="D3545" s="20"/>
      <c r="E3545" s="20"/>
    </row>
    <row r="3546">
      <c r="A3546" s="184"/>
      <c r="B3546" s="185"/>
      <c r="C3546" s="185"/>
      <c r="D3546" s="20"/>
      <c r="E3546" s="20"/>
    </row>
    <row r="3547">
      <c r="A3547" s="184"/>
      <c r="B3547" s="185"/>
      <c r="C3547" s="185"/>
      <c r="D3547" s="20"/>
      <c r="E3547" s="20"/>
    </row>
    <row r="3548">
      <c r="A3548" s="184"/>
      <c r="B3548" s="185"/>
      <c r="C3548" s="185"/>
      <c r="D3548" s="20"/>
      <c r="E3548" s="20"/>
    </row>
    <row r="3549">
      <c r="A3549" s="184"/>
      <c r="B3549" s="185"/>
      <c r="C3549" s="185"/>
      <c r="D3549" s="20"/>
      <c r="E3549" s="20"/>
    </row>
    <row r="3550">
      <c r="A3550" s="184"/>
      <c r="B3550" s="185"/>
      <c r="C3550" s="185"/>
      <c r="D3550" s="20"/>
      <c r="E3550" s="20"/>
    </row>
    <row r="3551">
      <c r="A3551" s="184"/>
      <c r="B3551" s="185"/>
      <c r="C3551" s="185"/>
      <c r="D3551" s="20"/>
      <c r="E3551" s="20"/>
    </row>
    <row r="3552">
      <c r="A3552" s="184"/>
      <c r="B3552" s="185"/>
      <c r="C3552" s="185"/>
      <c r="D3552" s="20"/>
      <c r="E3552" s="20"/>
    </row>
    <row r="3553">
      <c r="A3553" s="184"/>
      <c r="B3553" s="185"/>
      <c r="C3553" s="185"/>
      <c r="D3553" s="20"/>
      <c r="E3553" s="20"/>
    </row>
    <row r="3554">
      <c r="A3554" s="184"/>
      <c r="B3554" s="185"/>
      <c r="C3554" s="185"/>
      <c r="D3554" s="20"/>
      <c r="E3554" s="20"/>
    </row>
    <row r="3555">
      <c r="A3555" s="184"/>
      <c r="B3555" s="185"/>
      <c r="C3555" s="185"/>
      <c r="D3555" s="20"/>
      <c r="E3555" s="20"/>
    </row>
    <row r="3556">
      <c r="A3556" s="184"/>
      <c r="B3556" s="185"/>
      <c r="C3556" s="185"/>
      <c r="D3556" s="20"/>
      <c r="E3556" s="20"/>
    </row>
    <row r="3557">
      <c r="A3557" s="184"/>
      <c r="B3557" s="185"/>
      <c r="C3557" s="185"/>
      <c r="D3557" s="20"/>
      <c r="E3557" s="20"/>
    </row>
    <row r="3558">
      <c r="A3558" s="184"/>
      <c r="B3558" s="185"/>
      <c r="C3558" s="185"/>
      <c r="D3558" s="20"/>
      <c r="E3558" s="20"/>
    </row>
    <row r="3559">
      <c r="A3559" s="184"/>
      <c r="B3559" s="185"/>
      <c r="C3559" s="185"/>
      <c r="D3559" s="20"/>
      <c r="E3559" s="20"/>
    </row>
    <row r="3560">
      <c r="A3560" s="184"/>
      <c r="B3560" s="185"/>
      <c r="C3560" s="185"/>
      <c r="D3560" s="20"/>
      <c r="E3560" s="20"/>
    </row>
    <row r="3561">
      <c r="A3561" s="184"/>
      <c r="B3561" s="185"/>
      <c r="C3561" s="185"/>
      <c r="D3561" s="20"/>
      <c r="E3561" s="20"/>
    </row>
    <row r="3562">
      <c r="A3562" s="184"/>
      <c r="B3562" s="185"/>
      <c r="C3562" s="185"/>
      <c r="D3562" s="20"/>
      <c r="E3562" s="20"/>
    </row>
    <row r="3563">
      <c r="A3563" s="184"/>
      <c r="B3563" s="185"/>
      <c r="C3563" s="185"/>
      <c r="D3563" s="20"/>
      <c r="E3563" s="20"/>
    </row>
    <row r="3564">
      <c r="A3564" s="184"/>
      <c r="B3564" s="185"/>
      <c r="C3564" s="185"/>
      <c r="D3564" s="20"/>
      <c r="E3564" s="20"/>
    </row>
    <row r="3565">
      <c r="A3565" s="184"/>
      <c r="B3565" s="185"/>
      <c r="C3565" s="185"/>
      <c r="D3565" s="20"/>
      <c r="E3565" s="20"/>
    </row>
    <row r="3566">
      <c r="A3566" s="184"/>
      <c r="B3566" s="185"/>
      <c r="C3566" s="185"/>
      <c r="D3566" s="20"/>
      <c r="E3566" s="20"/>
    </row>
    <row r="3567">
      <c r="A3567" s="184"/>
      <c r="B3567" s="185"/>
      <c r="C3567" s="185"/>
      <c r="D3567" s="20"/>
      <c r="E3567" s="20"/>
    </row>
    <row r="3568">
      <c r="A3568" s="184"/>
      <c r="B3568" s="185"/>
      <c r="C3568" s="185"/>
      <c r="D3568" s="20"/>
      <c r="E3568" s="20"/>
    </row>
    <row r="3569">
      <c r="A3569" s="184"/>
      <c r="B3569" s="185"/>
      <c r="C3569" s="185"/>
      <c r="D3569" s="20"/>
      <c r="E3569" s="20"/>
    </row>
    <row r="3570">
      <c r="A3570" s="184"/>
      <c r="B3570" s="185"/>
      <c r="C3570" s="185"/>
      <c r="D3570" s="20"/>
      <c r="E3570" s="20"/>
    </row>
    <row r="3571">
      <c r="A3571" s="184"/>
      <c r="B3571" s="185"/>
      <c r="C3571" s="185"/>
      <c r="D3571" s="20"/>
      <c r="E3571" s="20"/>
    </row>
    <row r="3572">
      <c r="A3572" s="184"/>
      <c r="B3572" s="185"/>
      <c r="C3572" s="185"/>
      <c r="D3572" s="20"/>
      <c r="E3572" s="20"/>
    </row>
    <row r="3573">
      <c r="A3573" s="184"/>
      <c r="B3573" s="185"/>
      <c r="C3573" s="185"/>
      <c r="D3573" s="20"/>
      <c r="E3573" s="20"/>
    </row>
    <row r="3574">
      <c r="A3574" s="184"/>
      <c r="B3574" s="185"/>
      <c r="C3574" s="185"/>
      <c r="D3574" s="20"/>
      <c r="E3574" s="20"/>
    </row>
    <row r="3575">
      <c r="A3575" s="184"/>
      <c r="B3575" s="185"/>
      <c r="C3575" s="185"/>
      <c r="D3575" s="20"/>
      <c r="E3575" s="20"/>
    </row>
    <row r="3576">
      <c r="A3576" s="184"/>
      <c r="B3576" s="185"/>
      <c r="C3576" s="185"/>
      <c r="D3576" s="20"/>
      <c r="E3576" s="20"/>
    </row>
    <row r="3577">
      <c r="A3577" s="184"/>
      <c r="B3577" s="185"/>
      <c r="C3577" s="185"/>
      <c r="D3577" s="20"/>
      <c r="E3577" s="20"/>
    </row>
    <row r="3578">
      <c r="A3578" s="184"/>
      <c r="B3578" s="185"/>
      <c r="C3578" s="185"/>
      <c r="D3578" s="20"/>
      <c r="E3578" s="20"/>
    </row>
    <row r="3579">
      <c r="A3579" s="184"/>
      <c r="B3579" s="185"/>
      <c r="C3579" s="185"/>
      <c r="D3579" s="20"/>
      <c r="E3579" s="20"/>
    </row>
    <row r="3580">
      <c r="A3580" s="184"/>
      <c r="B3580" s="185"/>
      <c r="C3580" s="185"/>
      <c r="D3580" s="20"/>
      <c r="E3580" s="20"/>
    </row>
    <row r="3581">
      <c r="A3581" s="184"/>
      <c r="B3581" s="185"/>
      <c r="C3581" s="185"/>
      <c r="D3581" s="20"/>
      <c r="E3581" s="20"/>
    </row>
    <row r="3582">
      <c r="A3582" s="184"/>
      <c r="B3582" s="185"/>
      <c r="C3582" s="185"/>
      <c r="D3582" s="20"/>
      <c r="E3582" s="20"/>
    </row>
    <row r="3583">
      <c r="A3583" s="184"/>
      <c r="B3583" s="185"/>
      <c r="C3583" s="185"/>
      <c r="D3583" s="20"/>
      <c r="E3583" s="20"/>
    </row>
    <row r="3584">
      <c r="A3584" s="184"/>
      <c r="B3584" s="185"/>
      <c r="C3584" s="185"/>
      <c r="D3584" s="20"/>
      <c r="E3584" s="20"/>
    </row>
    <row r="3585">
      <c r="A3585" s="184"/>
      <c r="B3585" s="185"/>
      <c r="C3585" s="185"/>
      <c r="D3585" s="20"/>
      <c r="E3585" s="20"/>
    </row>
    <row r="3586">
      <c r="A3586" s="184"/>
      <c r="B3586" s="185"/>
      <c r="C3586" s="185"/>
      <c r="D3586" s="20"/>
      <c r="E3586" s="20"/>
    </row>
    <row r="3587">
      <c r="A3587" s="184"/>
      <c r="B3587" s="185"/>
      <c r="C3587" s="185"/>
      <c r="D3587" s="20"/>
      <c r="E3587" s="20"/>
    </row>
    <row r="3588">
      <c r="A3588" s="184"/>
      <c r="B3588" s="185"/>
      <c r="C3588" s="185"/>
      <c r="D3588" s="20"/>
      <c r="E3588" s="20"/>
    </row>
    <row r="3589">
      <c r="A3589" s="184"/>
      <c r="B3589" s="185"/>
      <c r="C3589" s="185"/>
      <c r="D3589" s="20"/>
      <c r="E3589" s="20"/>
    </row>
    <row r="3590">
      <c r="A3590" s="184"/>
      <c r="B3590" s="185"/>
      <c r="C3590" s="185"/>
      <c r="D3590" s="20"/>
      <c r="E3590" s="20"/>
    </row>
    <row r="3591">
      <c r="A3591" s="184"/>
      <c r="B3591" s="185"/>
      <c r="C3591" s="185"/>
      <c r="D3591" s="20"/>
      <c r="E3591" s="20"/>
    </row>
    <row r="3592">
      <c r="A3592" s="184"/>
      <c r="B3592" s="185"/>
      <c r="C3592" s="185"/>
      <c r="D3592" s="20"/>
      <c r="E3592" s="20"/>
    </row>
    <row r="3593">
      <c r="A3593" s="184"/>
      <c r="B3593" s="185"/>
      <c r="C3593" s="185"/>
      <c r="D3593" s="20"/>
      <c r="E3593" s="20"/>
    </row>
    <row r="3594">
      <c r="A3594" s="184"/>
      <c r="B3594" s="185"/>
      <c r="C3594" s="185"/>
      <c r="D3594" s="20"/>
      <c r="E3594" s="20"/>
    </row>
    <row r="3595">
      <c r="A3595" s="184"/>
      <c r="B3595" s="185"/>
      <c r="C3595" s="185"/>
      <c r="D3595" s="20"/>
      <c r="E3595" s="20"/>
    </row>
    <row r="3596">
      <c r="A3596" s="184"/>
      <c r="B3596" s="185"/>
      <c r="C3596" s="185"/>
      <c r="D3596" s="20"/>
      <c r="E3596" s="20"/>
    </row>
    <row r="3597">
      <c r="A3597" s="184"/>
      <c r="B3597" s="185"/>
      <c r="C3597" s="185"/>
      <c r="D3597" s="20"/>
      <c r="E3597" s="20"/>
    </row>
    <row r="3598">
      <c r="A3598" s="184"/>
      <c r="B3598" s="185"/>
      <c r="C3598" s="185"/>
      <c r="D3598" s="20"/>
      <c r="E3598" s="20"/>
    </row>
    <row r="3599">
      <c r="A3599" s="184"/>
      <c r="B3599" s="185"/>
      <c r="C3599" s="185"/>
      <c r="D3599" s="20"/>
      <c r="E3599" s="20"/>
    </row>
    <row r="3600">
      <c r="A3600" s="184"/>
      <c r="B3600" s="185"/>
      <c r="C3600" s="185"/>
      <c r="D3600" s="20"/>
      <c r="E3600" s="20"/>
    </row>
    <row r="3601">
      <c r="A3601" s="184"/>
      <c r="B3601" s="185"/>
      <c r="C3601" s="185"/>
      <c r="D3601" s="20"/>
      <c r="E3601" s="20"/>
    </row>
    <row r="3602">
      <c r="A3602" s="184"/>
      <c r="B3602" s="185"/>
      <c r="C3602" s="185"/>
      <c r="D3602" s="20"/>
      <c r="E3602" s="20"/>
    </row>
    <row r="3603">
      <c r="A3603" s="184"/>
      <c r="B3603" s="185"/>
      <c r="C3603" s="185"/>
      <c r="D3603" s="20"/>
      <c r="E3603" s="20"/>
    </row>
    <row r="3604">
      <c r="A3604" s="184"/>
      <c r="B3604" s="185"/>
      <c r="C3604" s="185"/>
      <c r="D3604" s="20"/>
      <c r="E3604" s="20"/>
    </row>
    <row r="3605">
      <c r="A3605" s="184"/>
      <c r="B3605" s="185"/>
      <c r="C3605" s="185"/>
      <c r="D3605" s="20"/>
      <c r="E3605" s="20"/>
    </row>
    <row r="3606">
      <c r="A3606" s="184"/>
      <c r="B3606" s="185"/>
      <c r="C3606" s="185"/>
      <c r="D3606" s="20"/>
      <c r="E3606" s="20"/>
    </row>
    <row r="3607">
      <c r="A3607" s="184"/>
      <c r="B3607" s="185"/>
      <c r="C3607" s="185"/>
      <c r="D3607" s="20"/>
      <c r="E3607" s="20"/>
    </row>
    <row r="3608">
      <c r="A3608" s="184"/>
      <c r="B3608" s="185"/>
      <c r="C3608" s="185"/>
      <c r="D3608" s="20"/>
      <c r="E3608" s="20"/>
    </row>
    <row r="3609">
      <c r="A3609" s="184"/>
      <c r="B3609" s="185"/>
      <c r="C3609" s="185"/>
      <c r="D3609" s="20"/>
      <c r="E3609" s="20"/>
    </row>
    <row r="3610">
      <c r="A3610" s="184"/>
      <c r="B3610" s="185"/>
      <c r="C3610" s="185"/>
      <c r="D3610" s="20"/>
      <c r="E3610" s="20"/>
    </row>
    <row r="3611">
      <c r="A3611" s="184"/>
      <c r="B3611" s="185"/>
      <c r="C3611" s="185"/>
      <c r="D3611" s="20"/>
      <c r="E3611" s="20"/>
    </row>
    <row r="3612">
      <c r="A3612" s="184"/>
      <c r="B3612" s="185"/>
      <c r="C3612" s="185"/>
      <c r="D3612" s="20"/>
      <c r="E3612" s="20"/>
    </row>
    <row r="3613">
      <c r="A3613" s="184"/>
      <c r="B3613" s="185"/>
      <c r="C3613" s="185"/>
      <c r="D3613" s="20"/>
      <c r="E3613" s="20"/>
    </row>
    <row r="3614">
      <c r="A3614" s="184"/>
      <c r="B3614" s="185"/>
      <c r="C3614" s="185"/>
      <c r="D3614" s="20"/>
      <c r="E3614" s="20"/>
    </row>
    <row r="3615">
      <c r="A3615" s="184"/>
      <c r="B3615" s="185"/>
      <c r="C3615" s="185"/>
      <c r="D3615" s="20"/>
      <c r="E3615" s="20"/>
    </row>
    <row r="3616">
      <c r="A3616" s="184"/>
      <c r="B3616" s="185"/>
      <c r="C3616" s="185"/>
      <c r="D3616" s="20"/>
      <c r="E3616" s="20"/>
    </row>
    <row r="3617">
      <c r="A3617" s="184"/>
      <c r="B3617" s="185"/>
      <c r="C3617" s="185"/>
      <c r="D3617" s="20"/>
      <c r="E3617" s="20"/>
    </row>
    <row r="3618">
      <c r="A3618" s="184"/>
      <c r="B3618" s="185"/>
      <c r="C3618" s="185"/>
      <c r="D3618" s="20"/>
      <c r="E3618" s="20"/>
    </row>
    <row r="3619">
      <c r="A3619" s="184"/>
      <c r="B3619" s="185"/>
      <c r="C3619" s="185"/>
      <c r="D3619" s="20"/>
      <c r="E3619" s="20"/>
    </row>
    <row r="3620">
      <c r="A3620" s="184"/>
      <c r="B3620" s="185"/>
      <c r="C3620" s="185"/>
      <c r="D3620" s="20"/>
      <c r="E3620" s="20"/>
    </row>
    <row r="3621">
      <c r="A3621" s="184"/>
      <c r="B3621" s="185"/>
      <c r="C3621" s="185"/>
      <c r="D3621" s="20"/>
      <c r="E3621" s="20"/>
    </row>
    <row r="3622">
      <c r="A3622" s="184"/>
      <c r="B3622" s="185"/>
      <c r="C3622" s="185"/>
      <c r="D3622" s="20"/>
      <c r="E3622" s="20"/>
    </row>
    <row r="3623">
      <c r="A3623" s="184"/>
      <c r="B3623" s="185"/>
      <c r="C3623" s="185"/>
      <c r="D3623" s="20"/>
      <c r="E3623" s="20"/>
    </row>
    <row r="3624">
      <c r="A3624" s="184"/>
      <c r="B3624" s="185"/>
      <c r="C3624" s="185"/>
      <c r="D3624" s="20"/>
      <c r="E3624" s="20"/>
    </row>
    <row r="3625">
      <c r="A3625" s="184"/>
      <c r="B3625" s="185"/>
      <c r="C3625" s="185"/>
      <c r="D3625" s="20"/>
      <c r="E3625" s="20"/>
    </row>
    <row r="3626">
      <c r="A3626" s="184"/>
      <c r="B3626" s="185"/>
      <c r="C3626" s="185"/>
      <c r="D3626" s="20"/>
      <c r="E3626" s="20"/>
    </row>
    <row r="3627">
      <c r="A3627" s="184"/>
      <c r="B3627" s="185"/>
      <c r="C3627" s="185"/>
      <c r="D3627" s="20"/>
      <c r="E3627" s="20"/>
    </row>
    <row r="3628">
      <c r="A3628" s="184"/>
      <c r="B3628" s="185"/>
      <c r="C3628" s="185"/>
      <c r="D3628" s="20"/>
      <c r="E3628" s="20"/>
    </row>
    <row r="3629">
      <c r="A3629" s="184"/>
      <c r="B3629" s="185"/>
      <c r="C3629" s="185"/>
      <c r="D3629" s="20"/>
      <c r="E3629" s="20"/>
    </row>
    <row r="3630">
      <c r="A3630" s="184"/>
      <c r="B3630" s="185"/>
      <c r="C3630" s="185"/>
      <c r="D3630" s="20"/>
      <c r="E3630" s="20"/>
    </row>
    <row r="3631">
      <c r="A3631" s="184"/>
      <c r="B3631" s="185"/>
      <c r="C3631" s="185"/>
      <c r="D3631" s="20"/>
      <c r="E3631" s="20"/>
    </row>
    <row r="3632">
      <c r="A3632" s="184"/>
      <c r="B3632" s="185"/>
      <c r="C3632" s="185"/>
      <c r="D3632" s="20"/>
      <c r="E3632" s="20"/>
    </row>
    <row r="3633">
      <c r="A3633" s="184"/>
      <c r="B3633" s="185"/>
      <c r="C3633" s="185"/>
      <c r="D3633" s="20"/>
      <c r="E3633" s="20"/>
    </row>
    <row r="3634">
      <c r="A3634" s="184"/>
      <c r="B3634" s="185"/>
      <c r="C3634" s="185"/>
      <c r="D3634" s="20"/>
      <c r="E3634" s="20"/>
    </row>
    <row r="3635">
      <c r="A3635" s="184"/>
      <c r="B3635" s="185"/>
      <c r="C3635" s="185"/>
      <c r="D3635" s="20"/>
      <c r="E3635" s="20"/>
    </row>
    <row r="3636">
      <c r="A3636" s="184"/>
      <c r="B3636" s="185"/>
      <c r="C3636" s="185"/>
      <c r="D3636" s="20"/>
      <c r="E3636" s="20"/>
    </row>
    <row r="3637">
      <c r="A3637" s="184"/>
      <c r="B3637" s="185"/>
      <c r="C3637" s="185"/>
      <c r="D3637" s="20"/>
      <c r="E3637" s="20"/>
    </row>
    <row r="3638">
      <c r="A3638" s="184"/>
      <c r="B3638" s="185"/>
      <c r="C3638" s="185"/>
      <c r="D3638" s="20"/>
      <c r="E3638" s="20"/>
    </row>
    <row r="3639">
      <c r="A3639" s="184"/>
      <c r="B3639" s="185"/>
      <c r="C3639" s="185"/>
      <c r="D3639" s="20"/>
      <c r="E3639" s="20"/>
    </row>
    <row r="3640">
      <c r="A3640" s="184"/>
      <c r="B3640" s="185"/>
      <c r="C3640" s="185"/>
      <c r="D3640" s="20"/>
      <c r="E3640" s="20"/>
    </row>
    <row r="3641">
      <c r="A3641" s="184"/>
      <c r="B3641" s="185"/>
      <c r="C3641" s="185"/>
      <c r="D3641" s="20"/>
      <c r="E3641" s="20"/>
    </row>
    <row r="3642">
      <c r="A3642" s="184"/>
      <c r="B3642" s="185"/>
      <c r="C3642" s="185"/>
      <c r="D3642" s="20"/>
      <c r="E3642" s="20"/>
    </row>
    <row r="3643">
      <c r="A3643" s="184"/>
      <c r="B3643" s="185"/>
      <c r="C3643" s="185"/>
      <c r="D3643" s="20"/>
      <c r="E3643" s="20"/>
    </row>
    <row r="3644">
      <c r="A3644" s="184"/>
      <c r="B3644" s="185"/>
      <c r="C3644" s="185"/>
      <c r="D3644" s="20"/>
      <c r="E3644" s="20"/>
    </row>
    <row r="3645">
      <c r="A3645" s="184"/>
      <c r="B3645" s="185"/>
      <c r="C3645" s="185"/>
      <c r="D3645" s="20"/>
      <c r="E3645" s="20"/>
    </row>
    <row r="3646">
      <c r="A3646" s="184"/>
      <c r="B3646" s="185"/>
      <c r="C3646" s="185"/>
      <c r="D3646" s="20"/>
      <c r="E3646" s="20"/>
    </row>
    <row r="3647">
      <c r="A3647" s="184"/>
      <c r="B3647" s="185"/>
      <c r="C3647" s="185"/>
      <c r="D3647" s="20"/>
      <c r="E3647" s="20"/>
    </row>
    <row r="3648">
      <c r="A3648" s="184"/>
      <c r="B3648" s="185"/>
      <c r="C3648" s="185"/>
      <c r="D3648" s="20"/>
      <c r="E3648" s="20"/>
    </row>
    <row r="3649">
      <c r="A3649" s="184"/>
      <c r="B3649" s="185"/>
      <c r="C3649" s="185"/>
      <c r="D3649" s="20"/>
      <c r="E3649" s="20"/>
    </row>
    <row r="3650">
      <c r="A3650" s="184"/>
      <c r="B3650" s="185"/>
      <c r="C3650" s="185"/>
      <c r="D3650" s="20"/>
      <c r="E3650" s="20"/>
    </row>
    <row r="3651">
      <c r="A3651" s="184"/>
      <c r="B3651" s="185"/>
      <c r="C3651" s="185"/>
      <c r="D3651" s="20"/>
      <c r="E3651" s="20"/>
    </row>
    <row r="3652">
      <c r="A3652" s="184"/>
      <c r="B3652" s="185"/>
      <c r="C3652" s="185"/>
      <c r="D3652" s="20"/>
      <c r="E3652" s="20"/>
    </row>
    <row r="3653">
      <c r="A3653" s="184"/>
      <c r="B3653" s="185"/>
      <c r="C3653" s="185"/>
      <c r="D3653" s="20"/>
      <c r="E3653" s="20"/>
    </row>
    <row r="3654">
      <c r="A3654" s="184"/>
      <c r="B3654" s="185"/>
      <c r="C3654" s="185"/>
      <c r="D3654" s="20"/>
      <c r="E3654" s="20"/>
    </row>
    <row r="3655">
      <c r="A3655" s="184"/>
      <c r="B3655" s="185"/>
      <c r="C3655" s="185"/>
      <c r="D3655" s="20"/>
      <c r="E3655" s="20"/>
    </row>
    <row r="3656">
      <c r="A3656" s="184"/>
      <c r="B3656" s="185"/>
      <c r="C3656" s="185"/>
      <c r="D3656" s="20"/>
      <c r="E3656" s="20"/>
    </row>
    <row r="3657">
      <c r="A3657" s="184"/>
      <c r="B3657" s="185"/>
      <c r="C3657" s="185"/>
      <c r="D3657" s="20"/>
      <c r="E3657" s="20"/>
    </row>
    <row r="3658">
      <c r="A3658" s="184"/>
      <c r="B3658" s="185"/>
      <c r="C3658" s="185"/>
      <c r="D3658" s="20"/>
      <c r="E3658" s="20"/>
    </row>
    <row r="3659">
      <c r="A3659" s="184"/>
      <c r="B3659" s="185"/>
      <c r="C3659" s="185"/>
      <c r="D3659" s="20"/>
      <c r="E3659" s="20"/>
    </row>
    <row r="3660">
      <c r="A3660" s="184"/>
      <c r="B3660" s="185"/>
      <c r="C3660" s="185"/>
      <c r="D3660" s="20"/>
      <c r="E3660" s="20"/>
    </row>
    <row r="3661">
      <c r="A3661" s="184"/>
      <c r="B3661" s="185"/>
      <c r="C3661" s="185"/>
      <c r="D3661" s="20"/>
      <c r="E3661" s="20"/>
    </row>
    <row r="3662">
      <c r="A3662" s="184"/>
      <c r="B3662" s="185"/>
      <c r="C3662" s="185"/>
      <c r="D3662" s="20"/>
      <c r="E3662" s="20"/>
    </row>
    <row r="3663">
      <c r="A3663" s="184"/>
      <c r="B3663" s="185"/>
      <c r="C3663" s="185"/>
      <c r="D3663" s="20"/>
      <c r="E3663" s="20"/>
    </row>
    <row r="3664">
      <c r="A3664" s="184"/>
      <c r="B3664" s="185"/>
      <c r="C3664" s="185"/>
      <c r="D3664" s="20"/>
      <c r="E3664" s="20"/>
    </row>
    <row r="3665">
      <c r="A3665" s="184"/>
      <c r="B3665" s="185"/>
      <c r="C3665" s="185"/>
      <c r="D3665" s="20"/>
      <c r="E3665" s="20"/>
    </row>
    <row r="3666">
      <c r="A3666" s="184"/>
      <c r="B3666" s="185"/>
      <c r="C3666" s="185"/>
      <c r="D3666" s="20"/>
      <c r="E3666" s="20"/>
    </row>
    <row r="3667">
      <c r="A3667" s="184"/>
      <c r="B3667" s="185"/>
      <c r="C3667" s="185"/>
      <c r="D3667" s="20"/>
      <c r="E3667" s="20"/>
    </row>
    <row r="3668">
      <c r="A3668" s="184"/>
      <c r="B3668" s="185"/>
      <c r="C3668" s="185"/>
      <c r="D3668" s="20"/>
      <c r="E3668" s="20"/>
    </row>
    <row r="3669">
      <c r="A3669" s="184"/>
      <c r="B3669" s="185"/>
      <c r="C3669" s="185"/>
      <c r="D3669" s="20"/>
      <c r="E3669" s="20"/>
    </row>
    <row r="3670">
      <c r="A3670" s="184"/>
      <c r="B3670" s="185"/>
      <c r="C3670" s="185"/>
      <c r="D3670" s="20"/>
      <c r="E3670" s="20"/>
    </row>
    <row r="3671">
      <c r="A3671" s="184"/>
      <c r="B3671" s="185"/>
      <c r="C3671" s="185"/>
      <c r="D3671" s="20"/>
      <c r="E3671" s="20"/>
    </row>
    <row r="3672">
      <c r="A3672" s="184"/>
      <c r="B3672" s="185"/>
      <c r="C3672" s="185"/>
      <c r="D3672" s="20"/>
      <c r="E3672" s="20"/>
    </row>
    <row r="3673">
      <c r="A3673" s="184"/>
      <c r="B3673" s="185"/>
      <c r="C3673" s="185"/>
      <c r="D3673" s="20"/>
      <c r="E3673" s="20"/>
    </row>
    <row r="3674">
      <c r="A3674" s="184"/>
      <c r="B3674" s="185"/>
      <c r="C3674" s="185"/>
      <c r="D3674" s="20"/>
      <c r="E3674" s="20"/>
    </row>
    <row r="3675">
      <c r="A3675" s="184"/>
      <c r="B3675" s="185"/>
      <c r="C3675" s="185"/>
      <c r="D3675" s="20"/>
      <c r="E3675" s="20"/>
    </row>
    <row r="3676">
      <c r="A3676" s="184"/>
      <c r="B3676" s="185"/>
      <c r="C3676" s="185"/>
      <c r="D3676" s="20"/>
      <c r="E3676" s="20"/>
    </row>
    <row r="3677">
      <c r="A3677" s="184"/>
      <c r="B3677" s="185"/>
      <c r="C3677" s="185"/>
      <c r="D3677" s="20"/>
      <c r="E3677" s="20"/>
    </row>
    <row r="3678">
      <c r="A3678" s="184"/>
      <c r="B3678" s="185"/>
      <c r="C3678" s="185"/>
      <c r="D3678" s="20"/>
      <c r="E3678" s="20"/>
    </row>
    <row r="3679">
      <c r="A3679" s="184"/>
      <c r="B3679" s="185"/>
      <c r="C3679" s="185"/>
      <c r="D3679" s="20"/>
      <c r="E3679" s="20"/>
    </row>
    <row r="3680">
      <c r="A3680" s="184"/>
      <c r="B3680" s="185"/>
      <c r="C3680" s="185"/>
      <c r="D3680" s="20"/>
      <c r="E3680" s="20"/>
    </row>
    <row r="3681">
      <c r="A3681" s="184"/>
      <c r="B3681" s="185"/>
      <c r="C3681" s="185"/>
      <c r="D3681" s="20"/>
      <c r="E3681" s="20"/>
    </row>
    <row r="3682">
      <c r="A3682" s="184"/>
      <c r="B3682" s="185"/>
      <c r="C3682" s="185"/>
      <c r="D3682" s="20"/>
      <c r="E3682" s="20"/>
    </row>
    <row r="3683">
      <c r="A3683" s="184"/>
      <c r="B3683" s="185"/>
      <c r="C3683" s="185"/>
      <c r="D3683" s="20"/>
      <c r="E3683" s="20"/>
    </row>
    <row r="3684">
      <c r="A3684" s="184"/>
      <c r="B3684" s="185"/>
      <c r="C3684" s="185"/>
      <c r="D3684" s="20"/>
      <c r="E3684" s="20"/>
    </row>
    <row r="3685">
      <c r="A3685" s="184"/>
      <c r="B3685" s="185"/>
      <c r="C3685" s="185"/>
      <c r="D3685" s="20"/>
      <c r="E3685" s="20"/>
    </row>
    <row r="3686">
      <c r="A3686" s="184"/>
      <c r="B3686" s="185"/>
      <c r="C3686" s="185"/>
      <c r="D3686" s="20"/>
      <c r="E3686" s="20"/>
    </row>
    <row r="3687">
      <c r="A3687" s="184"/>
      <c r="B3687" s="185"/>
      <c r="C3687" s="185"/>
      <c r="D3687" s="20"/>
      <c r="E3687" s="20"/>
    </row>
    <row r="3688">
      <c r="A3688" s="184"/>
      <c r="B3688" s="185"/>
      <c r="C3688" s="185"/>
      <c r="D3688" s="20"/>
      <c r="E3688" s="20"/>
    </row>
    <row r="3689">
      <c r="A3689" s="184"/>
      <c r="B3689" s="185"/>
      <c r="C3689" s="185"/>
      <c r="D3689" s="20"/>
      <c r="E3689" s="20"/>
    </row>
    <row r="3690">
      <c r="A3690" s="184"/>
      <c r="B3690" s="185"/>
      <c r="C3690" s="185"/>
      <c r="D3690" s="20"/>
      <c r="E3690" s="20"/>
    </row>
    <row r="3691">
      <c r="A3691" s="184"/>
      <c r="B3691" s="185"/>
      <c r="C3691" s="185"/>
      <c r="D3691" s="20"/>
      <c r="E3691" s="20"/>
    </row>
    <row r="3692">
      <c r="A3692" s="184"/>
      <c r="B3692" s="185"/>
      <c r="C3692" s="185"/>
      <c r="D3692" s="20"/>
      <c r="E3692" s="20"/>
    </row>
    <row r="3693">
      <c r="A3693" s="184"/>
      <c r="B3693" s="185"/>
      <c r="C3693" s="185"/>
      <c r="D3693" s="20"/>
      <c r="E3693" s="20"/>
    </row>
    <row r="3694">
      <c r="A3694" s="184"/>
      <c r="B3694" s="185"/>
      <c r="C3694" s="185"/>
      <c r="D3694" s="20"/>
      <c r="E3694" s="20"/>
    </row>
    <row r="3695">
      <c r="A3695" s="184"/>
      <c r="B3695" s="185"/>
      <c r="C3695" s="185"/>
      <c r="D3695" s="20"/>
      <c r="E3695" s="20"/>
    </row>
    <row r="3696">
      <c r="A3696" s="184"/>
      <c r="B3696" s="185"/>
      <c r="C3696" s="185"/>
      <c r="D3696" s="20"/>
      <c r="E3696" s="20"/>
    </row>
    <row r="3697">
      <c r="A3697" s="184"/>
      <c r="B3697" s="185"/>
      <c r="C3697" s="185"/>
      <c r="D3697" s="20"/>
      <c r="E3697" s="20"/>
    </row>
    <row r="3698">
      <c r="A3698" s="184"/>
      <c r="B3698" s="185"/>
      <c r="C3698" s="185"/>
      <c r="D3698" s="20"/>
      <c r="E3698" s="20"/>
    </row>
    <row r="3699">
      <c r="A3699" s="184"/>
      <c r="B3699" s="185"/>
      <c r="C3699" s="185"/>
      <c r="D3699" s="20"/>
      <c r="E3699" s="20"/>
    </row>
    <row r="3700">
      <c r="A3700" s="184"/>
      <c r="B3700" s="185"/>
      <c r="C3700" s="185"/>
      <c r="D3700" s="20"/>
      <c r="E3700" s="20"/>
    </row>
    <row r="3701">
      <c r="A3701" s="184"/>
      <c r="B3701" s="185"/>
      <c r="C3701" s="185"/>
      <c r="D3701" s="20"/>
      <c r="E3701" s="20"/>
    </row>
    <row r="3702">
      <c r="A3702" s="184"/>
      <c r="B3702" s="185"/>
      <c r="C3702" s="185"/>
      <c r="D3702" s="20"/>
      <c r="E3702" s="20"/>
    </row>
    <row r="3703">
      <c r="A3703" s="184"/>
      <c r="B3703" s="185"/>
      <c r="C3703" s="185"/>
      <c r="D3703" s="20"/>
      <c r="E3703" s="20"/>
    </row>
    <row r="3704">
      <c r="A3704" s="184"/>
      <c r="B3704" s="185"/>
      <c r="C3704" s="185"/>
      <c r="D3704" s="20"/>
      <c r="E3704" s="20"/>
    </row>
    <row r="3705">
      <c r="A3705" s="184"/>
      <c r="B3705" s="185"/>
      <c r="C3705" s="185"/>
      <c r="D3705" s="20"/>
      <c r="E3705" s="20"/>
    </row>
    <row r="3706">
      <c r="A3706" s="184"/>
      <c r="B3706" s="185"/>
      <c r="C3706" s="185"/>
      <c r="D3706" s="20"/>
      <c r="E3706" s="20"/>
    </row>
    <row r="3707">
      <c r="A3707" s="184"/>
      <c r="B3707" s="185"/>
      <c r="C3707" s="185"/>
      <c r="D3707" s="20"/>
      <c r="E3707" s="20"/>
    </row>
    <row r="3708">
      <c r="A3708" s="184"/>
      <c r="B3708" s="185"/>
      <c r="C3708" s="185"/>
      <c r="D3708" s="20"/>
      <c r="E3708" s="20"/>
    </row>
    <row r="3709">
      <c r="A3709" s="184"/>
      <c r="B3709" s="185"/>
      <c r="C3709" s="185"/>
      <c r="D3709" s="20"/>
      <c r="E3709" s="20"/>
    </row>
    <row r="3710">
      <c r="A3710" s="184"/>
      <c r="B3710" s="185"/>
      <c r="C3710" s="185"/>
      <c r="D3710" s="20"/>
      <c r="E3710" s="20"/>
    </row>
    <row r="3711">
      <c r="A3711" s="184"/>
      <c r="B3711" s="185"/>
      <c r="C3711" s="185"/>
      <c r="D3711" s="20"/>
      <c r="E3711" s="20"/>
    </row>
    <row r="3712">
      <c r="A3712" s="184"/>
      <c r="B3712" s="185"/>
      <c r="C3712" s="185"/>
      <c r="D3712" s="20"/>
      <c r="E3712" s="20"/>
    </row>
    <row r="3713">
      <c r="A3713" s="184"/>
      <c r="B3713" s="185"/>
      <c r="C3713" s="185"/>
      <c r="D3713" s="20"/>
      <c r="E3713" s="20"/>
    </row>
    <row r="3714">
      <c r="A3714" s="184"/>
      <c r="B3714" s="185"/>
      <c r="C3714" s="185"/>
      <c r="D3714" s="20"/>
      <c r="E3714" s="20"/>
    </row>
    <row r="3715">
      <c r="A3715" s="184"/>
      <c r="B3715" s="185"/>
      <c r="C3715" s="185"/>
      <c r="D3715" s="20"/>
      <c r="E3715" s="20"/>
    </row>
    <row r="3716">
      <c r="A3716" s="184"/>
      <c r="B3716" s="185"/>
      <c r="C3716" s="185"/>
      <c r="D3716" s="20"/>
      <c r="E3716" s="20"/>
    </row>
    <row r="3717">
      <c r="A3717" s="184"/>
      <c r="B3717" s="185"/>
      <c r="C3717" s="185"/>
      <c r="D3717" s="20"/>
      <c r="E3717" s="20"/>
    </row>
    <row r="3718">
      <c r="A3718" s="184"/>
      <c r="B3718" s="185"/>
      <c r="C3718" s="185"/>
      <c r="D3718" s="20"/>
      <c r="E3718" s="20"/>
    </row>
    <row r="3719">
      <c r="A3719" s="184"/>
      <c r="B3719" s="185"/>
      <c r="C3719" s="185"/>
      <c r="D3719" s="20"/>
      <c r="E3719" s="20"/>
    </row>
    <row r="3720">
      <c r="A3720" s="184"/>
      <c r="B3720" s="185"/>
      <c r="C3720" s="185"/>
      <c r="D3720" s="20"/>
      <c r="E3720" s="20"/>
    </row>
    <row r="3721">
      <c r="A3721" s="184"/>
      <c r="B3721" s="185"/>
      <c r="C3721" s="185"/>
      <c r="D3721" s="20"/>
      <c r="E3721" s="20"/>
    </row>
    <row r="3722">
      <c r="A3722" s="184"/>
      <c r="B3722" s="185"/>
      <c r="C3722" s="185"/>
      <c r="D3722" s="20"/>
      <c r="E3722" s="20"/>
    </row>
    <row r="3723">
      <c r="A3723" s="184"/>
      <c r="B3723" s="185"/>
      <c r="C3723" s="185"/>
      <c r="D3723" s="20"/>
      <c r="E3723" s="20"/>
    </row>
    <row r="3724">
      <c r="A3724" s="184"/>
      <c r="B3724" s="185"/>
      <c r="C3724" s="185"/>
      <c r="D3724" s="20"/>
      <c r="E3724" s="20"/>
    </row>
    <row r="3725">
      <c r="A3725" s="184"/>
      <c r="B3725" s="185"/>
      <c r="C3725" s="185"/>
      <c r="D3725" s="20"/>
      <c r="E3725" s="20"/>
    </row>
    <row r="3726">
      <c r="A3726" s="184"/>
      <c r="B3726" s="185"/>
      <c r="C3726" s="185"/>
      <c r="D3726" s="20"/>
      <c r="E3726" s="20"/>
    </row>
    <row r="3727">
      <c r="A3727" s="184"/>
      <c r="B3727" s="185"/>
      <c r="C3727" s="185"/>
      <c r="D3727" s="20"/>
      <c r="E3727" s="20"/>
    </row>
    <row r="3728">
      <c r="A3728" s="184"/>
      <c r="B3728" s="185"/>
      <c r="C3728" s="185"/>
      <c r="D3728" s="20"/>
      <c r="E3728" s="20"/>
    </row>
    <row r="3729">
      <c r="A3729" s="184"/>
      <c r="B3729" s="185"/>
      <c r="C3729" s="185"/>
      <c r="D3729" s="20"/>
      <c r="E3729" s="20"/>
    </row>
    <row r="3730">
      <c r="A3730" s="184"/>
      <c r="B3730" s="185"/>
      <c r="C3730" s="185"/>
      <c r="D3730" s="20"/>
      <c r="E3730" s="20"/>
    </row>
    <row r="3731">
      <c r="A3731" s="184"/>
      <c r="B3731" s="185"/>
      <c r="C3731" s="185"/>
      <c r="D3731" s="20"/>
      <c r="E3731" s="20"/>
    </row>
    <row r="3732">
      <c r="A3732" s="184"/>
      <c r="B3732" s="185"/>
      <c r="C3732" s="185"/>
      <c r="D3732" s="20"/>
      <c r="E3732" s="20"/>
    </row>
    <row r="3733">
      <c r="A3733" s="184"/>
      <c r="B3733" s="185"/>
      <c r="C3733" s="185"/>
      <c r="D3733" s="20"/>
      <c r="E3733" s="20"/>
    </row>
    <row r="3734">
      <c r="A3734" s="184"/>
      <c r="B3734" s="185"/>
      <c r="C3734" s="185"/>
      <c r="D3734" s="20"/>
      <c r="E3734" s="20"/>
    </row>
    <row r="3735">
      <c r="A3735" s="184"/>
      <c r="B3735" s="185"/>
      <c r="C3735" s="185"/>
      <c r="D3735" s="20"/>
      <c r="E3735" s="20"/>
    </row>
    <row r="3736">
      <c r="A3736" s="184"/>
      <c r="B3736" s="185"/>
      <c r="C3736" s="185"/>
      <c r="D3736" s="20"/>
      <c r="E3736" s="20"/>
    </row>
    <row r="3737">
      <c r="A3737" s="184"/>
      <c r="B3737" s="185"/>
      <c r="C3737" s="185"/>
      <c r="D3737" s="20"/>
      <c r="E3737" s="20"/>
    </row>
    <row r="3738">
      <c r="A3738" s="184"/>
      <c r="B3738" s="185"/>
      <c r="C3738" s="185"/>
      <c r="D3738" s="20"/>
      <c r="E3738" s="20"/>
    </row>
    <row r="3739">
      <c r="A3739" s="184"/>
      <c r="B3739" s="185"/>
      <c r="C3739" s="185"/>
      <c r="D3739" s="20"/>
      <c r="E3739" s="20"/>
    </row>
    <row r="3740">
      <c r="A3740" s="184"/>
      <c r="B3740" s="185"/>
      <c r="C3740" s="185"/>
      <c r="D3740" s="20"/>
      <c r="E3740" s="20"/>
    </row>
    <row r="3741">
      <c r="A3741" s="184"/>
      <c r="B3741" s="185"/>
      <c r="C3741" s="185"/>
      <c r="D3741" s="20"/>
      <c r="E3741" s="20"/>
    </row>
    <row r="3742">
      <c r="A3742" s="184"/>
      <c r="B3742" s="185"/>
      <c r="C3742" s="185"/>
      <c r="D3742" s="20"/>
      <c r="E3742" s="20"/>
    </row>
    <row r="3743">
      <c r="A3743" s="184"/>
      <c r="B3743" s="185"/>
      <c r="C3743" s="185"/>
      <c r="D3743" s="20"/>
      <c r="E3743" s="20"/>
    </row>
    <row r="3744">
      <c r="A3744" s="184"/>
      <c r="B3744" s="185"/>
      <c r="C3744" s="185"/>
      <c r="D3744" s="20"/>
      <c r="E3744" s="20"/>
    </row>
    <row r="3745">
      <c r="A3745" s="184"/>
      <c r="B3745" s="185"/>
      <c r="C3745" s="185"/>
      <c r="D3745" s="20"/>
      <c r="E3745" s="20"/>
    </row>
    <row r="3746">
      <c r="A3746" s="184"/>
      <c r="B3746" s="185"/>
      <c r="C3746" s="185"/>
      <c r="D3746" s="20"/>
      <c r="E3746" s="20"/>
    </row>
    <row r="3747">
      <c r="A3747" s="184"/>
      <c r="B3747" s="185"/>
      <c r="C3747" s="185"/>
      <c r="D3747" s="20"/>
      <c r="E3747" s="20"/>
    </row>
    <row r="3748">
      <c r="A3748" s="184"/>
      <c r="B3748" s="185"/>
      <c r="C3748" s="185"/>
      <c r="D3748" s="20"/>
      <c r="E3748" s="20"/>
    </row>
    <row r="3749">
      <c r="A3749" s="184"/>
      <c r="B3749" s="185"/>
      <c r="C3749" s="185"/>
      <c r="D3749" s="20"/>
      <c r="E3749" s="20"/>
    </row>
    <row r="3750">
      <c r="A3750" s="184"/>
      <c r="B3750" s="185"/>
      <c r="C3750" s="185"/>
      <c r="D3750" s="20"/>
      <c r="E3750" s="20"/>
    </row>
    <row r="3751">
      <c r="A3751" s="184"/>
      <c r="B3751" s="185"/>
      <c r="C3751" s="185"/>
      <c r="D3751" s="20"/>
      <c r="E3751" s="20"/>
    </row>
    <row r="3752">
      <c r="A3752" s="184"/>
      <c r="B3752" s="185"/>
      <c r="C3752" s="185"/>
      <c r="D3752" s="20"/>
      <c r="E3752" s="20"/>
    </row>
    <row r="3753">
      <c r="A3753" s="184"/>
      <c r="B3753" s="185"/>
      <c r="C3753" s="185"/>
      <c r="D3753" s="20"/>
      <c r="E3753" s="20"/>
    </row>
    <row r="3754">
      <c r="A3754" s="184"/>
      <c r="B3754" s="185"/>
      <c r="C3754" s="185"/>
      <c r="D3754" s="20"/>
      <c r="E3754" s="20"/>
    </row>
    <row r="3755">
      <c r="A3755" s="184"/>
      <c r="B3755" s="185"/>
      <c r="C3755" s="185"/>
      <c r="D3755" s="20"/>
      <c r="E3755" s="20"/>
    </row>
    <row r="3756">
      <c r="A3756" s="184"/>
      <c r="B3756" s="185"/>
      <c r="C3756" s="185"/>
      <c r="D3756" s="20"/>
      <c r="E3756" s="20"/>
    </row>
    <row r="3757">
      <c r="A3757" s="184"/>
      <c r="B3757" s="185"/>
      <c r="C3757" s="185"/>
      <c r="D3757" s="20"/>
      <c r="E3757" s="20"/>
    </row>
    <row r="3758">
      <c r="A3758" s="184"/>
      <c r="B3758" s="185"/>
      <c r="C3758" s="185"/>
      <c r="D3758" s="20"/>
      <c r="E3758" s="20"/>
    </row>
    <row r="3759">
      <c r="A3759" s="184"/>
      <c r="B3759" s="185"/>
      <c r="C3759" s="185"/>
      <c r="D3759" s="20"/>
      <c r="E3759" s="20"/>
    </row>
    <row r="3760">
      <c r="A3760" s="184"/>
      <c r="B3760" s="185"/>
      <c r="C3760" s="185"/>
      <c r="D3760" s="20"/>
      <c r="E3760" s="20"/>
    </row>
    <row r="3761">
      <c r="A3761" s="184"/>
      <c r="B3761" s="185"/>
      <c r="C3761" s="185"/>
      <c r="D3761" s="20"/>
      <c r="E3761" s="20"/>
    </row>
    <row r="3762">
      <c r="A3762" s="184"/>
      <c r="B3762" s="185"/>
      <c r="C3762" s="185"/>
      <c r="D3762" s="20"/>
      <c r="E3762" s="20"/>
    </row>
    <row r="3763">
      <c r="A3763" s="184"/>
      <c r="B3763" s="185"/>
      <c r="C3763" s="185"/>
      <c r="D3763" s="20"/>
      <c r="E3763" s="20"/>
    </row>
    <row r="3764">
      <c r="A3764" s="184"/>
      <c r="B3764" s="185"/>
      <c r="C3764" s="185"/>
      <c r="D3764" s="20"/>
      <c r="E3764" s="20"/>
    </row>
    <row r="3765">
      <c r="A3765" s="184"/>
      <c r="B3765" s="185"/>
      <c r="C3765" s="185"/>
      <c r="D3765" s="20"/>
      <c r="E3765" s="20"/>
    </row>
    <row r="3766">
      <c r="A3766" s="184"/>
      <c r="B3766" s="185"/>
      <c r="C3766" s="185"/>
      <c r="D3766" s="20"/>
      <c r="E3766" s="20"/>
    </row>
    <row r="3767">
      <c r="A3767" s="184"/>
      <c r="B3767" s="185"/>
      <c r="C3767" s="185"/>
      <c r="D3767" s="20"/>
      <c r="E3767" s="20"/>
    </row>
    <row r="3768">
      <c r="A3768" s="184"/>
      <c r="B3768" s="185"/>
      <c r="C3768" s="185"/>
      <c r="D3768" s="20"/>
      <c r="E3768" s="20"/>
    </row>
    <row r="3769">
      <c r="A3769" s="184"/>
      <c r="B3769" s="185"/>
      <c r="C3769" s="185"/>
      <c r="D3769" s="20"/>
      <c r="E3769" s="20"/>
    </row>
    <row r="3770">
      <c r="A3770" s="184"/>
      <c r="B3770" s="185"/>
      <c r="C3770" s="185"/>
      <c r="D3770" s="20"/>
      <c r="E3770" s="20"/>
    </row>
    <row r="3771">
      <c r="A3771" s="184"/>
      <c r="B3771" s="185"/>
      <c r="C3771" s="185"/>
      <c r="D3771" s="20"/>
      <c r="E3771" s="20"/>
    </row>
    <row r="3772">
      <c r="A3772" s="184"/>
      <c r="B3772" s="185"/>
      <c r="C3772" s="185"/>
      <c r="D3772" s="20"/>
      <c r="E3772" s="20"/>
    </row>
    <row r="3773">
      <c r="A3773" s="184"/>
      <c r="B3773" s="185"/>
      <c r="C3773" s="185"/>
      <c r="D3773" s="20"/>
      <c r="E3773" s="20"/>
    </row>
    <row r="3774">
      <c r="A3774" s="184"/>
      <c r="B3774" s="185"/>
      <c r="C3774" s="185"/>
      <c r="D3774" s="20"/>
      <c r="E3774" s="20"/>
    </row>
    <row r="3775">
      <c r="A3775" s="184"/>
      <c r="B3775" s="185"/>
      <c r="C3775" s="185"/>
      <c r="D3775" s="20"/>
      <c r="E3775" s="20"/>
    </row>
    <row r="3776">
      <c r="A3776" s="184"/>
      <c r="B3776" s="185"/>
      <c r="C3776" s="185"/>
      <c r="D3776" s="20"/>
      <c r="E3776" s="20"/>
    </row>
    <row r="3777">
      <c r="A3777" s="184"/>
      <c r="B3777" s="185"/>
      <c r="C3777" s="185"/>
      <c r="D3777" s="20"/>
      <c r="E3777" s="20"/>
    </row>
    <row r="3778">
      <c r="A3778" s="184"/>
      <c r="B3778" s="185"/>
      <c r="C3778" s="185"/>
      <c r="D3778" s="20"/>
      <c r="E3778" s="20"/>
    </row>
    <row r="3779">
      <c r="A3779" s="184"/>
      <c r="B3779" s="185"/>
      <c r="C3779" s="185"/>
      <c r="D3779" s="20"/>
      <c r="E3779" s="20"/>
    </row>
    <row r="3780">
      <c r="A3780" s="184"/>
      <c r="B3780" s="185"/>
      <c r="C3780" s="185"/>
      <c r="D3780" s="20"/>
      <c r="E3780" s="20"/>
    </row>
    <row r="3781">
      <c r="A3781" s="184"/>
      <c r="B3781" s="185"/>
      <c r="C3781" s="185"/>
      <c r="D3781" s="20"/>
      <c r="E3781" s="20"/>
    </row>
    <row r="3782">
      <c r="A3782" s="184"/>
      <c r="B3782" s="185"/>
      <c r="C3782" s="185"/>
      <c r="D3782" s="20"/>
      <c r="E3782" s="20"/>
    </row>
    <row r="3783">
      <c r="A3783" s="184"/>
      <c r="B3783" s="185"/>
      <c r="C3783" s="185"/>
      <c r="D3783" s="20"/>
      <c r="E3783" s="20"/>
    </row>
    <row r="3784">
      <c r="A3784" s="184"/>
      <c r="B3784" s="185"/>
      <c r="C3784" s="185"/>
      <c r="D3784" s="20"/>
      <c r="E3784" s="20"/>
    </row>
    <row r="3785">
      <c r="A3785" s="184"/>
      <c r="B3785" s="185"/>
      <c r="C3785" s="185"/>
      <c r="D3785" s="20"/>
      <c r="E3785" s="20"/>
    </row>
    <row r="3786">
      <c r="A3786" s="184"/>
      <c r="B3786" s="185"/>
      <c r="C3786" s="185"/>
      <c r="D3786" s="20"/>
      <c r="E3786" s="20"/>
    </row>
    <row r="3787">
      <c r="A3787" s="184"/>
      <c r="B3787" s="185"/>
      <c r="C3787" s="185"/>
      <c r="D3787" s="20"/>
      <c r="E3787" s="20"/>
    </row>
    <row r="3788">
      <c r="A3788" s="184"/>
      <c r="B3788" s="185"/>
      <c r="C3788" s="185"/>
      <c r="D3788" s="20"/>
      <c r="E3788" s="20"/>
    </row>
    <row r="3789">
      <c r="A3789" s="184"/>
      <c r="B3789" s="185"/>
      <c r="C3789" s="185"/>
      <c r="D3789" s="20"/>
      <c r="E3789" s="20"/>
    </row>
    <row r="3790">
      <c r="A3790" s="184"/>
      <c r="B3790" s="185"/>
      <c r="C3790" s="185"/>
      <c r="D3790" s="20"/>
      <c r="E3790" s="20"/>
    </row>
    <row r="3791">
      <c r="A3791" s="184"/>
      <c r="B3791" s="185"/>
      <c r="C3791" s="185"/>
      <c r="D3791" s="20"/>
      <c r="E3791" s="20"/>
    </row>
    <row r="3792">
      <c r="A3792" s="184"/>
      <c r="B3792" s="185"/>
      <c r="C3792" s="185"/>
      <c r="D3792" s="20"/>
      <c r="E3792" s="20"/>
    </row>
    <row r="3793">
      <c r="A3793" s="184"/>
      <c r="B3793" s="185"/>
      <c r="C3793" s="185"/>
      <c r="D3793" s="20"/>
      <c r="E3793" s="20"/>
    </row>
    <row r="3794">
      <c r="A3794" s="184"/>
      <c r="B3794" s="185"/>
      <c r="C3794" s="185"/>
      <c r="D3794" s="20"/>
      <c r="E3794" s="20"/>
    </row>
    <row r="3795">
      <c r="A3795" s="184"/>
      <c r="B3795" s="185"/>
      <c r="C3795" s="185"/>
      <c r="D3795" s="20"/>
      <c r="E3795" s="20"/>
    </row>
    <row r="3796">
      <c r="A3796" s="184"/>
      <c r="B3796" s="185"/>
      <c r="C3796" s="185"/>
      <c r="D3796" s="20"/>
      <c r="E3796" s="20"/>
    </row>
    <row r="3797">
      <c r="A3797" s="184"/>
      <c r="B3797" s="185"/>
      <c r="C3797" s="185"/>
      <c r="D3797" s="20"/>
      <c r="E3797" s="20"/>
    </row>
    <row r="3798">
      <c r="A3798" s="184"/>
      <c r="B3798" s="185"/>
      <c r="C3798" s="185"/>
      <c r="D3798" s="20"/>
      <c r="E3798" s="20"/>
    </row>
    <row r="3799">
      <c r="A3799" s="184"/>
      <c r="B3799" s="185"/>
      <c r="C3799" s="185"/>
      <c r="D3799" s="20"/>
      <c r="E3799" s="20"/>
    </row>
    <row r="3800">
      <c r="A3800" s="184"/>
      <c r="B3800" s="185"/>
      <c r="C3800" s="185"/>
      <c r="D3800" s="20"/>
      <c r="E3800" s="20"/>
    </row>
    <row r="3801">
      <c r="A3801" s="184"/>
      <c r="B3801" s="185"/>
      <c r="C3801" s="185"/>
      <c r="D3801" s="20"/>
      <c r="E3801" s="20"/>
    </row>
    <row r="3802">
      <c r="A3802" s="184"/>
      <c r="B3802" s="185"/>
      <c r="C3802" s="185"/>
      <c r="D3802" s="20"/>
      <c r="E3802" s="20"/>
    </row>
    <row r="3803">
      <c r="A3803" s="184"/>
      <c r="B3803" s="185"/>
      <c r="C3803" s="185"/>
      <c r="D3803" s="20"/>
      <c r="E3803" s="20"/>
    </row>
    <row r="3804">
      <c r="A3804" s="184"/>
      <c r="B3804" s="185"/>
      <c r="C3804" s="185"/>
      <c r="D3804" s="20"/>
      <c r="E3804" s="20"/>
    </row>
    <row r="3805">
      <c r="A3805" s="184"/>
      <c r="B3805" s="185"/>
      <c r="C3805" s="185"/>
      <c r="D3805" s="20"/>
      <c r="E3805" s="20"/>
    </row>
    <row r="3806">
      <c r="A3806" s="184"/>
      <c r="B3806" s="185"/>
      <c r="C3806" s="185"/>
      <c r="D3806" s="20"/>
      <c r="E3806" s="20"/>
    </row>
    <row r="3807">
      <c r="A3807" s="184"/>
      <c r="B3807" s="185"/>
      <c r="C3807" s="185"/>
      <c r="D3807" s="20"/>
      <c r="E3807" s="20"/>
    </row>
    <row r="3808">
      <c r="A3808" s="184"/>
      <c r="B3808" s="185"/>
      <c r="C3808" s="185"/>
      <c r="D3808" s="20"/>
      <c r="E3808" s="20"/>
    </row>
    <row r="3809">
      <c r="A3809" s="184"/>
      <c r="B3809" s="185"/>
      <c r="C3809" s="185"/>
      <c r="D3809" s="20"/>
      <c r="E3809" s="20"/>
    </row>
    <row r="3810">
      <c r="A3810" s="184"/>
      <c r="B3810" s="185"/>
      <c r="C3810" s="185"/>
      <c r="D3810" s="20"/>
      <c r="E3810" s="20"/>
    </row>
    <row r="3811">
      <c r="A3811" s="184"/>
      <c r="B3811" s="185"/>
      <c r="C3811" s="185"/>
      <c r="D3811" s="20"/>
      <c r="E3811" s="20"/>
    </row>
    <row r="3812">
      <c r="A3812" s="184"/>
      <c r="B3812" s="185"/>
      <c r="C3812" s="185"/>
      <c r="D3812" s="20"/>
      <c r="E3812" s="20"/>
    </row>
    <row r="3813">
      <c r="A3813" s="184"/>
      <c r="B3813" s="185"/>
      <c r="C3813" s="185"/>
      <c r="D3813" s="20"/>
      <c r="E3813" s="20"/>
    </row>
    <row r="3814">
      <c r="A3814" s="184"/>
      <c r="B3814" s="185"/>
      <c r="C3814" s="185"/>
      <c r="D3814" s="20"/>
      <c r="E3814" s="20"/>
    </row>
    <row r="3815">
      <c r="A3815" s="184"/>
      <c r="B3815" s="185"/>
      <c r="C3815" s="185"/>
      <c r="D3815" s="20"/>
      <c r="E3815" s="20"/>
    </row>
    <row r="3816">
      <c r="A3816" s="184"/>
      <c r="B3816" s="185"/>
      <c r="C3816" s="185"/>
      <c r="D3816" s="20"/>
      <c r="E3816" s="20"/>
    </row>
    <row r="3817">
      <c r="A3817" s="184"/>
      <c r="B3817" s="185"/>
      <c r="C3817" s="185"/>
      <c r="D3817" s="20"/>
      <c r="E3817" s="20"/>
    </row>
    <row r="3818">
      <c r="A3818" s="184"/>
      <c r="B3818" s="185"/>
      <c r="C3818" s="185"/>
      <c r="D3818" s="20"/>
      <c r="E3818" s="20"/>
    </row>
    <row r="3819">
      <c r="A3819" s="184"/>
      <c r="B3819" s="185"/>
      <c r="C3819" s="185"/>
      <c r="D3819" s="20"/>
      <c r="E3819" s="20"/>
    </row>
    <row r="3820">
      <c r="A3820" s="184"/>
      <c r="B3820" s="185"/>
      <c r="C3820" s="185"/>
      <c r="D3820" s="20"/>
      <c r="E3820" s="20"/>
    </row>
    <row r="3821">
      <c r="A3821" s="184"/>
      <c r="B3821" s="185"/>
      <c r="C3821" s="185"/>
      <c r="D3821" s="20"/>
      <c r="E3821" s="20"/>
    </row>
    <row r="3822">
      <c r="A3822" s="184"/>
      <c r="B3822" s="185"/>
      <c r="C3822" s="185"/>
      <c r="D3822" s="20"/>
      <c r="E3822" s="20"/>
    </row>
    <row r="3823">
      <c r="A3823" s="184"/>
      <c r="B3823" s="185"/>
      <c r="C3823" s="185"/>
      <c r="D3823" s="20"/>
      <c r="E3823" s="20"/>
    </row>
    <row r="3824">
      <c r="A3824" s="184"/>
      <c r="B3824" s="185"/>
      <c r="C3824" s="185"/>
      <c r="D3824" s="20"/>
      <c r="E3824" s="20"/>
    </row>
    <row r="3825">
      <c r="A3825" s="184"/>
      <c r="B3825" s="185"/>
      <c r="C3825" s="185"/>
      <c r="D3825" s="20"/>
      <c r="E3825" s="20"/>
    </row>
    <row r="3826">
      <c r="A3826" s="184"/>
      <c r="B3826" s="185"/>
      <c r="C3826" s="185"/>
      <c r="D3826" s="20"/>
      <c r="E3826" s="20"/>
    </row>
    <row r="3827">
      <c r="A3827" s="184"/>
      <c r="B3827" s="185"/>
      <c r="C3827" s="185"/>
      <c r="D3827" s="20"/>
      <c r="E3827" s="20"/>
    </row>
    <row r="3828">
      <c r="A3828" s="184"/>
      <c r="B3828" s="185"/>
      <c r="C3828" s="185"/>
      <c r="D3828" s="20"/>
      <c r="E3828" s="20"/>
    </row>
    <row r="3829">
      <c r="A3829" s="184"/>
      <c r="B3829" s="185"/>
      <c r="C3829" s="185"/>
      <c r="D3829" s="20"/>
      <c r="E3829" s="20"/>
    </row>
    <row r="3830">
      <c r="A3830" s="184"/>
      <c r="B3830" s="185"/>
      <c r="C3830" s="185"/>
      <c r="D3830" s="20"/>
      <c r="E3830" s="20"/>
    </row>
    <row r="3831">
      <c r="A3831" s="184"/>
      <c r="B3831" s="185"/>
      <c r="C3831" s="185"/>
      <c r="D3831" s="20"/>
      <c r="E3831" s="20"/>
    </row>
    <row r="3832">
      <c r="A3832" s="184"/>
      <c r="B3832" s="185"/>
      <c r="C3832" s="185"/>
      <c r="D3832" s="20"/>
      <c r="E3832" s="20"/>
    </row>
    <row r="3833">
      <c r="A3833" s="184"/>
      <c r="B3833" s="185"/>
      <c r="C3833" s="185"/>
      <c r="D3833" s="20"/>
      <c r="E3833" s="20"/>
    </row>
    <row r="3834">
      <c r="A3834" s="184"/>
      <c r="B3834" s="185"/>
      <c r="C3834" s="185"/>
      <c r="D3834" s="20"/>
      <c r="E3834" s="20"/>
    </row>
    <row r="3835">
      <c r="A3835" s="184"/>
      <c r="B3835" s="185"/>
      <c r="C3835" s="185"/>
      <c r="D3835" s="20"/>
      <c r="E3835" s="20"/>
    </row>
    <row r="3836">
      <c r="A3836" s="184"/>
      <c r="B3836" s="185"/>
      <c r="C3836" s="185"/>
      <c r="D3836" s="20"/>
      <c r="E3836" s="20"/>
    </row>
    <row r="3837">
      <c r="A3837" s="184"/>
      <c r="B3837" s="185"/>
      <c r="C3837" s="185"/>
      <c r="D3837" s="20"/>
      <c r="E3837" s="20"/>
    </row>
    <row r="3838">
      <c r="A3838" s="184"/>
      <c r="B3838" s="185"/>
      <c r="C3838" s="185"/>
      <c r="D3838" s="20"/>
      <c r="E3838" s="20"/>
    </row>
    <row r="3839">
      <c r="A3839" s="184"/>
      <c r="B3839" s="185"/>
      <c r="C3839" s="185"/>
      <c r="D3839" s="20"/>
      <c r="E3839" s="20"/>
    </row>
    <row r="3840">
      <c r="A3840" s="184"/>
      <c r="B3840" s="185"/>
      <c r="C3840" s="185"/>
      <c r="D3840" s="20"/>
      <c r="E3840" s="20"/>
    </row>
    <row r="3841">
      <c r="A3841" s="184"/>
      <c r="B3841" s="185"/>
      <c r="C3841" s="185"/>
      <c r="D3841" s="20"/>
      <c r="E3841" s="20"/>
    </row>
    <row r="3842">
      <c r="A3842" s="184"/>
      <c r="B3842" s="185"/>
      <c r="C3842" s="185"/>
      <c r="D3842" s="20"/>
      <c r="E3842" s="20"/>
    </row>
    <row r="3843">
      <c r="A3843" s="184"/>
      <c r="B3843" s="185"/>
      <c r="C3843" s="185"/>
      <c r="D3843" s="20"/>
      <c r="E3843" s="20"/>
    </row>
    <row r="3844">
      <c r="A3844" s="184"/>
      <c r="B3844" s="185"/>
      <c r="C3844" s="185"/>
      <c r="D3844" s="20"/>
      <c r="E3844" s="20"/>
    </row>
    <row r="3845">
      <c r="A3845" s="184"/>
      <c r="B3845" s="185"/>
      <c r="C3845" s="185"/>
      <c r="D3845" s="20"/>
      <c r="E3845" s="20"/>
    </row>
    <row r="3846">
      <c r="A3846" s="184"/>
      <c r="B3846" s="185"/>
      <c r="C3846" s="185"/>
      <c r="D3846" s="20"/>
      <c r="E3846" s="20"/>
    </row>
    <row r="3847">
      <c r="A3847" s="184"/>
      <c r="B3847" s="185"/>
      <c r="C3847" s="185"/>
      <c r="D3847" s="20"/>
      <c r="E3847" s="20"/>
    </row>
    <row r="3848">
      <c r="A3848" s="184"/>
      <c r="B3848" s="185"/>
      <c r="C3848" s="185"/>
      <c r="D3848" s="20"/>
      <c r="E3848" s="20"/>
    </row>
    <row r="3849">
      <c r="A3849" s="184"/>
      <c r="B3849" s="185"/>
      <c r="C3849" s="185"/>
      <c r="D3849" s="20"/>
      <c r="E3849" s="20"/>
    </row>
    <row r="3850">
      <c r="A3850" s="184"/>
      <c r="B3850" s="185"/>
      <c r="C3850" s="185"/>
      <c r="D3850" s="20"/>
      <c r="E3850" s="20"/>
    </row>
    <row r="3851">
      <c r="A3851" s="184"/>
      <c r="B3851" s="185"/>
      <c r="C3851" s="185"/>
      <c r="D3851" s="20"/>
      <c r="E3851" s="20"/>
    </row>
    <row r="3852">
      <c r="A3852" s="184"/>
      <c r="B3852" s="185"/>
      <c r="C3852" s="185"/>
      <c r="D3852" s="20"/>
      <c r="E3852" s="20"/>
    </row>
    <row r="3853">
      <c r="A3853" s="184"/>
      <c r="B3853" s="185"/>
      <c r="C3853" s="185"/>
      <c r="D3853" s="20"/>
      <c r="E3853" s="20"/>
    </row>
    <row r="3854">
      <c r="A3854" s="184"/>
      <c r="B3854" s="185"/>
      <c r="C3854" s="185"/>
      <c r="D3854" s="20"/>
      <c r="E3854" s="20"/>
    </row>
    <row r="3855">
      <c r="A3855" s="184"/>
      <c r="B3855" s="185"/>
      <c r="C3855" s="185"/>
      <c r="D3855" s="20"/>
      <c r="E3855" s="20"/>
    </row>
    <row r="3856">
      <c r="A3856" s="184"/>
      <c r="B3856" s="185"/>
      <c r="C3856" s="185"/>
      <c r="D3856" s="20"/>
      <c r="E3856" s="20"/>
    </row>
    <row r="3857">
      <c r="A3857" s="184"/>
      <c r="B3857" s="185"/>
      <c r="C3857" s="185"/>
      <c r="D3857" s="20"/>
      <c r="E3857" s="20"/>
    </row>
    <row r="3858">
      <c r="A3858" s="184"/>
      <c r="B3858" s="185"/>
      <c r="C3858" s="185"/>
      <c r="D3858" s="20"/>
      <c r="E3858" s="20"/>
    </row>
    <row r="3859">
      <c r="A3859" s="184"/>
      <c r="B3859" s="185"/>
      <c r="C3859" s="185"/>
      <c r="D3859" s="20"/>
      <c r="E3859" s="20"/>
    </row>
    <row r="3860">
      <c r="A3860" s="184"/>
      <c r="B3860" s="185"/>
      <c r="C3860" s="185"/>
      <c r="D3860" s="20"/>
      <c r="E3860" s="20"/>
    </row>
    <row r="3861">
      <c r="A3861" s="184"/>
      <c r="B3861" s="185"/>
      <c r="C3861" s="185"/>
      <c r="D3861" s="20"/>
      <c r="E3861" s="20"/>
    </row>
    <row r="3862">
      <c r="A3862" s="184"/>
      <c r="B3862" s="185"/>
      <c r="C3862" s="185"/>
      <c r="D3862" s="20"/>
      <c r="E3862" s="20"/>
    </row>
    <row r="3863">
      <c r="A3863" s="184"/>
      <c r="B3863" s="185"/>
      <c r="C3863" s="185"/>
      <c r="D3863" s="20"/>
      <c r="E3863" s="20"/>
    </row>
    <row r="3864">
      <c r="A3864" s="184"/>
      <c r="B3864" s="185"/>
      <c r="C3864" s="185"/>
      <c r="D3864" s="20"/>
      <c r="E3864" s="20"/>
    </row>
    <row r="3865">
      <c r="A3865" s="184"/>
      <c r="B3865" s="185"/>
      <c r="C3865" s="185"/>
      <c r="D3865" s="20"/>
      <c r="E3865" s="20"/>
    </row>
    <row r="3866">
      <c r="A3866" s="184"/>
      <c r="B3866" s="185"/>
      <c r="C3866" s="185"/>
      <c r="D3866" s="20"/>
      <c r="E3866" s="20"/>
    </row>
    <row r="3867">
      <c r="A3867" s="184"/>
      <c r="B3867" s="185"/>
      <c r="C3867" s="185"/>
      <c r="D3867" s="20"/>
      <c r="E3867" s="20"/>
    </row>
    <row r="3868">
      <c r="A3868" s="184"/>
      <c r="B3868" s="185"/>
      <c r="C3868" s="185"/>
      <c r="D3868" s="20"/>
      <c r="E3868" s="20"/>
    </row>
    <row r="3869">
      <c r="A3869" s="184"/>
      <c r="B3869" s="185"/>
      <c r="C3869" s="185"/>
      <c r="D3869" s="20"/>
      <c r="E3869" s="20"/>
    </row>
    <row r="3870">
      <c r="A3870" s="184"/>
      <c r="B3870" s="185"/>
      <c r="C3870" s="185"/>
      <c r="D3870" s="20"/>
      <c r="E3870" s="20"/>
    </row>
    <row r="3871">
      <c r="A3871" s="184"/>
      <c r="B3871" s="185"/>
      <c r="C3871" s="185"/>
      <c r="D3871" s="20"/>
      <c r="E3871" s="20"/>
    </row>
    <row r="3872">
      <c r="A3872" s="184"/>
      <c r="B3872" s="185"/>
      <c r="C3872" s="185"/>
      <c r="D3872" s="20"/>
      <c r="E3872" s="20"/>
    </row>
    <row r="3873">
      <c r="A3873" s="184"/>
      <c r="B3873" s="185"/>
      <c r="C3873" s="185"/>
      <c r="D3873" s="20"/>
      <c r="E3873" s="20"/>
    </row>
    <row r="3874">
      <c r="A3874" s="184"/>
      <c r="B3874" s="185"/>
      <c r="C3874" s="185"/>
      <c r="D3874" s="20"/>
      <c r="E3874" s="20"/>
    </row>
    <row r="3875">
      <c r="A3875" s="184"/>
      <c r="B3875" s="185"/>
      <c r="C3875" s="185"/>
      <c r="D3875" s="20"/>
      <c r="E3875" s="20"/>
    </row>
    <row r="3876">
      <c r="A3876" s="184"/>
      <c r="B3876" s="185"/>
      <c r="C3876" s="185"/>
      <c r="D3876" s="20"/>
      <c r="E3876" s="20"/>
    </row>
    <row r="3877">
      <c r="A3877" s="184"/>
      <c r="B3877" s="185"/>
      <c r="C3877" s="185"/>
      <c r="D3877" s="20"/>
      <c r="E3877" s="20"/>
    </row>
    <row r="3878">
      <c r="A3878" s="184"/>
      <c r="B3878" s="185"/>
      <c r="C3878" s="185"/>
      <c r="D3878" s="20"/>
      <c r="E3878" s="20"/>
    </row>
    <row r="3879">
      <c r="A3879" s="184"/>
      <c r="B3879" s="185"/>
      <c r="C3879" s="185"/>
      <c r="D3879" s="20"/>
      <c r="E3879" s="20"/>
    </row>
    <row r="3880">
      <c r="A3880" s="184"/>
      <c r="B3880" s="185"/>
      <c r="C3880" s="185"/>
      <c r="D3880" s="20"/>
      <c r="E3880" s="20"/>
    </row>
    <row r="3881">
      <c r="A3881" s="184"/>
      <c r="B3881" s="185"/>
      <c r="C3881" s="185"/>
      <c r="D3881" s="20"/>
      <c r="E3881" s="20"/>
    </row>
    <row r="3882">
      <c r="A3882" s="184"/>
      <c r="B3882" s="185"/>
      <c r="C3882" s="185"/>
      <c r="D3882" s="20"/>
      <c r="E3882" s="20"/>
    </row>
    <row r="3883">
      <c r="A3883" s="184"/>
      <c r="B3883" s="185"/>
      <c r="C3883" s="185"/>
      <c r="D3883" s="20"/>
      <c r="E3883" s="20"/>
    </row>
    <row r="3884">
      <c r="A3884" s="184"/>
      <c r="B3884" s="185"/>
      <c r="C3884" s="185"/>
      <c r="D3884" s="20"/>
      <c r="E3884" s="20"/>
    </row>
    <row r="3885">
      <c r="A3885" s="184"/>
      <c r="B3885" s="185"/>
      <c r="C3885" s="185"/>
      <c r="D3885" s="20"/>
      <c r="E3885" s="20"/>
    </row>
    <row r="3886">
      <c r="A3886" s="184"/>
      <c r="B3886" s="185"/>
      <c r="C3886" s="185"/>
      <c r="D3886" s="20"/>
      <c r="E3886" s="20"/>
    </row>
    <row r="3887">
      <c r="A3887" s="184"/>
      <c r="B3887" s="185"/>
      <c r="C3887" s="185"/>
      <c r="D3887" s="20"/>
      <c r="E3887" s="20"/>
    </row>
    <row r="3888">
      <c r="A3888" s="184"/>
      <c r="B3888" s="185"/>
      <c r="C3888" s="185"/>
      <c r="D3888" s="20"/>
      <c r="E3888" s="20"/>
    </row>
    <row r="3889">
      <c r="A3889" s="184"/>
      <c r="B3889" s="185"/>
      <c r="C3889" s="185"/>
      <c r="D3889" s="20"/>
      <c r="E3889" s="20"/>
    </row>
    <row r="3890">
      <c r="A3890" s="184"/>
      <c r="B3890" s="185"/>
      <c r="C3890" s="185"/>
      <c r="D3890" s="20"/>
      <c r="E3890" s="20"/>
    </row>
    <row r="3891">
      <c r="A3891" s="184"/>
      <c r="B3891" s="185"/>
      <c r="C3891" s="185"/>
      <c r="D3891" s="20"/>
      <c r="E3891" s="20"/>
    </row>
    <row r="3892">
      <c r="A3892" s="184"/>
      <c r="B3892" s="185"/>
      <c r="C3892" s="185"/>
      <c r="D3892" s="20"/>
      <c r="E3892" s="20"/>
    </row>
    <row r="3893">
      <c r="A3893" s="184"/>
      <c r="B3893" s="185"/>
      <c r="C3893" s="185"/>
      <c r="D3893" s="20"/>
      <c r="E3893" s="20"/>
    </row>
    <row r="3894">
      <c r="A3894" s="184"/>
      <c r="B3894" s="185"/>
      <c r="C3894" s="185"/>
      <c r="D3894" s="20"/>
      <c r="E3894" s="20"/>
    </row>
    <row r="3895">
      <c r="A3895" s="184"/>
      <c r="B3895" s="185"/>
      <c r="C3895" s="185"/>
      <c r="D3895" s="20"/>
      <c r="E3895" s="20"/>
    </row>
    <row r="3896">
      <c r="A3896" s="184"/>
      <c r="B3896" s="185"/>
      <c r="C3896" s="185"/>
      <c r="D3896" s="20"/>
      <c r="E3896" s="20"/>
    </row>
    <row r="3897">
      <c r="A3897" s="184"/>
      <c r="B3897" s="185"/>
      <c r="C3897" s="185"/>
      <c r="D3897" s="20"/>
      <c r="E3897" s="20"/>
    </row>
    <row r="3898">
      <c r="A3898" s="184"/>
      <c r="B3898" s="185"/>
      <c r="C3898" s="185"/>
      <c r="D3898" s="20"/>
      <c r="E3898" s="20"/>
    </row>
    <row r="3899">
      <c r="A3899" s="184"/>
      <c r="B3899" s="185"/>
      <c r="C3899" s="185"/>
      <c r="D3899" s="20"/>
      <c r="E3899" s="20"/>
    </row>
    <row r="3900">
      <c r="A3900" s="184"/>
      <c r="B3900" s="185"/>
      <c r="C3900" s="185"/>
      <c r="D3900" s="20"/>
      <c r="E3900" s="20"/>
    </row>
    <row r="3901">
      <c r="A3901" s="184"/>
      <c r="B3901" s="185"/>
      <c r="C3901" s="185"/>
      <c r="D3901" s="20"/>
      <c r="E3901" s="20"/>
    </row>
    <row r="3902">
      <c r="A3902" s="184"/>
      <c r="B3902" s="185"/>
      <c r="C3902" s="185"/>
      <c r="D3902" s="20"/>
      <c r="E3902" s="20"/>
    </row>
    <row r="3903">
      <c r="A3903" s="184"/>
      <c r="B3903" s="185"/>
      <c r="C3903" s="185"/>
      <c r="D3903" s="20"/>
      <c r="E3903" s="20"/>
    </row>
    <row r="3904">
      <c r="A3904" s="184"/>
      <c r="B3904" s="185"/>
      <c r="C3904" s="185"/>
      <c r="D3904" s="20"/>
      <c r="E3904" s="20"/>
    </row>
    <row r="3905">
      <c r="A3905" s="184"/>
      <c r="B3905" s="185"/>
      <c r="C3905" s="185"/>
      <c r="D3905" s="20"/>
      <c r="E3905" s="20"/>
    </row>
    <row r="3906">
      <c r="A3906" s="184"/>
      <c r="B3906" s="185"/>
      <c r="C3906" s="185"/>
      <c r="D3906" s="20"/>
      <c r="E3906" s="20"/>
    </row>
    <row r="3907">
      <c r="A3907" s="184"/>
      <c r="B3907" s="185"/>
      <c r="C3907" s="185"/>
      <c r="D3907" s="20"/>
      <c r="E3907" s="20"/>
    </row>
    <row r="3908">
      <c r="A3908" s="184"/>
      <c r="B3908" s="185"/>
      <c r="C3908" s="185"/>
      <c r="D3908" s="20"/>
      <c r="E3908" s="20"/>
    </row>
    <row r="3909">
      <c r="A3909" s="184"/>
      <c r="B3909" s="185"/>
      <c r="C3909" s="185"/>
      <c r="D3909" s="20"/>
      <c r="E3909" s="20"/>
    </row>
    <row r="3910">
      <c r="A3910" s="184"/>
      <c r="B3910" s="185"/>
      <c r="C3910" s="185"/>
      <c r="D3910" s="20"/>
      <c r="E3910" s="20"/>
    </row>
    <row r="3911">
      <c r="A3911" s="184"/>
      <c r="B3911" s="185"/>
      <c r="C3911" s="185"/>
      <c r="D3911" s="20"/>
      <c r="E3911" s="20"/>
    </row>
    <row r="3912">
      <c r="A3912" s="184"/>
      <c r="B3912" s="185"/>
      <c r="C3912" s="185"/>
      <c r="D3912" s="20"/>
      <c r="E3912" s="20"/>
    </row>
    <row r="3913">
      <c r="A3913" s="184"/>
      <c r="B3913" s="185"/>
      <c r="C3913" s="185"/>
      <c r="D3913" s="20"/>
      <c r="E3913" s="20"/>
    </row>
    <row r="3914">
      <c r="A3914" s="184"/>
      <c r="B3914" s="185"/>
      <c r="C3914" s="185"/>
      <c r="D3914" s="20"/>
      <c r="E3914" s="20"/>
    </row>
    <row r="3915">
      <c r="A3915" s="184"/>
      <c r="B3915" s="185"/>
      <c r="C3915" s="185"/>
      <c r="D3915" s="20"/>
      <c r="E3915" s="20"/>
    </row>
    <row r="3916">
      <c r="A3916" s="184"/>
      <c r="B3916" s="185"/>
      <c r="C3916" s="185"/>
      <c r="D3916" s="20"/>
      <c r="E3916" s="20"/>
    </row>
    <row r="3917">
      <c r="A3917" s="184"/>
      <c r="B3917" s="185"/>
      <c r="C3917" s="185"/>
      <c r="D3917" s="20"/>
      <c r="E3917" s="20"/>
    </row>
    <row r="3918">
      <c r="A3918" s="184"/>
      <c r="B3918" s="185"/>
      <c r="C3918" s="185"/>
      <c r="D3918" s="20"/>
      <c r="E3918" s="20"/>
    </row>
    <row r="3919">
      <c r="A3919" s="184"/>
      <c r="B3919" s="185"/>
      <c r="C3919" s="185"/>
      <c r="D3919" s="20"/>
      <c r="E3919" s="20"/>
    </row>
    <row r="3920">
      <c r="A3920" s="184"/>
      <c r="B3920" s="185"/>
      <c r="C3920" s="185"/>
      <c r="D3920" s="20"/>
      <c r="E3920" s="20"/>
    </row>
    <row r="3921">
      <c r="A3921" s="184"/>
      <c r="B3921" s="185"/>
      <c r="C3921" s="185"/>
      <c r="D3921" s="20"/>
      <c r="E3921" s="20"/>
    </row>
    <row r="3922">
      <c r="A3922" s="184"/>
      <c r="B3922" s="185"/>
      <c r="C3922" s="185"/>
      <c r="D3922" s="20"/>
      <c r="E3922" s="20"/>
    </row>
    <row r="3923">
      <c r="A3923" s="184"/>
      <c r="B3923" s="185"/>
      <c r="C3923" s="185"/>
      <c r="D3923" s="20"/>
      <c r="E3923" s="20"/>
    </row>
    <row r="3924">
      <c r="A3924" s="184"/>
      <c r="B3924" s="185"/>
      <c r="C3924" s="185"/>
      <c r="D3924" s="20"/>
      <c r="E3924" s="20"/>
    </row>
    <row r="3925">
      <c r="A3925" s="184"/>
      <c r="B3925" s="185"/>
      <c r="C3925" s="185"/>
      <c r="D3925" s="20"/>
      <c r="E3925" s="20"/>
    </row>
    <row r="3926">
      <c r="A3926" s="184"/>
      <c r="B3926" s="185"/>
      <c r="C3926" s="185"/>
      <c r="D3926" s="20"/>
      <c r="E3926" s="20"/>
    </row>
    <row r="3927">
      <c r="A3927" s="184"/>
      <c r="B3927" s="185"/>
      <c r="C3927" s="185"/>
      <c r="D3927" s="20"/>
      <c r="E3927" s="20"/>
    </row>
    <row r="3928">
      <c r="A3928" s="184"/>
      <c r="B3928" s="185"/>
      <c r="C3928" s="185"/>
      <c r="D3928" s="20"/>
      <c r="E3928" s="20"/>
    </row>
    <row r="3929">
      <c r="A3929" s="184"/>
      <c r="B3929" s="185"/>
      <c r="C3929" s="185"/>
      <c r="D3929" s="20"/>
      <c r="E3929" s="20"/>
    </row>
    <row r="3930">
      <c r="A3930" s="184"/>
      <c r="B3930" s="185"/>
      <c r="C3930" s="185"/>
      <c r="D3930" s="20"/>
      <c r="E3930" s="20"/>
    </row>
    <row r="3931">
      <c r="A3931" s="184"/>
      <c r="B3931" s="185"/>
      <c r="C3931" s="185"/>
      <c r="D3931" s="20"/>
      <c r="E3931" s="20"/>
    </row>
    <row r="3932">
      <c r="A3932" s="184"/>
      <c r="B3932" s="185"/>
      <c r="C3932" s="185"/>
      <c r="D3932" s="20"/>
      <c r="E3932" s="20"/>
    </row>
    <row r="3933">
      <c r="A3933" s="184"/>
      <c r="B3933" s="185"/>
      <c r="C3933" s="185"/>
      <c r="D3933" s="20"/>
      <c r="E3933" s="20"/>
    </row>
    <row r="3934">
      <c r="A3934" s="184"/>
      <c r="B3934" s="185"/>
      <c r="C3934" s="185"/>
      <c r="D3934" s="20"/>
      <c r="E3934" s="20"/>
    </row>
    <row r="3935">
      <c r="A3935" s="184"/>
      <c r="B3935" s="185"/>
      <c r="C3935" s="185"/>
      <c r="D3935" s="20"/>
      <c r="E3935" s="20"/>
    </row>
    <row r="3936">
      <c r="A3936" s="184"/>
      <c r="B3936" s="185"/>
      <c r="C3936" s="185"/>
      <c r="D3936" s="20"/>
      <c r="E3936" s="20"/>
    </row>
    <row r="3937">
      <c r="A3937" s="184"/>
      <c r="B3937" s="185"/>
      <c r="C3937" s="185"/>
      <c r="D3937" s="20"/>
      <c r="E3937" s="20"/>
    </row>
    <row r="3938">
      <c r="A3938" s="184"/>
      <c r="B3938" s="185"/>
      <c r="C3938" s="185"/>
      <c r="D3938" s="20"/>
      <c r="E3938" s="20"/>
    </row>
    <row r="3939">
      <c r="A3939" s="184"/>
      <c r="B3939" s="185"/>
      <c r="C3939" s="185"/>
      <c r="D3939" s="20"/>
      <c r="E3939" s="20"/>
    </row>
    <row r="3940">
      <c r="A3940" s="184"/>
      <c r="B3940" s="185"/>
      <c r="C3940" s="185"/>
      <c r="D3940" s="20"/>
      <c r="E3940" s="20"/>
    </row>
    <row r="3941">
      <c r="A3941" s="184"/>
      <c r="B3941" s="185"/>
      <c r="C3941" s="185"/>
      <c r="D3941" s="20"/>
      <c r="E3941" s="20"/>
    </row>
    <row r="3942">
      <c r="A3942" s="184"/>
      <c r="B3942" s="185"/>
      <c r="C3942" s="185"/>
      <c r="D3942" s="20"/>
      <c r="E3942" s="20"/>
    </row>
    <row r="3943">
      <c r="A3943" s="184"/>
      <c r="B3943" s="185"/>
      <c r="C3943" s="185"/>
      <c r="D3943" s="20"/>
      <c r="E3943" s="20"/>
    </row>
    <row r="3944">
      <c r="A3944" s="184"/>
      <c r="B3944" s="185"/>
      <c r="C3944" s="185"/>
      <c r="D3944" s="20"/>
      <c r="E3944" s="20"/>
    </row>
    <row r="3945">
      <c r="A3945" s="184"/>
      <c r="B3945" s="185"/>
      <c r="C3945" s="185"/>
      <c r="D3945" s="20"/>
      <c r="E3945" s="20"/>
    </row>
    <row r="3946">
      <c r="A3946" s="184"/>
      <c r="B3946" s="185"/>
      <c r="C3946" s="185"/>
      <c r="D3946" s="20"/>
      <c r="E3946" s="20"/>
    </row>
    <row r="3947">
      <c r="A3947" s="184"/>
      <c r="B3947" s="185"/>
      <c r="C3947" s="185"/>
      <c r="D3947" s="20"/>
      <c r="E3947" s="20"/>
    </row>
    <row r="3948">
      <c r="A3948" s="184"/>
      <c r="B3948" s="185"/>
      <c r="C3948" s="185"/>
      <c r="D3948" s="20"/>
      <c r="E3948" s="20"/>
    </row>
    <row r="3949">
      <c r="A3949" s="184"/>
      <c r="B3949" s="185"/>
      <c r="C3949" s="185"/>
      <c r="D3949" s="20"/>
      <c r="E3949" s="20"/>
    </row>
    <row r="3950">
      <c r="A3950" s="184"/>
      <c r="B3950" s="185"/>
      <c r="C3950" s="185"/>
      <c r="D3950" s="20"/>
      <c r="E3950" s="20"/>
    </row>
    <row r="3951">
      <c r="A3951" s="184"/>
      <c r="B3951" s="185"/>
      <c r="C3951" s="185"/>
      <c r="D3951" s="20"/>
      <c r="E3951" s="20"/>
    </row>
    <row r="3952">
      <c r="A3952" s="184"/>
      <c r="B3952" s="185"/>
      <c r="C3952" s="185"/>
      <c r="D3952" s="20"/>
      <c r="E3952" s="20"/>
    </row>
    <row r="3953">
      <c r="A3953" s="184"/>
      <c r="B3953" s="185"/>
      <c r="C3953" s="185"/>
      <c r="D3953" s="20"/>
      <c r="E3953" s="20"/>
    </row>
    <row r="3954">
      <c r="A3954" s="184"/>
      <c r="B3954" s="185"/>
      <c r="C3954" s="185"/>
      <c r="D3954" s="20"/>
      <c r="E3954" s="20"/>
    </row>
    <row r="3955">
      <c r="A3955" s="184"/>
      <c r="B3955" s="185"/>
      <c r="C3955" s="185"/>
      <c r="D3955" s="20"/>
      <c r="E3955" s="20"/>
    </row>
    <row r="3956">
      <c r="A3956" s="184"/>
      <c r="B3956" s="185"/>
      <c r="C3956" s="185"/>
      <c r="D3956" s="20"/>
      <c r="E3956" s="20"/>
    </row>
    <row r="3957">
      <c r="A3957" s="184"/>
      <c r="B3957" s="185"/>
      <c r="C3957" s="185"/>
      <c r="D3957" s="20"/>
      <c r="E3957" s="20"/>
    </row>
    <row r="3958">
      <c r="A3958" s="184"/>
      <c r="B3958" s="185"/>
      <c r="C3958" s="185"/>
      <c r="D3958" s="20"/>
      <c r="E3958" s="20"/>
    </row>
    <row r="3959">
      <c r="A3959" s="184"/>
      <c r="B3959" s="185"/>
      <c r="C3959" s="185"/>
      <c r="D3959" s="20"/>
      <c r="E3959" s="20"/>
    </row>
    <row r="3960">
      <c r="A3960" s="184"/>
      <c r="B3960" s="185"/>
      <c r="C3960" s="185"/>
      <c r="D3960" s="20"/>
      <c r="E3960" s="20"/>
    </row>
    <row r="3961">
      <c r="A3961" s="184"/>
      <c r="B3961" s="185"/>
      <c r="C3961" s="185"/>
      <c r="D3961" s="20"/>
      <c r="E3961" s="20"/>
    </row>
    <row r="3962">
      <c r="A3962" s="184"/>
      <c r="B3962" s="185"/>
      <c r="C3962" s="185"/>
      <c r="D3962" s="20"/>
      <c r="E3962" s="20"/>
    </row>
    <row r="3963">
      <c r="A3963" s="184"/>
      <c r="B3963" s="185"/>
      <c r="C3963" s="185"/>
      <c r="D3963" s="20"/>
      <c r="E3963" s="20"/>
    </row>
    <row r="3964">
      <c r="A3964" s="184"/>
      <c r="B3964" s="185"/>
      <c r="C3964" s="185"/>
      <c r="D3964" s="20"/>
      <c r="E3964" s="20"/>
    </row>
    <row r="3965">
      <c r="A3965" s="184"/>
      <c r="B3965" s="185"/>
      <c r="C3965" s="185"/>
      <c r="D3965" s="20"/>
      <c r="E3965" s="20"/>
    </row>
    <row r="3966">
      <c r="A3966" s="184"/>
      <c r="B3966" s="185"/>
      <c r="C3966" s="185"/>
      <c r="D3966" s="20"/>
      <c r="E3966" s="20"/>
    </row>
    <row r="3967">
      <c r="A3967" s="184"/>
      <c r="B3967" s="185"/>
      <c r="C3967" s="185"/>
      <c r="D3967" s="20"/>
      <c r="E3967" s="20"/>
    </row>
    <row r="3968">
      <c r="A3968" s="184"/>
      <c r="B3968" s="185"/>
      <c r="C3968" s="185"/>
      <c r="D3968" s="20"/>
      <c r="E3968" s="20"/>
    </row>
    <row r="3969">
      <c r="A3969" s="184"/>
      <c r="B3969" s="185"/>
      <c r="C3969" s="185"/>
      <c r="D3969" s="20"/>
      <c r="E3969" s="20"/>
    </row>
    <row r="3970">
      <c r="A3970" s="184"/>
      <c r="B3970" s="185"/>
      <c r="C3970" s="185"/>
      <c r="D3970" s="20"/>
      <c r="E3970" s="20"/>
    </row>
    <row r="3971">
      <c r="A3971" s="184"/>
      <c r="B3971" s="185"/>
      <c r="C3971" s="185"/>
      <c r="D3971" s="20"/>
      <c r="E3971" s="20"/>
    </row>
    <row r="3972">
      <c r="A3972" s="184"/>
      <c r="B3972" s="185"/>
      <c r="C3972" s="185"/>
      <c r="D3972" s="20"/>
      <c r="E3972" s="20"/>
    </row>
    <row r="3973">
      <c r="A3973" s="184"/>
      <c r="B3973" s="185"/>
      <c r="C3973" s="185"/>
      <c r="D3973" s="20"/>
      <c r="E3973" s="20"/>
    </row>
    <row r="3974">
      <c r="A3974" s="184"/>
      <c r="B3974" s="185"/>
      <c r="C3974" s="185"/>
      <c r="D3974" s="20"/>
      <c r="E3974" s="20"/>
    </row>
    <row r="3975">
      <c r="A3975" s="184"/>
      <c r="B3975" s="185"/>
      <c r="C3975" s="185"/>
      <c r="D3975" s="20"/>
      <c r="E3975" s="20"/>
    </row>
    <row r="3976">
      <c r="A3976" s="184"/>
      <c r="B3976" s="185"/>
      <c r="C3976" s="185"/>
      <c r="D3976" s="20"/>
      <c r="E3976" s="20"/>
    </row>
    <row r="3977">
      <c r="A3977" s="184"/>
      <c r="B3977" s="185"/>
      <c r="C3977" s="185"/>
      <c r="D3977" s="20"/>
      <c r="E3977" s="20"/>
    </row>
    <row r="3978">
      <c r="A3978" s="184"/>
      <c r="B3978" s="185"/>
      <c r="C3978" s="185"/>
      <c r="D3978" s="20"/>
      <c r="E3978" s="20"/>
    </row>
    <row r="3979">
      <c r="A3979" s="184"/>
      <c r="B3979" s="185"/>
      <c r="C3979" s="185"/>
      <c r="D3979" s="20"/>
      <c r="E3979" s="20"/>
    </row>
    <row r="3980">
      <c r="A3980" s="184"/>
      <c r="B3980" s="185"/>
      <c r="C3980" s="185"/>
      <c r="D3980" s="20"/>
      <c r="E3980" s="20"/>
    </row>
    <row r="3981">
      <c r="A3981" s="184"/>
      <c r="B3981" s="185"/>
      <c r="C3981" s="185"/>
      <c r="D3981" s="20"/>
      <c r="E3981" s="20"/>
    </row>
    <row r="3982">
      <c r="A3982" s="184"/>
      <c r="B3982" s="185"/>
      <c r="C3982" s="185"/>
      <c r="D3982" s="20"/>
      <c r="E3982" s="20"/>
    </row>
    <row r="3983">
      <c r="A3983" s="184"/>
      <c r="B3983" s="185"/>
      <c r="C3983" s="185"/>
      <c r="D3983" s="20"/>
      <c r="E3983" s="20"/>
    </row>
    <row r="3984">
      <c r="A3984" s="184"/>
      <c r="B3984" s="185"/>
      <c r="C3984" s="185"/>
      <c r="D3984" s="20"/>
      <c r="E3984" s="20"/>
    </row>
    <row r="3985">
      <c r="A3985" s="184"/>
      <c r="B3985" s="185"/>
      <c r="C3985" s="185"/>
      <c r="D3985" s="20"/>
      <c r="E3985" s="20"/>
    </row>
    <row r="3986">
      <c r="A3986" s="184"/>
      <c r="B3986" s="185"/>
      <c r="C3986" s="185"/>
      <c r="D3986" s="20"/>
      <c r="E3986" s="20"/>
    </row>
    <row r="3987">
      <c r="A3987" s="184"/>
      <c r="B3987" s="185"/>
      <c r="C3987" s="185"/>
      <c r="D3987" s="20"/>
      <c r="E3987" s="20"/>
    </row>
    <row r="3988">
      <c r="A3988" s="184"/>
      <c r="B3988" s="185"/>
      <c r="C3988" s="185"/>
      <c r="D3988" s="20"/>
      <c r="E3988" s="20"/>
    </row>
    <row r="3989">
      <c r="A3989" s="184"/>
      <c r="B3989" s="185"/>
      <c r="C3989" s="185"/>
      <c r="D3989" s="20"/>
      <c r="E3989" s="20"/>
    </row>
    <row r="3990">
      <c r="A3990" s="184"/>
      <c r="B3990" s="185"/>
      <c r="C3990" s="185"/>
      <c r="D3990" s="20"/>
      <c r="E3990" s="20"/>
    </row>
    <row r="3991">
      <c r="A3991" s="184"/>
      <c r="B3991" s="185"/>
      <c r="C3991" s="185"/>
      <c r="D3991" s="20"/>
      <c r="E3991" s="20"/>
    </row>
    <row r="3992">
      <c r="A3992" s="184"/>
      <c r="B3992" s="185"/>
      <c r="C3992" s="185"/>
      <c r="D3992" s="20"/>
      <c r="E3992" s="20"/>
    </row>
    <row r="3993">
      <c r="A3993" s="184"/>
      <c r="B3993" s="185"/>
      <c r="C3993" s="185"/>
      <c r="D3993" s="20"/>
      <c r="E3993" s="20"/>
    </row>
    <row r="3994">
      <c r="A3994" s="184"/>
      <c r="B3994" s="185"/>
      <c r="C3994" s="185"/>
      <c r="D3994" s="20"/>
      <c r="E3994" s="20"/>
    </row>
    <row r="3995">
      <c r="A3995" s="184"/>
      <c r="B3995" s="185"/>
      <c r="C3995" s="185"/>
      <c r="D3995" s="20"/>
      <c r="E3995" s="20"/>
    </row>
    <row r="3996">
      <c r="A3996" s="184"/>
      <c r="B3996" s="185"/>
      <c r="C3996" s="185"/>
      <c r="D3996" s="20"/>
      <c r="E3996" s="20"/>
    </row>
    <row r="3997">
      <c r="A3997" s="184"/>
      <c r="B3997" s="185"/>
      <c r="C3997" s="185"/>
      <c r="D3997" s="20"/>
      <c r="E3997" s="20"/>
    </row>
    <row r="3998">
      <c r="A3998" s="184"/>
      <c r="B3998" s="185"/>
      <c r="C3998" s="185"/>
      <c r="D3998" s="20"/>
      <c r="E3998" s="20"/>
    </row>
    <row r="3999">
      <c r="A3999" s="184"/>
      <c r="B3999" s="185"/>
      <c r="C3999" s="185"/>
      <c r="D3999" s="20"/>
      <c r="E3999" s="20"/>
    </row>
    <row r="4000">
      <c r="A4000" s="184"/>
      <c r="B4000" s="185"/>
      <c r="C4000" s="185"/>
      <c r="D4000" s="20"/>
      <c r="E4000" s="20"/>
    </row>
    <row r="4001">
      <c r="A4001" s="184"/>
      <c r="B4001" s="185"/>
      <c r="C4001" s="185"/>
      <c r="D4001" s="20"/>
      <c r="E4001" s="20"/>
    </row>
    <row r="4002">
      <c r="A4002" s="184"/>
      <c r="B4002" s="185"/>
      <c r="C4002" s="185"/>
      <c r="D4002" s="20"/>
      <c r="E4002" s="20"/>
    </row>
    <row r="4003">
      <c r="A4003" s="184"/>
      <c r="B4003" s="185"/>
      <c r="C4003" s="185"/>
      <c r="D4003" s="20"/>
      <c r="E4003" s="20"/>
    </row>
    <row r="4004">
      <c r="A4004" s="184"/>
      <c r="B4004" s="185"/>
      <c r="C4004" s="185"/>
      <c r="D4004" s="20"/>
      <c r="E4004" s="20"/>
    </row>
    <row r="4005">
      <c r="A4005" s="184"/>
      <c r="B4005" s="185"/>
      <c r="C4005" s="185"/>
      <c r="D4005" s="20"/>
      <c r="E4005" s="20"/>
    </row>
    <row r="4006">
      <c r="A4006" s="184"/>
      <c r="B4006" s="185"/>
      <c r="C4006" s="185"/>
      <c r="D4006" s="20"/>
      <c r="E4006" s="20"/>
    </row>
    <row r="4007">
      <c r="A4007" s="184"/>
      <c r="B4007" s="185"/>
      <c r="C4007" s="185"/>
      <c r="D4007" s="20"/>
      <c r="E4007" s="20"/>
    </row>
    <row r="4008">
      <c r="A4008" s="184"/>
      <c r="B4008" s="185"/>
      <c r="C4008" s="185"/>
      <c r="D4008" s="20"/>
      <c r="E4008" s="20"/>
    </row>
    <row r="4009">
      <c r="A4009" s="184"/>
      <c r="B4009" s="185"/>
      <c r="C4009" s="185"/>
      <c r="D4009" s="20"/>
      <c r="E4009" s="20"/>
    </row>
    <row r="4010">
      <c r="A4010" s="184"/>
      <c r="B4010" s="185"/>
      <c r="C4010" s="185"/>
      <c r="D4010" s="20"/>
      <c r="E4010" s="20"/>
    </row>
    <row r="4011">
      <c r="A4011" s="184"/>
      <c r="B4011" s="185"/>
      <c r="C4011" s="185"/>
      <c r="D4011" s="20"/>
      <c r="E4011" s="20"/>
    </row>
    <row r="4012">
      <c r="A4012" s="184"/>
      <c r="B4012" s="185"/>
      <c r="C4012" s="185"/>
      <c r="D4012" s="20"/>
      <c r="E4012" s="20"/>
    </row>
    <row r="4013">
      <c r="A4013" s="184"/>
      <c r="B4013" s="185"/>
      <c r="C4013" s="185"/>
      <c r="D4013" s="20"/>
      <c r="E4013" s="20"/>
    </row>
    <row r="4014">
      <c r="A4014" s="184"/>
      <c r="B4014" s="185"/>
      <c r="C4014" s="185"/>
      <c r="D4014" s="20"/>
      <c r="E4014" s="20"/>
    </row>
    <row r="4015">
      <c r="A4015" s="184"/>
      <c r="B4015" s="185"/>
      <c r="C4015" s="185"/>
      <c r="D4015" s="20"/>
      <c r="E4015" s="20"/>
    </row>
    <row r="4016">
      <c r="A4016" s="184"/>
      <c r="B4016" s="185"/>
      <c r="C4016" s="185"/>
      <c r="D4016" s="20"/>
      <c r="E4016" s="20"/>
    </row>
    <row r="4017">
      <c r="A4017" s="184"/>
      <c r="B4017" s="185"/>
      <c r="C4017" s="185"/>
      <c r="D4017" s="20"/>
      <c r="E4017" s="20"/>
    </row>
    <row r="4018">
      <c r="A4018" s="184"/>
      <c r="B4018" s="185"/>
      <c r="C4018" s="185"/>
      <c r="D4018" s="20"/>
      <c r="E4018" s="20"/>
    </row>
    <row r="4019">
      <c r="A4019" s="184"/>
      <c r="B4019" s="185"/>
      <c r="C4019" s="185"/>
      <c r="D4019" s="20"/>
      <c r="E4019" s="20"/>
    </row>
    <row r="4020">
      <c r="A4020" s="184"/>
      <c r="B4020" s="185"/>
      <c r="C4020" s="185"/>
      <c r="D4020" s="20"/>
      <c r="E4020" s="20"/>
    </row>
    <row r="4021">
      <c r="A4021" s="184"/>
      <c r="B4021" s="185"/>
      <c r="C4021" s="185"/>
      <c r="D4021" s="20"/>
      <c r="E4021" s="20"/>
    </row>
    <row r="4022">
      <c r="A4022" s="184"/>
      <c r="B4022" s="185"/>
      <c r="C4022" s="185"/>
      <c r="D4022" s="20"/>
      <c r="E4022" s="20"/>
    </row>
    <row r="4023">
      <c r="A4023" s="184"/>
      <c r="B4023" s="185"/>
      <c r="C4023" s="185"/>
      <c r="D4023" s="20"/>
      <c r="E4023" s="20"/>
    </row>
    <row r="4024">
      <c r="A4024" s="184"/>
      <c r="B4024" s="185"/>
      <c r="C4024" s="185"/>
      <c r="D4024" s="20"/>
      <c r="E4024" s="20"/>
    </row>
    <row r="4025">
      <c r="A4025" s="184"/>
      <c r="B4025" s="185"/>
      <c r="C4025" s="185"/>
      <c r="D4025" s="20"/>
      <c r="E4025" s="20"/>
    </row>
    <row r="4026">
      <c r="A4026" s="184"/>
      <c r="B4026" s="185"/>
      <c r="C4026" s="185"/>
      <c r="D4026" s="20"/>
      <c r="E4026" s="20"/>
    </row>
    <row r="4027">
      <c r="A4027" s="184"/>
      <c r="B4027" s="185"/>
      <c r="C4027" s="185"/>
      <c r="D4027" s="20"/>
      <c r="E4027" s="20"/>
    </row>
    <row r="4028">
      <c r="A4028" s="184"/>
      <c r="B4028" s="185"/>
      <c r="C4028" s="185"/>
      <c r="D4028" s="20"/>
      <c r="E4028" s="20"/>
    </row>
    <row r="4029">
      <c r="A4029" s="184"/>
      <c r="B4029" s="185"/>
      <c r="C4029" s="185"/>
      <c r="D4029" s="20"/>
      <c r="E4029" s="20"/>
    </row>
    <row r="4030">
      <c r="A4030" s="184"/>
      <c r="B4030" s="185"/>
      <c r="C4030" s="185"/>
      <c r="D4030" s="20"/>
      <c r="E4030" s="20"/>
    </row>
    <row r="4031">
      <c r="A4031" s="184"/>
      <c r="B4031" s="185"/>
      <c r="C4031" s="185"/>
      <c r="D4031" s="20"/>
      <c r="E4031" s="20"/>
    </row>
    <row r="4032">
      <c r="A4032" s="184"/>
      <c r="B4032" s="185"/>
      <c r="C4032" s="185"/>
      <c r="D4032" s="20"/>
      <c r="E4032" s="20"/>
    </row>
    <row r="4033">
      <c r="A4033" s="184"/>
      <c r="B4033" s="185"/>
      <c r="C4033" s="185"/>
      <c r="D4033" s="20"/>
      <c r="E4033" s="20"/>
    </row>
    <row r="4034">
      <c r="A4034" s="184"/>
      <c r="B4034" s="185"/>
      <c r="C4034" s="185"/>
      <c r="D4034" s="20"/>
      <c r="E4034" s="20"/>
    </row>
    <row r="4035">
      <c r="A4035" s="184"/>
      <c r="B4035" s="185"/>
      <c r="C4035" s="185"/>
      <c r="D4035" s="20"/>
      <c r="E4035" s="20"/>
    </row>
    <row r="4036">
      <c r="A4036" s="184"/>
      <c r="B4036" s="185"/>
      <c r="C4036" s="185"/>
      <c r="D4036" s="20"/>
      <c r="E4036" s="20"/>
    </row>
    <row r="4037">
      <c r="A4037" s="184"/>
      <c r="B4037" s="185"/>
      <c r="C4037" s="185"/>
      <c r="D4037" s="20"/>
      <c r="E4037" s="20"/>
    </row>
    <row r="4038">
      <c r="A4038" s="184"/>
      <c r="B4038" s="185"/>
      <c r="C4038" s="185"/>
      <c r="D4038" s="20"/>
      <c r="E4038" s="20"/>
    </row>
    <row r="4039">
      <c r="A4039" s="184"/>
      <c r="B4039" s="185"/>
      <c r="C4039" s="185"/>
      <c r="D4039" s="20"/>
      <c r="E4039" s="20"/>
    </row>
    <row r="4040">
      <c r="A4040" s="184"/>
      <c r="B4040" s="185"/>
      <c r="C4040" s="185"/>
      <c r="D4040" s="20"/>
      <c r="E4040" s="20"/>
    </row>
    <row r="4041">
      <c r="A4041" s="184"/>
      <c r="B4041" s="185"/>
      <c r="C4041" s="185"/>
      <c r="D4041" s="20"/>
      <c r="E4041" s="20"/>
    </row>
    <row r="4042">
      <c r="A4042" s="184"/>
      <c r="B4042" s="185"/>
      <c r="C4042" s="185"/>
      <c r="D4042" s="20"/>
      <c r="E4042" s="20"/>
    </row>
    <row r="4043">
      <c r="A4043" s="184"/>
      <c r="B4043" s="185"/>
      <c r="C4043" s="185"/>
      <c r="D4043" s="20"/>
      <c r="E4043" s="20"/>
    </row>
    <row r="4044">
      <c r="A4044" s="184"/>
      <c r="B4044" s="185"/>
      <c r="C4044" s="185"/>
      <c r="D4044" s="20"/>
      <c r="E4044" s="20"/>
    </row>
    <row r="4045">
      <c r="A4045" s="184"/>
      <c r="B4045" s="185"/>
      <c r="C4045" s="185"/>
      <c r="D4045" s="20"/>
      <c r="E4045" s="20"/>
    </row>
    <row r="4046">
      <c r="A4046" s="184"/>
      <c r="B4046" s="185"/>
      <c r="C4046" s="185"/>
      <c r="D4046" s="20"/>
      <c r="E4046" s="20"/>
    </row>
    <row r="4047">
      <c r="A4047" s="184"/>
      <c r="B4047" s="185"/>
      <c r="C4047" s="185"/>
      <c r="D4047" s="20"/>
      <c r="E4047" s="20"/>
    </row>
    <row r="4048">
      <c r="A4048" s="184"/>
      <c r="B4048" s="185"/>
      <c r="C4048" s="185"/>
      <c r="D4048" s="20"/>
      <c r="E4048" s="20"/>
    </row>
    <row r="4049">
      <c r="A4049" s="184"/>
      <c r="B4049" s="185"/>
      <c r="C4049" s="185"/>
      <c r="D4049" s="20"/>
      <c r="E4049" s="20"/>
    </row>
    <row r="4050">
      <c r="A4050" s="184"/>
      <c r="B4050" s="185"/>
      <c r="C4050" s="185"/>
      <c r="D4050" s="20"/>
      <c r="E4050" s="20"/>
    </row>
    <row r="4051">
      <c r="A4051" s="184"/>
      <c r="B4051" s="185"/>
      <c r="C4051" s="185"/>
      <c r="D4051" s="20"/>
      <c r="E4051" s="20"/>
    </row>
    <row r="4052">
      <c r="A4052" s="184"/>
      <c r="B4052" s="185"/>
      <c r="C4052" s="185"/>
      <c r="D4052" s="20"/>
      <c r="E4052" s="20"/>
    </row>
    <row r="4053">
      <c r="A4053" s="184"/>
      <c r="B4053" s="185"/>
      <c r="C4053" s="185"/>
      <c r="D4053" s="20"/>
      <c r="E4053" s="20"/>
    </row>
    <row r="4054">
      <c r="A4054" s="184"/>
      <c r="B4054" s="185"/>
      <c r="C4054" s="185"/>
      <c r="D4054" s="20"/>
      <c r="E4054" s="20"/>
    </row>
    <row r="4055">
      <c r="A4055" s="184"/>
      <c r="B4055" s="185"/>
      <c r="C4055" s="185"/>
      <c r="D4055" s="20"/>
      <c r="E4055" s="20"/>
    </row>
    <row r="4056">
      <c r="A4056" s="184"/>
      <c r="B4056" s="185"/>
      <c r="C4056" s="185"/>
      <c r="D4056" s="20"/>
      <c r="E4056" s="20"/>
    </row>
    <row r="4057">
      <c r="A4057" s="184"/>
      <c r="B4057" s="185"/>
      <c r="C4057" s="185"/>
      <c r="D4057" s="20"/>
      <c r="E4057" s="20"/>
    </row>
    <row r="4058">
      <c r="A4058" s="184"/>
      <c r="B4058" s="185"/>
      <c r="C4058" s="185"/>
      <c r="D4058" s="20"/>
      <c r="E4058" s="20"/>
    </row>
    <row r="4059">
      <c r="A4059" s="184"/>
      <c r="B4059" s="185"/>
      <c r="C4059" s="185"/>
      <c r="D4059" s="20"/>
      <c r="E4059" s="20"/>
    </row>
    <row r="4060">
      <c r="A4060" s="184"/>
      <c r="B4060" s="185"/>
      <c r="C4060" s="185"/>
      <c r="D4060" s="20"/>
      <c r="E4060" s="20"/>
    </row>
    <row r="4061">
      <c r="A4061" s="184"/>
      <c r="B4061" s="185"/>
      <c r="C4061" s="185"/>
      <c r="D4061" s="20"/>
      <c r="E4061" s="20"/>
    </row>
    <row r="4062">
      <c r="A4062" s="184"/>
      <c r="B4062" s="185"/>
      <c r="C4062" s="185"/>
      <c r="D4062" s="20"/>
      <c r="E4062" s="20"/>
    </row>
    <row r="4063">
      <c r="A4063" s="184"/>
      <c r="B4063" s="185"/>
      <c r="C4063" s="185"/>
      <c r="D4063" s="20"/>
      <c r="E4063" s="20"/>
    </row>
    <row r="4064">
      <c r="A4064" s="184"/>
      <c r="B4064" s="185"/>
      <c r="C4064" s="185"/>
      <c r="D4064" s="20"/>
      <c r="E4064" s="20"/>
    </row>
    <row r="4065">
      <c r="A4065" s="184"/>
      <c r="B4065" s="185"/>
      <c r="C4065" s="185"/>
      <c r="D4065" s="20"/>
      <c r="E4065" s="20"/>
    </row>
    <row r="4066">
      <c r="A4066" s="184"/>
      <c r="B4066" s="185"/>
      <c r="C4066" s="185"/>
      <c r="D4066" s="20"/>
      <c r="E4066" s="20"/>
    </row>
    <row r="4067">
      <c r="A4067" s="184"/>
      <c r="B4067" s="185"/>
      <c r="C4067" s="185"/>
      <c r="D4067" s="20"/>
      <c r="E4067" s="20"/>
    </row>
    <row r="4068">
      <c r="A4068" s="184"/>
      <c r="B4068" s="185"/>
      <c r="C4068" s="185"/>
      <c r="D4068" s="20"/>
      <c r="E4068" s="20"/>
    </row>
    <row r="4069">
      <c r="A4069" s="184"/>
      <c r="B4069" s="185"/>
      <c r="C4069" s="185"/>
      <c r="D4069" s="20"/>
      <c r="E4069" s="20"/>
    </row>
    <row r="4070">
      <c r="A4070" s="184"/>
      <c r="B4070" s="185"/>
      <c r="C4070" s="185"/>
      <c r="D4070" s="20"/>
      <c r="E4070" s="20"/>
    </row>
    <row r="4071">
      <c r="A4071" s="184"/>
      <c r="B4071" s="185"/>
      <c r="C4071" s="185"/>
      <c r="D4071" s="20"/>
      <c r="E4071" s="20"/>
    </row>
    <row r="4072">
      <c r="A4072" s="184"/>
      <c r="B4072" s="185"/>
      <c r="C4072" s="185"/>
      <c r="D4072" s="20"/>
      <c r="E4072" s="20"/>
    </row>
    <row r="4073">
      <c r="A4073" s="184"/>
      <c r="B4073" s="185"/>
      <c r="C4073" s="185"/>
      <c r="D4073" s="20"/>
      <c r="E4073" s="20"/>
    </row>
    <row r="4074">
      <c r="A4074" s="184"/>
      <c r="B4074" s="185"/>
      <c r="C4074" s="185"/>
      <c r="D4074" s="20"/>
      <c r="E4074" s="20"/>
    </row>
    <row r="4075">
      <c r="A4075" s="184"/>
      <c r="B4075" s="185"/>
      <c r="C4075" s="185"/>
      <c r="D4075" s="20"/>
      <c r="E4075" s="20"/>
    </row>
    <row r="4076">
      <c r="A4076" s="184"/>
      <c r="B4076" s="185"/>
      <c r="C4076" s="185"/>
      <c r="D4076" s="20"/>
      <c r="E4076" s="20"/>
    </row>
    <row r="4077">
      <c r="A4077" s="184"/>
      <c r="B4077" s="185"/>
      <c r="C4077" s="185"/>
      <c r="D4077" s="20"/>
      <c r="E4077" s="20"/>
    </row>
    <row r="4078">
      <c r="A4078" s="184"/>
      <c r="B4078" s="185"/>
      <c r="C4078" s="185"/>
      <c r="D4078" s="20"/>
      <c r="E4078" s="20"/>
    </row>
    <row r="4079">
      <c r="A4079" s="184"/>
      <c r="B4079" s="185"/>
      <c r="C4079" s="185"/>
      <c r="D4079" s="20"/>
      <c r="E4079" s="20"/>
    </row>
    <row r="4080">
      <c r="A4080" s="184"/>
      <c r="B4080" s="185"/>
      <c r="C4080" s="185"/>
      <c r="D4080" s="20"/>
      <c r="E4080" s="20"/>
    </row>
    <row r="4081">
      <c r="A4081" s="184"/>
      <c r="B4081" s="185"/>
      <c r="C4081" s="185"/>
      <c r="D4081" s="20"/>
      <c r="E4081" s="20"/>
    </row>
    <row r="4082">
      <c r="A4082" s="184"/>
      <c r="B4082" s="185"/>
      <c r="C4082" s="185"/>
      <c r="D4082" s="20"/>
      <c r="E4082" s="20"/>
    </row>
    <row r="4083">
      <c r="A4083" s="184"/>
      <c r="B4083" s="185"/>
      <c r="C4083" s="185"/>
      <c r="D4083" s="20"/>
      <c r="E4083" s="20"/>
    </row>
    <row r="4084">
      <c r="A4084" s="184"/>
      <c r="B4084" s="185"/>
      <c r="C4084" s="185"/>
      <c r="D4084" s="20"/>
      <c r="E4084" s="20"/>
    </row>
    <row r="4085">
      <c r="A4085" s="184"/>
      <c r="B4085" s="185"/>
      <c r="C4085" s="185"/>
      <c r="D4085" s="20"/>
      <c r="E4085" s="20"/>
    </row>
    <row r="4086">
      <c r="A4086" s="184"/>
      <c r="B4086" s="185"/>
      <c r="C4086" s="185"/>
      <c r="D4086" s="20"/>
      <c r="E4086" s="20"/>
    </row>
    <row r="4087">
      <c r="A4087" s="184"/>
      <c r="B4087" s="185"/>
      <c r="C4087" s="185"/>
      <c r="D4087" s="20"/>
      <c r="E4087" s="20"/>
    </row>
    <row r="4088">
      <c r="A4088" s="184"/>
      <c r="B4088" s="185"/>
      <c r="C4088" s="185"/>
      <c r="D4088" s="20"/>
      <c r="E4088" s="20"/>
    </row>
    <row r="4089">
      <c r="A4089" s="184"/>
      <c r="B4089" s="185"/>
      <c r="C4089" s="185"/>
      <c r="D4089" s="20"/>
      <c r="E4089" s="20"/>
    </row>
    <row r="4090">
      <c r="A4090" s="184"/>
      <c r="B4090" s="185"/>
      <c r="C4090" s="185"/>
      <c r="D4090" s="20"/>
      <c r="E4090" s="20"/>
    </row>
    <row r="4091">
      <c r="A4091" s="184"/>
      <c r="B4091" s="185"/>
      <c r="C4091" s="185"/>
      <c r="D4091" s="20"/>
      <c r="E4091" s="20"/>
    </row>
    <row r="4092">
      <c r="A4092" s="184"/>
      <c r="B4092" s="185"/>
      <c r="C4092" s="185"/>
      <c r="D4092" s="20"/>
      <c r="E4092" s="20"/>
    </row>
    <row r="4093">
      <c r="A4093" s="184"/>
      <c r="B4093" s="185"/>
      <c r="C4093" s="185"/>
      <c r="D4093" s="20"/>
      <c r="E4093" s="20"/>
    </row>
    <row r="4094">
      <c r="A4094" s="184"/>
      <c r="B4094" s="185"/>
      <c r="C4094" s="185"/>
      <c r="D4094" s="20"/>
      <c r="E4094" s="20"/>
    </row>
    <row r="4095">
      <c r="A4095" s="184"/>
      <c r="B4095" s="185"/>
      <c r="C4095" s="185"/>
      <c r="D4095" s="20"/>
      <c r="E4095" s="20"/>
    </row>
    <row r="4096">
      <c r="A4096" s="184"/>
      <c r="B4096" s="185"/>
      <c r="C4096" s="185"/>
      <c r="D4096" s="20"/>
      <c r="E4096" s="20"/>
    </row>
    <row r="4097">
      <c r="A4097" s="184"/>
      <c r="B4097" s="185"/>
      <c r="C4097" s="185"/>
      <c r="D4097" s="20"/>
      <c r="E4097" s="20"/>
    </row>
    <row r="4098">
      <c r="A4098" s="184"/>
      <c r="B4098" s="185"/>
      <c r="C4098" s="185"/>
      <c r="D4098" s="20"/>
      <c r="E4098" s="20"/>
    </row>
    <row r="4099">
      <c r="A4099" s="184"/>
      <c r="B4099" s="185"/>
      <c r="C4099" s="185"/>
      <c r="D4099" s="20"/>
      <c r="E4099" s="20"/>
    </row>
    <row r="4100">
      <c r="A4100" s="184"/>
      <c r="B4100" s="185"/>
      <c r="C4100" s="185"/>
      <c r="D4100" s="20"/>
      <c r="E4100" s="20"/>
    </row>
    <row r="4101">
      <c r="A4101" s="184"/>
      <c r="B4101" s="185"/>
      <c r="C4101" s="185"/>
      <c r="D4101" s="20"/>
      <c r="E4101" s="20"/>
    </row>
    <row r="4102">
      <c r="A4102" s="184"/>
      <c r="B4102" s="185"/>
      <c r="C4102" s="185"/>
      <c r="D4102" s="20"/>
      <c r="E4102" s="20"/>
    </row>
    <row r="4103">
      <c r="A4103" s="184"/>
      <c r="B4103" s="185"/>
      <c r="C4103" s="185"/>
      <c r="D4103" s="20"/>
      <c r="E4103" s="20"/>
    </row>
    <row r="4104">
      <c r="A4104" s="184"/>
      <c r="B4104" s="185"/>
      <c r="C4104" s="185"/>
      <c r="D4104" s="20"/>
      <c r="E4104" s="20"/>
    </row>
    <row r="4105">
      <c r="A4105" s="184"/>
      <c r="B4105" s="185"/>
      <c r="C4105" s="185"/>
      <c r="D4105" s="20"/>
      <c r="E4105" s="20"/>
    </row>
    <row r="4106">
      <c r="A4106" s="184"/>
      <c r="B4106" s="185"/>
      <c r="C4106" s="185"/>
      <c r="D4106" s="20"/>
      <c r="E4106" s="20"/>
    </row>
    <row r="4107">
      <c r="A4107" s="184"/>
      <c r="B4107" s="185"/>
      <c r="C4107" s="185"/>
      <c r="D4107" s="20"/>
      <c r="E4107" s="20"/>
    </row>
    <row r="4108">
      <c r="A4108" s="184"/>
      <c r="B4108" s="185"/>
      <c r="C4108" s="185"/>
      <c r="D4108" s="20"/>
      <c r="E4108" s="20"/>
    </row>
    <row r="4109">
      <c r="A4109" s="184"/>
      <c r="B4109" s="185"/>
      <c r="C4109" s="185"/>
      <c r="D4109" s="20"/>
      <c r="E4109" s="20"/>
    </row>
    <row r="4110">
      <c r="A4110" s="184"/>
      <c r="B4110" s="185"/>
      <c r="C4110" s="185"/>
      <c r="D4110" s="20"/>
      <c r="E4110" s="20"/>
    </row>
    <row r="4111">
      <c r="A4111" s="184"/>
      <c r="B4111" s="185"/>
      <c r="C4111" s="185"/>
      <c r="D4111" s="20"/>
      <c r="E4111" s="20"/>
    </row>
    <row r="4112">
      <c r="A4112" s="184"/>
      <c r="B4112" s="185"/>
      <c r="C4112" s="185"/>
      <c r="D4112" s="20"/>
      <c r="E4112" s="20"/>
    </row>
    <row r="4113">
      <c r="A4113" s="184"/>
      <c r="B4113" s="185"/>
      <c r="C4113" s="185"/>
      <c r="D4113" s="20"/>
      <c r="E4113" s="20"/>
    </row>
    <row r="4114">
      <c r="A4114" s="184"/>
      <c r="B4114" s="185"/>
      <c r="C4114" s="185"/>
      <c r="D4114" s="20"/>
      <c r="E4114" s="20"/>
    </row>
    <row r="4115">
      <c r="A4115" s="184"/>
      <c r="B4115" s="185"/>
      <c r="C4115" s="185"/>
      <c r="D4115" s="20"/>
      <c r="E4115" s="20"/>
    </row>
    <row r="4116">
      <c r="A4116" s="184"/>
      <c r="B4116" s="185"/>
      <c r="C4116" s="185"/>
      <c r="D4116" s="20"/>
      <c r="E4116" s="20"/>
    </row>
    <row r="4117">
      <c r="A4117" s="184"/>
      <c r="B4117" s="185"/>
      <c r="C4117" s="185"/>
      <c r="D4117" s="20"/>
      <c r="E4117" s="20"/>
    </row>
    <row r="4118">
      <c r="A4118" s="184"/>
      <c r="B4118" s="185"/>
      <c r="C4118" s="185"/>
      <c r="D4118" s="20"/>
      <c r="E4118" s="20"/>
    </row>
    <row r="4119">
      <c r="A4119" s="184"/>
      <c r="B4119" s="185"/>
      <c r="C4119" s="185"/>
      <c r="D4119" s="20"/>
      <c r="E4119" s="20"/>
    </row>
    <row r="4120">
      <c r="A4120" s="184"/>
      <c r="B4120" s="185"/>
      <c r="C4120" s="185"/>
      <c r="D4120" s="20"/>
      <c r="E4120" s="20"/>
    </row>
    <row r="4121">
      <c r="A4121" s="184"/>
      <c r="B4121" s="185"/>
      <c r="C4121" s="185"/>
      <c r="D4121" s="20"/>
      <c r="E4121" s="20"/>
    </row>
    <row r="4122">
      <c r="A4122" s="184"/>
      <c r="B4122" s="185"/>
      <c r="C4122" s="185"/>
      <c r="D4122" s="20"/>
      <c r="E4122" s="20"/>
    </row>
    <row r="4123">
      <c r="A4123" s="184"/>
      <c r="B4123" s="185"/>
      <c r="C4123" s="185"/>
      <c r="D4123" s="20"/>
      <c r="E4123" s="20"/>
    </row>
    <row r="4124">
      <c r="A4124" s="184"/>
      <c r="B4124" s="185"/>
      <c r="C4124" s="185"/>
      <c r="D4124" s="20"/>
      <c r="E4124" s="20"/>
    </row>
    <row r="4125">
      <c r="A4125" s="184"/>
      <c r="B4125" s="185"/>
      <c r="C4125" s="185"/>
      <c r="D4125" s="20"/>
      <c r="E4125" s="20"/>
    </row>
    <row r="4126">
      <c r="A4126" s="184"/>
      <c r="B4126" s="185"/>
      <c r="C4126" s="185"/>
      <c r="D4126" s="20"/>
      <c r="E4126" s="20"/>
    </row>
    <row r="4127">
      <c r="A4127" s="184"/>
      <c r="B4127" s="185"/>
      <c r="C4127" s="185"/>
      <c r="D4127" s="20"/>
      <c r="E4127" s="20"/>
    </row>
    <row r="4128">
      <c r="A4128" s="184"/>
      <c r="B4128" s="185"/>
      <c r="C4128" s="185"/>
      <c r="D4128" s="20"/>
      <c r="E4128" s="20"/>
    </row>
    <row r="4129">
      <c r="A4129" s="184"/>
      <c r="B4129" s="185"/>
      <c r="C4129" s="185"/>
      <c r="D4129" s="20"/>
      <c r="E4129" s="20"/>
    </row>
    <row r="4130">
      <c r="A4130" s="184"/>
      <c r="B4130" s="185"/>
      <c r="C4130" s="185"/>
      <c r="D4130" s="20"/>
      <c r="E4130" s="20"/>
    </row>
    <row r="4131">
      <c r="A4131" s="184"/>
      <c r="B4131" s="185"/>
      <c r="C4131" s="185"/>
      <c r="D4131" s="20"/>
      <c r="E4131" s="20"/>
    </row>
    <row r="4132">
      <c r="A4132" s="184"/>
      <c r="B4132" s="185"/>
      <c r="C4132" s="185"/>
      <c r="D4132" s="20"/>
      <c r="E4132" s="20"/>
    </row>
    <row r="4133">
      <c r="A4133" s="184"/>
      <c r="B4133" s="185"/>
      <c r="C4133" s="185"/>
      <c r="D4133" s="20"/>
      <c r="E4133" s="20"/>
    </row>
    <row r="4134">
      <c r="A4134" s="184"/>
      <c r="B4134" s="185"/>
      <c r="C4134" s="185"/>
      <c r="D4134" s="20"/>
      <c r="E4134" s="20"/>
    </row>
    <row r="4135">
      <c r="A4135" s="184"/>
      <c r="B4135" s="185"/>
      <c r="C4135" s="185"/>
      <c r="D4135" s="20"/>
      <c r="E4135" s="20"/>
    </row>
    <row r="4136">
      <c r="A4136" s="184"/>
      <c r="B4136" s="185"/>
      <c r="C4136" s="185"/>
      <c r="D4136" s="20"/>
      <c r="E4136" s="20"/>
    </row>
    <row r="4137">
      <c r="A4137" s="184"/>
      <c r="B4137" s="185"/>
      <c r="C4137" s="185"/>
      <c r="D4137" s="20"/>
      <c r="E4137" s="20"/>
    </row>
    <row r="4138">
      <c r="A4138" s="184"/>
      <c r="B4138" s="185"/>
      <c r="C4138" s="185"/>
      <c r="D4138" s="20"/>
      <c r="E4138" s="20"/>
    </row>
    <row r="4139">
      <c r="A4139" s="184"/>
      <c r="B4139" s="185"/>
      <c r="C4139" s="185"/>
      <c r="D4139" s="20"/>
      <c r="E4139" s="20"/>
    </row>
    <row r="4140">
      <c r="A4140" s="184"/>
      <c r="B4140" s="185"/>
      <c r="C4140" s="185"/>
      <c r="D4140" s="20"/>
      <c r="E4140" s="20"/>
    </row>
    <row r="4141">
      <c r="A4141" s="184"/>
      <c r="B4141" s="185"/>
      <c r="C4141" s="185"/>
      <c r="D4141" s="20"/>
      <c r="E4141" s="20"/>
    </row>
    <row r="4142">
      <c r="A4142" s="184"/>
      <c r="B4142" s="185"/>
      <c r="C4142" s="185"/>
      <c r="D4142" s="20"/>
      <c r="E4142" s="20"/>
    </row>
    <row r="4143">
      <c r="A4143" s="184"/>
      <c r="B4143" s="185"/>
      <c r="C4143" s="185"/>
      <c r="D4143" s="20"/>
      <c r="E4143" s="20"/>
    </row>
    <row r="4144">
      <c r="A4144" s="184"/>
      <c r="B4144" s="185"/>
      <c r="C4144" s="185"/>
      <c r="D4144" s="20"/>
      <c r="E4144" s="20"/>
    </row>
    <row r="4145">
      <c r="A4145" s="184"/>
      <c r="B4145" s="185"/>
      <c r="C4145" s="185"/>
      <c r="D4145" s="20"/>
      <c r="E4145" s="20"/>
    </row>
    <row r="4146">
      <c r="A4146" s="184"/>
      <c r="B4146" s="185"/>
      <c r="C4146" s="185"/>
      <c r="D4146" s="20"/>
      <c r="E4146" s="20"/>
    </row>
    <row r="4147">
      <c r="A4147" s="184"/>
      <c r="B4147" s="185"/>
      <c r="C4147" s="185"/>
      <c r="D4147" s="20"/>
      <c r="E4147" s="20"/>
    </row>
    <row r="4148">
      <c r="A4148" s="184"/>
      <c r="B4148" s="185"/>
      <c r="C4148" s="185"/>
      <c r="D4148" s="20"/>
      <c r="E4148" s="20"/>
    </row>
    <row r="4149">
      <c r="A4149" s="184"/>
      <c r="B4149" s="185"/>
      <c r="C4149" s="185"/>
      <c r="D4149" s="20"/>
      <c r="E4149" s="20"/>
    </row>
    <row r="4150">
      <c r="A4150" s="184"/>
      <c r="B4150" s="185"/>
      <c r="C4150" s="185"/>
      <c r="D4150" s="20"/>
      <c r="E4150" s="20"/>
    </row>
    <row r="4151">
      <c r="A4151" s="184"/>
      <c r="B4151" s="185"/>
      <c r="C4151" s="185"/>
      <c r="D4151" s="20"/>
      <c r="E4151" s="20"/>
    </row>
    <row r="4152">
      <c r="A4152" s="184"/>
      <c r="B4152" s="185"/>
      <c r="C4152" s="185"/>
      <c r="D4152" s="20"/>
      <c r="E4152" s="20"/>
    </row>
    <row r="4153">
      <c r="A4153" s="184"/>
      <c r="B4153" s="185"/>
      <c r="C4153" s="185"/>
      <c r="D4153" s="20"/>
      <c r="E4153" s="20"/>
    </row>
    <row r="4154">
      <c r="A4154" s="184"/>
      <c r="B4154" s="185"/>
      <c r="C4154" s="185"/>
      <c r="D4154" s="20"/>
      <c r="E4154" s="20"/>
    </row>
    <row r="4155">
      <c r="A4155" s="184"/>
      <c r="B4155" s="185"/>
      <c r="C4155" s="185"/>
      <c r="D4155" s="20"/>
      <c r="E4155" s="20"/>
    </row>
    <row r="4156">
      <c r="A4156" s="184"/>
      <c r="B4156" s="185"/>
      <c r="C4156" s="185"/>
      <c r="D4156" s="20"/>
      <c r="E4156" s="20"/>
    </row>
    <row r="4157">
      <c r="A4157" s="184"/>
      <c r="B4157" s="185"/>
      <c r="C4157" s="185"/>
      <c r="D4157" s="20"/>
      <c r="E4157" s="20"/>
    </row>
    <row r="4158">
      <c r="A4158" s="184"/>
      <c r="B4158" s="185"/>
      <c r="C4158" s="185"/>
      <c r="D4158" s="20"/>
      <c r="E4158" s="20"/>
    </row>
    <row r="4159">
      <c r="A4159" s="184"/>
      <c r="B4159" s="185"/>
      <c r="C4159" s="185"/>
      <c r="D4159" s="20"/>
      <c r="E4159" s="20"/>
    </row>
    <row r="4160">
      <c r="A4160" s="184"/>
      <c r="B4160" s="185"/>
      <c r="C4160" s="185"/>
      <c r="D4160" s="20"/>
      <c r="E4160" s="20"/>
    </row>
    <row r="4161">
      <c r="A4161" s="184"/>
      <c r="B4161" s="185"/>
      <c r="C4161" s="185"/>
      <c r="D4161" s="20"/>
      <c r="E4161" s="20"/>
    </row>
    <row r="4162">
      <c r="A4162" s="184"/>
      <c r="B4162" s="185"/>
      <c r="C4162" s="185"/>
      <c r="D4162" s="20"/>
      <c r="E4162" s="20"/>
    </row>
    <row r="4163">
      <c r="A4163" s="184"/>
      <c r="B4163" s="185"/>
      <c r="C4163" s="185"/>
      <c r="D4163" s="20"/>
      <c r="E4163" s="20"/>
    </row>
    <row r="4164">
      <c r="A4164" s="184"/>
      <c r="B4164" s="185"/>
      <c r="C4164" s="185"/>
      <c r="D4164" s="20"/>
      <c r="E4164" s="20"/>
    </row>
    <row r="4165">
      <c r="A4165" s="184"/>
      <c r="B4165" s="185"/>
      <c r="C4165" s="185"/>
      <c r="D4165" s="20"/>
      <c r="E4165" s="20"/>
    </row>
    <row r="4166">
      <c r="A4166" s="184"/>
      <c r="B4166" s="185"/>
      <c r="C4166" s="185"/>
      <c r="D4166" s="20"/>
      <c r="E4166" s="20"/>
    </row>
    <row r="4167">
      <c r="A4167" s="184"/>
      <c r="B4167" s="185"/>
      <c r="C4167" s="185"/>
      <c r="D4167" s="20"/>
      <c r="E4167" s="20"/>
    </row>
    <row r="4168">
      <c r="A4168" s="184"/>
      <c r="B4168" s="185"/>
      <c r="C4168" s="185"/>
      <c r="D4168" s="20"/>
      <c r="E4168" s="20"/>
    </row>
    <row r="4169">
      <c r="A4169" s="184"/>
      <c r="B4169" s="185"/>
      <c r="C4169" s="185"/>
      <c r="D4169" s="20"/>
      <c r="E4169" s="20"/>
    </row>
    <row r="4170">
      <c r="A4170" s="184"/>
      <c r="B4170" s="185"/>
      <c r="C4170" s="185"/>
      <c r="D4170" s="20"/>
      <c r="E4170" s="20"/>
    </row>
    <row r="4171">
      <c r="A4171" s="184"/>
      <c r="B4171" s="185"/>
      <c r="C4171" s="185"/>
      <c r="D4171" s="20"/>
      <c r="E4171" s="20"/>
    </row>
    <row r="4172">
      <c r="A4172" s="184"/>
      <c r="B4172" s="185"/>
      <c r="C4172" s="185"/>
      <c r="D4172" s="20"/>
      <c r="E4172" s="20"/>
    </row>
    <row r="4173">
      <c r="A4173" s="184"/>
      <c r="B4173" s="185"/>
      <c r="C4173" s="185"/>
      <c r="D4173" s="20"/>
      <c r="E4173" s="20"/>
    </row>
    <row r="4174">
      <c r="A4174" s="184"/>
      <c r="B4174" s="185"/>
      <c r="C4174" s="185"/>
      <c r="D4174" s="20"/>
      <c r="E4174" s="20"/>
    </row>
    <row r="4175">
      <c r="A4175" s="184"/>
      <c r="B4175" s="185"/>
      <c r="C4175" s="185"/>
      <c r="D4175" s="20"/>
      <c r="E4175" s="20"/>
    </row>
    <row r="4176">
      <c r="A4176" s="184"/>
      <c r="B4176" s="185"/>
      <c r="C4176" s="185"/>
      <c r="D4176" s="20"/>
      <c r="E4176" s="20"/>
    </row>
    <row r="4177">
      <c r="A4177" s="184"/>
      <c r="B4177" s="185"/>
      <c r="C4177" s="185"/>
      <c r="D4177" s="20"/>
      <c r="E4177" s="20"/>
    </row>
    <row r="4178">
      <c r="A4178" s="184"/>
      <c r="B4178" s="185"/>
      <c r="C4178" s="185"/>
      <c r="D4178" s="20"/>
      <c r="E4178" s="20"/>
    </row>
    <row r="4179">
      <c r="A4179" s="184"/>
      <c r="B4179" s="185"/>
      <c r="C4179" s="185"/>
      <c r="D4179" s="20"/>
      <c r="E4179" s="20"/>
    </row>
    <row r="4180">
      <c r="A4180" s="184"/>
      <c r="B4180" s="185"/>
      <c r="C4180" s="185"/>
      <c r="D4180" s="20"/>
      <c r="E4180" s="20"/>
    </row>
    <row r="4181">
      <c r="A4181" s="184"/>
      <c r="B4181" s="185"/>
      <c r="C4181" s="185"/>
      <c r="D4181" s="20"/>
      <c r="E4181" s="20"/>
    </row>
    <row r="4182">
      <c r="A4182" s="184"/>
      <c r="B4182" s="185"/>
      <c r="C4182" s="185"/>
      <c r="D4182" s="20"/>
      <c r="E4182" s="20"/>
    </row>
    <row r="4183">
      <c r="A4183" s="184"/>
      <c r="B4183" s="185"/>
      <c r="C4183" s="185"/>
      <c r="D4183" s="20"/>
      <c r="E4183" s="20"/>
    </row>
    <row r="4184">
      <c r="A4184" s="184"/>
      <c r="B4184" s="185"/>
      <c r="C4184" s="185"/>
      <c r="D4184" s="20"/>
      <c r="E4184" s="20"/>
    </row>
    <row r="4185">
      <c r="A4185" s="184"/>
      <c r="B4185" s="185"/>
      <c r="C4185" s="185"/>
      <c r="D4185" s="20"/>
      <c r="E4185" s="20"/>
    </row>
    <row r="4186">
      <c r="A4186" s="184"/>
      <c r="B4186" s="185"/>
      <c r="C4186" s="185"/>
      <c r="D4186" s="20"/>
      <c r="E4186" s="20"/>
    </row>
    <row r="4187">
      <c r="A4187" s="184"/>
      <c r="B4187" s="185"/>
      <c r="C4187" s="185"/>
      <c r="D4187" s="20"/>
      <c r="E4187" s="20"/>
    </row>
    <row r="4188">
      <c r="A4188" s="184"/>
      <c r="B4188" s="185"/>
      <c r="C4188" s="185"/>
      <c r="D4188" s="20"/>
      <c r="E4188" s="20"/>
    </row>
    <row r="4189">
      <c r="A4189" s="184"/>
      <c r="B4189" s="185"/>
      <c r="C4189" s="185"/>
      <c r="D4189" s="20"/>
      <c r="E4189" s="20"/>
    </row>
    <row r="4190">
      <c r="A4190" s="184"/>
      <c r="B4190" s="185"/>
      <c r="C4190" s="185"/>
      <c r="D4190" s="20"/>
      <c r="E4190" s="20"/>
    </row>
    <row r="4191">
      <c r="A4191" s="184"/>
      <c r="B4191" s="185"/>
      <c r="C4191" s="185"/>
      <c r="D4191" s="20"/>
      <c r="E4191" s="20"/>
    </row>
    <row r="4192">
      <c r="A4192" s="184"/>
      <c r="B4192" s="185"/>
      <c r="C4192" s="185"/>
      <c r="D4192" s="20"/>
      <c r="E4192" s="20"/>
    </row>
    <row r="4193">
      <c r="A4193" s="184"/>
      <c r="B4193" s="185"/>
      <c r="C4193" s="185"/>
      <c r="D4193" s="20"/>
      <c r="E4193" s="20"/>
    </row>
    <row r="4194">
      <c r="A4194" s="184"/>
      <c r="B4194" s="185"/>
      <c r="C4194" s="185"/>
      <c r="D4194" s="20"/>
      <c r="E4194" s="20"/>
    </row>
    <row r="4195">
      <c r="A4195" s="184"/>
      <c r="B4195" s="185"/>
      <c r="C4195" s="185"/>
      <c r="D4195" s="20"/>
      <c r="E4195" s="20"/>
    </row>
    <row r="4196">
      <c r="A4196" s="184"/>
      <c r="B4196" s="185"/>
      <c r="C4196" s="185"/>
      <c r="D4196" s="20"/>
      <c r="E4196" s="20"/>
    </row>
    <row r="4197">
      <c r="A4197" s="184"/>
      <c r="B4197" s="185"/>
      <c r="C4197" s="185"/>
      <c r="D4197" s="20"/>
      <c r="E4197" s="20"/>
    </row>
    <row r="4198">
      <c r="A4198" s="184"/>
      <c r="B4198" s="185"/>
      <c r="C4198" s="185"/>
      <c r="D4198" s="20"/>
      <c r="E4198" s="20"/>
    </row>
    <row r="4199">
      <c r="A4199" s="184"/>
      <c r="B4199" s="185"/>
      <c r="C4199" s="185"/>
      <c r="D4199" s="20"/>
      <c r="E4199" s="20"/>
    </row>
    <row r="4200">
      <c r="A4200" s="184"/>
      <c r="B4200" s="185"/>
      <c r="C4200" s="185"/>
      <c r="D4200" s="20"/>
      <c r="E4200" s="20"/>
    </row>
    <row r="4201">
      <c r="A4201" s="184"/>
      <c r="B4201" s="185"/>
      <c r="C4201" s="185"/>
      <c r="D4201" s="20"/>
      <c r="E4201" s="20"/>
    </row>
    <row r="4202">
      <c r="A4202" s="184"/>
      <c r="B4202" s="185"/>
      <c r="C4202" s="185"/>
      <c r="D4202" s="20"/>
      <c r="E4202" s="20"/>
    </row>
    <row r="4203">
      <c r="A4203" s="184"/>
      <c r="B4203" s="185"/>
      <c r="C4203" s="185"/>
      <c r="D4203" s="20"/>
      <c r="E4203" s="20"/>
    </row>
    <row r="4204">
      <c r="A4204" s="184"/>
      <c r="B4204" s="185"/>
      <c r="C4204" s="185"/>
      <c r="D4204" s="20"/>
      <c r="E4204" s="20"/>
    </row>
    <row r="4205">
      <c r="A4205" s="184"/>
      <c r="B4205" s="185"/>
      <c r="C4205" s="185"/>
      <c r="D4205" s="20"/>
      <c r="E4205" s="20"/>
    </row>
    <row r="4206">
      <c r="A4206" s="184"/>
      <c r="B4206" s="185"/>
      <c r="C4206" s="185"/>
      <c r="D4206" s="20"/>
      <c r="E4206" s="20"/>
    </row>
    <row r="4207">
      <c r="A4207" s="184"/>
      <c r="B4207" s="185"/>
      <c r="C4207" s="185"/>
      <c r="D4207" s="20"/>
      <c r="E4207" s="20"/>
    </row>
    <row r="4208">
      <c r="A4208" s="184"/>
      <c r="B4208" s="185"/>
      <c r="C4208" s="185"/>
      <c r="D4208" s="20"/>
      <c r="E4208" s="20"/>
    </row>
    <row r="4209">
      <c r="A4209" s="184"/>
      <c r="B4209" s="185"/>
      <c r="C4209" s="185"/>
      <c r="D4209" s="20"/>
      <c r="E4209" s="20"/>
    </row>
    <row r="4210">
      <c r="A4210" s="184"/>
      <c r="B4210" s="185"/>
      <c r="C4210" s="185"/>
      <c r="D4210" s="20"/>
      <c r="E4210" s="20"/>
    </row>
    <row r="4211">
      <c r="A4211" s="184"/>
      <c r="B4211" s="185"/>
      <c r="C4211" s="185"/>
      <c r="D4211" s="20"/>
      <c r="E4211" s="20"/>
    </row>
    <row r="4212">
      <c r="A4212" s="184"/>
      <c r="B4212" s="185"/>
      <c r="C4212" s="185"/>
      <c r="D4212" s="20"/>
      <c r="E4212" s="20"/>
    </row>
    <row r="4213">
      <c r="A4213" s="184"/>
      <c r="B4213" s="185"/>
      <c r="C4213" s="185"/>
      <c r="D4213" s="20"/>
      <c r="E4213" s="20"/>
    </row>
    <row r="4214">
      <c r="A4214" s="184"/>
      <c r="B4214" s="185"/>
      <c r="C4214" s="185"/>
      <c r="D4214" s="20"/>
      <c r="E4214" s="20"/>
    </row>
    <row r="4215">
      <c r="A4215" s="184"/>
      <c r="B4215" s="185"/>
      <c r="C4215" s="185"/>
      <c r="D4215" s="20"/>
      <c r="E4215" s="20"/>
    </row>
    <row r="4216">
      <c r="A4216" s="184"/>
      <c r="B4216" s="185"/>
      <c r="C4216" s="185"/>
      <c r="D4216" s="20"/>
      <c r="E4216" s="20"/>
    </row>
    <row r="4217">
      <c r="A4217" s="184"/>
      <c r="B4217" s="185"/>
      <c r="C4217" s="185"/>
      <c r="D4217" s="20"/>
      <c r="E4217" s="20"/>
    </row>
    <row r="4218">
      <c r="A4218" s="184"/>
      <c r="B4218" s="185"/>
      <c r="C4218" s="185"/>
      <c r="D4218" s="20"/>
      <c r="E4218" s="20"/>
    </row>
    <row r="4219">
      <c r="A4219" s="184"/>
      <c r="B4219" s="185"/>
      <c r="C4219" s="185"/>
      <c r="D4219" s="20"/>
      <c r="E4219" s="20"/>
    </row>
    <row r="4220">
      <c r="A4220" s="184"/>
      <c r="B4220" s="185"/>
      <c r="C4220" s="185"/>
      <c r="D4220" s="20"/>
      <c r="E4220" s="20"/>
    </row>
    <row r="4221">
      <c r="A4221" s="184"/>
      <c r="B4221" s="185"/>
      <c r="C4221" s="185"/>
      <c r="D4221" s="20"/>
      <c r="E4221" s="20"/>
    </row>
    <row r="4222">
      <c r="A4222" s="184"/>
      <c r="B4222" s="185"/>
      <c r="C4222" s="185"/>
      <c r="D4222" s="20"/>
      <c r="E4222" s="20"/>
    </row>
    <row r="4223">
      <c r="A4223" s="184"/>
      <c r="B4223" s="185"/>
      <c r="C4223" s="185"/>
      <c r="D4223" s="20"/>
      <c r="E4223" s="20"/>
    </row>
    <row r="4224">
      <c r="A4224" s="184"/>
      <c r="B4224" s="185"/>
      <c r="C4224" s="185"/>
      <c r="D4224" s="20"/>
      <c r="E4224" s="20"/>
    </row>
    <row r="4225">
      <c r="A4225" s="184"/>
      <c r="B4225" s="185"/>
      <c r="C4225" s="185"/>
      <c r="D4225" s="20"/>
      <c r="E4225" s="20"/>
    </row>
    <row r="4226">
      <c r="A4226" s="184"/>
      <c r="B4226" s="185"/>
      <c r="C4226" s="185"/>
      <c r="D4226" s="20"/>
      <c r="E4226" s="20"/>
    </row>
    <row r="4227">
      <c r="A4227" s="184"/>
      <c r="B4227" s="185"/>
      <c r="C4227" s="185"/>
      <c r="D4227" s="20"/>
      <c r="E4227" s="20"/>
    </row>
    <row r="4228">
      <c r="A4228" s="184"/>
      <c r="B4228" s="185"/>
      <c r="C4228" s="185"/>
      <c r="D4228" s="20"/>
      <c r="E4228" s="20"/>
    </row>
    <row r="4229">
      <c r="A4229" s="184"/>
      <c r="B4229" s="185"/>
      <c r="C4229" s="185"/>
      <c r="D4229" s="20"/>
      <c r="E4229" s="20"/>
    </row>
    <row r="4230">
      <c r="A4230" s="184"/>
      <c r="B4230" s="185"/>
      <c r="C4230" s="185"/>
      <c r="D4230" s="20"/>
      <c r="E4230" s="20"/>
    </row>
    <row r="4231">
      <c r="A4231" s="184"/>
      <c r="B4231" s="185"/>
      <c r="C4231" s="185"/>
      <c r="D4231" s="20"/>
      <c r="E4231" s="20"/>
    </row>
    <row r="4232">
      <c r="A4232" s="184"/>
      <c r="B4232" s="185"/>
      <c r="C4232" s="185"/>
      <c r="D4232" s="20"/>
      <c r="E4232" s="20"/>
    </row>
    <row r="4233">
      <c r="A4233" s="184"/>
      <c r="B4233" s="185"/>
      <c r="C4233" s="185"/>
      <c r="D4233" s="20"/>
      <c r="E4233" s="20"/>
    </row>
    <row r="4234">
      <c r="A4234" s="184"/>
      <c r="B4234" s="185"/>
      <c r="C4234" s="185"/>
      <c r="D4234" s="20"/>
      <c r="E4234" s="20"/>
    </row>
    <row r="4235">
      <c r="A4235" s="184"/>
      <c r="B4235" s="185"/>
      <c r="C4235" s="185"/>
      <c r="D4235" s="20"/>
      <c r="E4235" s="20"/>
    </row>
    <row r="4236">
      <c r="A4236" s="184"/>
      <c r="B4236" s="185"/>
      <c r="C4236" s="185"/>
      <c r="D4236" s="20"/>
      <c r="E4236" s="20"/>
    </row>
    <row r="4237">
      <c r="A4237" s="184"/>
      <c r="B4237" s="185"/>
      <c r="C4237" s="185"/>
      <c r="D4237" s="20"/>
      <c r="E4237" s="20"/>
    </row>
    <row r="4238">
      <c r="A4238" s="184"/>
      <c r="B4238" s="185"/>
      <c r="C4238" s="185"/>
      <c r="D4238" s="20"/>
      <c r="E4238" s="20"/>
    </row>
    <row r="4239">
      <c r="A4239" s="184"/>
      <c r="B4239" s="185"/>
      <c r="C4239" s="185"/>
      <c r="D4239" s="20"/>
      <c r="E4239" s="20"/>
    </row>
    <row r="4240">
      <c r="A4240" s="184"/>
      <c r="B4240" s="185"/>
      <c r="C4240" s="185"/>
      <c r="D4240" s="20"/>
      <c r="E4240" s="20"/>
    </row>
    <row r="4241">
      <c r="A4241" s="184"/>
      <c r="B4241" s="185"/>
      <c r="C4241" s="185"/>
      <c r="D4241" s="20"/>
      <c r="E4241" s="20"/>
    </row>
    <row r="4242">
      <c r="A4242" s="184"/>
      <c r="B4242" s="185"/>
      <c r="C4242" s="185"/>
      <c r="D4242" s="20"/>
      <c r="E4242" s="20"/>
    </row>
    <row r="4243">
      <c r="A4243" s="184"/>
      <c r="B4243" s="185"/>
      <c r="C4243" s="185"/>
      <c r="D4243" s="20"/>
      <c r="E4243" s="20"/>
    </row>
    <row r="4244">
      <c r="A4244" s="184"/>
      <c r="B4244" s="185"/>
      <c r="C4244" s="185"/>
      <c r="D4244" s="20"/>
      <c r="E4244" s="20"/>
    </row>
    <row r="4245">
      <c r="A4245" s="184"/>
      <c r="B4245" s="185"/>
      <c r="C4245" s="185"/>
      <c r="D4245" s="20"/>
      <c r="E4245" s="20"/>
    </row>
    <row r="4246">
      <c r="A4246" s="184"/>
      <c r="B4246" s="185"/>
      <c r="C4246" s="185"/>
      <c r="D4246" s="20"/>
      <c r="E4246" s="20"/>
    </row>
    <row r="4247">
      <c r="A4247" s="184"/>
      <c r="B4247" s="185"/>
      <c r="C4247" s="185"/>
      <c r="D4247" s="20"/>
      <c r="E4247" s="20"/>
    </row>
    <row r="4248">
      <c r="A4248" s="184"/>
      <c r="B4248" s="185"/>
      <c r="C4248" s="185"/>
      <c r="D4248" s="20"/>
      <c r="E4248" s="20"/>
    </row>
    <row r="4249">
      <c r="A4249" s="184"/>
      <c r="B4249" s="185"/>
      <c r="C4249" s="185"/>
      <c r="D4249" s="20"/>
      <c r="E4249" s="20"/>
    </row>
    <row r="4250">
      <c r="A4250" s="184"/>
      <c r="B4250" s="185"/>
      <c r="C4250" s="185"/>
      <c r="D4250" s="20"/>
      <c r="E4250" s="20"/>
    </row>
    <row r="4251">
      <c r="A4251" s="184"/>
      <c r="B4251" s="185"/>
      <c r="C4251" s="185"/>
      <c r="D4251" s="20"/>
      <c r="E4251" s="20"/>
    </row>
    <row r="4252">
      <c r="A4252" s="184"/>
      <c r="B4252" s="185"/>
      <c r="C4252" s="185"/>
      <c r="D4252" s="20"/>
      <c r="E4252" s="20"/>
    </row>
    <row r="4253">
      <c r="A4253" s="184"/>
      <c r="B4253" s="185"/>
      <c r="C4253" s="185"/>
      <c r="D4253" s="20"/>
      <c r="E4253" s="20"/>
    </row>
    <row r="4254">
      <c r="A4254" s="184"/>
      <c r="B4254" s="185"/>
      <c r="C4254" s="185"/>
      <c r="D4254" s="20"/>
      <c r="E4254" s="20"/>
    </row>
    <row r="4255">
      <c r="A4255" s="184"/>
      <c r="B4255" s="185"/>
      <c r="C4255" s="185"/>
      <c r="D4255" s="20"/>
      <c r="E4255" s="20"/>
    </row>
    <row r="4256">
      <c r="A4256" s="184"/>
      <c r="B4256" s="185"/>
      <c r="C4256" s="185"/>
      <c r="D4256" s="20"/>
      <c r="E4256" s="20"/>
    </row>
    <row r="4257">
      <c r="A4257" s="184"/>
      <c r="B4257" s="185"/>
      <c r="C4257" s="185"/>
      <c r="D4257" s="20"/>
      <c r="E4257" s="20"/>
    </row>
    <row r="4258">
      <c r="A4258" s="184"/>
      <c r="B4258" s="185"/>
      <c r="C4258" s="185"/>
      <c r="D4258" s="20"/>
      <c r="E4258" s="20"/>
    </row>
    <row r="4259">
      <c r="A4259" s="184"/>
      <c r="B4259" s="185"/>
      <c r="C4259" s="185"/>
      <c r="D4259" s="20"/>
      <c r="E4259" s="20"/>
    </row>
    <row r="4260">
      <c r="A4260" s="184"/>
      <c r="B4260" s="185"/>
      <c r="C4260" s="185"/>
      <c r="D4260" s="20"/>
      <c r="E4260" s="20"/>
    </row>
    <row r="4261">
      <c r="A4261" s="184"/>
      <c r="B4261" s="185"/>
      <c r="C4261" s="185"/>
      <c r="D4261" s="20"/>
      <c r="E4261" s="20"/>
    </row>
    <row r="4262">
      <c r="A4262" s="184"/>
      <c r="B4262" s="185"/>
      <c r="C4262" s="185"/>
      <c r="D4262" s="20"/>
      <c r="E4262" s="20"/>
    </row>
    <row r="4263">
      <c r="A4263" s="184"/>
      <c r="B4263" s="185"/>
      <c r="C4263" s="185"/>
      <c r="D4263" s="20"/>
      <c r="E4263" s="20"/>
    </row>
    <row r="4264">
      <c r="A4264" s="184"/>
      <c r="B4264" s="185"/>
      <c r="C4264" s="185"/>
      <c r="D4264" s="20"/>
      <c r="E4264" s="20"/>
    </row>
    <row r="4265">
      <c r="A4265" s="184"/>
      <c r="B4265" s="185"/>
      <c r="C4265" s="185"/>
      <c r="D4265" s="20"/>
      <c r="E4265" s="20"/>
    </row>
    <row r="4266">
      <c r="A4266" s="184"/>
      <c r="B4266" s="185"/>
      <c r="C4266" s="185"/>
      <c r="D4266" s="20"/>
      <c r="E4266" s="20"/>
    </row>
    <row r="4267">
      <c r="A4267" s="184"/>
      <c r="B4267" s="185"/>
      <c r="C4267" s="185"/>
      <c r="D4267" s="20"/>
      <c r="E4267" s="20"/>
    </row>
    <row r="4268">
      <c r="A4268" s="184"/>
      <c r="B4268" s="185"/>
      <c r="C4268" s="185"/>
      <c r="D4268" s="20"/>
      <c r="E4268" s="20"/>
    </row>
    <row r="4269">
      <c r="A4269" s="184"/>
      <c r="B4269" s="185"/>
      <c r="C4269" s="185"/>
      <c r="D4269" s="20"/>
      <c r="E4269" s="20"/>
    </row>
    <row r="4270">
      <c r="A4270" s="184"/>
      <c r="B4270" s="185"/>
      <c r="C4270" s="185"/>
      <c r="D4270" s="20"/>
      <c r="E4270" s="20"/>
    </row>
    <row r="4271">
      <c r="A4271" s="184"/>
      <c r="B4271" s="185"/>
      <c r="C4271" s="185"/>
      <c r="D4271" s="20"/>
      <c r="E4271" s="20"/>
    </row>
    <row r="4272">
      <c r="A4272" s="184"/>
      <c r="B4272" s="185"/>
      <c r="C4272" s="185"/>
      <c r="D4272" s="20"/>
      <c r="E4272" s="20"/>
    </row>
    <row r="4273">
      <c r="A4273" s="184"/>
      <c r="B4273" s="185"/>
      <c r="C4273" s="185"/>
      <c r="D4273" s="20"/>
      <c r="E4273" s="20"/>
    </row>
    <row r="4274">
      <c r="A4274" s="184"/>
      <c r="B4274" s="185"/>
      <c r="C4274" s="185"/>
      <c r="D4274" s="20"/>
      <c r="E4274" s="20"/>
    </row>
    <row r="4275">
      <c r="A4275" s="184"/>
      <c r="B4275" s="185"/>
      <c r="C4275" s="185"/>
      <c r="D4275" s="20"/>
      <c r="E4275" s="20"/>
    </row>
    <row r="4276">
      <c r="A4276" s="184"/>
      <c r="B4276" s="185"/>
      <c r="C4276" s="185"/>
      <c r="D4276" s="20"/>
      <c r="E4276" s="20"/>
    </row>
    <row r="4277">
      <c r="A4277" s="184"/>
      <c r="B4277" s="185"/>
      <c r="C4277" s="185"/>
      <c r="D4277" s="20"/>
      <c r="E4277" s="20"/>
    </row>
    <row r="4278">
      <c r="A4278" s="184"/>
      <c r="B4278" s="185"/>
      <c r="C4278" s="185"/>
      <c r="D4278" s="20"/>
      <c r="E4278" s="20"/>
    </row>
    <row r="4279">
      <c r="A4279" s="184"/>
      <c r="B4279" s="185"/>
      <c r="C4279" s="185"/>
      <c r="D4279" s="20"/>
      <c r="E4279" s="20"/>
    </row>
    <row r="4280">
      <c r="A4280" s="184"/>
      <c r="B4280" s="185"/>
      <c r="C4280" s="185"/>
      <c r="D4280" s="20"/>
      <c r="E4280" s="20"/>
    </row>
    <row r="4281">
      <c r="A4281" s="184"/>
      <c r="B4281" s="185"/>
      <c r="C4281" s="185"/>
      <c r="D4281" s="20"/>
      <c r="E4281" s="20"/>
    </row>
    <row r="4282">
      <c r="A4282" s="184"/>
      <c r="B4282" s="185"/>
      <c r="C4282" s="185"/>
      <c r="D4282" s="20"/>
      <c r="E4282" s="20"/>
    </row>
    <row r="4283">
      <c r="A4283" s="184"/>
      <c r="B4283" s="185"/>
      <c r="C4283" s="185"/>
      <c r="D4283" s="20"/>
      <c r="E4283" s="20"/>
    </row>
    <row r="4284">
      <c r="A4284" s="184"/>
      <c r="B4284" s="185"/>
      <c r="C4284" s="185"/>
      <c r="D4284" s="20"/>
      <c r="E4284" s="20"/>
    </row>
    <row r="4285">
      <c r="A4285" s="184"/>
      <c r="B4285" s="185"/>
      <c r="C4285" s="185"/>
      <c r="D4285" s="20"/>
      <c r="E4285" s="20"/>
    </row>
    <row r="4286">
      <c r="A4286" s="184"/>
      <c r="B4286" s="185"/>
      <c r="C4286" s="185"/>
      <c r="D4286" s="20"/>
      <c r="E4286" s="20"/>
    </row>
    <row r="4287">
      <c r="A4287" s="184"/>
      <c r="B4287" s="185"/>
      <c r="C4287" s="185"/>
      <c r="D4287" s="20"/>
      <c r="E4287" s="20"/>
    </row>
    <row r="4288">
      <c r="A4288" s="184"/>
      <c r="B4288" s="185"/>
      <c r="C4288" s="185"/>
      <c r="D4288" s="20"/>
      <c r="E4288" s="20"/>
    </row>
    <row r="4289">
      <c r="A4289" s="184"/>
      <c r="B4289" s="185"/>
      <c r="C4289" s="185"/>
      <c r="D4289" s="20"/>
      <c r="E4289" s="20"/>
    </row>
    <row r="4290">
      <c r="A4290" s="184"/>
      <c r="B4290" s="185"/>
      <c r="C4290" s="185"/>
      <c r="D4290" s="20"/>
      <c r="E4290" s="20"/>
    </row>
    <row r="4291">
      <c r="A4291" s="184"/>
      <c r="B4291" s="185"/>
      <c r="C4291" s="185"/>
      <c r="D4291" s="20"/>
      <c r="E4291" s="20"/>
    </row>
    <row r="4292">
      <c r="A4292" s="184"/>
      <c r="B4292" s="185"/>
      <c r="C4292" s="185"/>
      <c r="D4292" s="20"/>
      <c r="E4292" s="20"/>
    </row>
    <row r="4293">
      <c r="A4293" s="184"/>
      <c r="B4293" s="185"/>
      <c r="C4293" s="185"/>
      <c r="D4293" s="20"/>
      <c r="E4293" s="20"/>
    </row>
    <row r="4294">
      <c r="A4294" s="184"/>
      <c r="B4294" s="185"/>
      <c r="C4294" s="185"/>
      <c r="D4294" s="20"/>
      <c r="E4294" s="20"/>
    </row>
    <row r="4295">
      <c r="A4295" s="184"/>
      <c r="B4295" s="185"/>
      <c r="C4295" s="185"/>
      <c r="D4295" s="20"/>
      <c r="E4295" s="20"/>
    </row>
    <row r="4296">
      <c r="A4296" s="184"/>
      <c r="B4296" s="185"/>
      <c r="C4296" s="185"/>
      <c r="D4296" s="20"/>
      <c r="E4296" s="20"/>
    </row>
    <row r="4297">
      <c r="A4297" s="184"/>
      <c r="B4297" s="185"/>
      <c r="C4297" s="185"/>
      <c r="D4297" s="20"/>
      <c r="E4297" s="20"/>
    </row>
    <row r="4298">
      <c r="A4298" s="184"/>
      <c r="B4298" s="185"/>
      <c r="C4298" s="185"/>
      <c r="D4298" s="20"/>
      <c r="E4298" s="20"/>
    </row>
    <row r="4299">
      <c r="A4299" s="184"/>
      <c r="B4299" s="185"/>
      <c r="C4299" s="185"/>
      <c r="D4299" s="20"/>
      <c r="E4299" s="20"/>
    </row>
    <row r="4300">
      <c r="A4300" s="184"/>
      <c r="B4300" s="185"/>
      <c r="C4300" s="185"/>
      <c r="D4300" s="20"/>
      <c r="E4300" s="20"/>
    </row>
    <row r="4301">
      <c r="A4301" s="184"/>
      <c r="B4301" s="185"/>
      <c r="C4301" s="185"/>
      <c r="D4301" s="20"/>
      <c r="E4301" s="20"/>
    </row>
    <row r="4302">
      <c r="A4302" s="184"/>
      <c r="B4302" s="185"/>
      <c r="C4302" s="185"/>
      <c r="D4302" s="20"/>
      <c r="E4302" s="20"/>
    </row>
    <row r="4303">
      <c r="A4303" s="184"/>
      <c r="B4303" s="185"/>
      <c r="C4303" s="185"/>
      <c r="D4303" s="20"/>
      <c r="E4303" s="20"/>
    </row>
    <row r="4304">
      <c r="A4304" s="184"/>
      <c r="B4304" s="185"/>
      <c r="C4304" s="185"/>
      <c r="D4304" s="20"/>
      <c r="E4304" s="20"/>
    </row>
    <row r="4305">
      <c r="A4305" s="184"/>
      <c r="B4305" s="185"/>
      <c r="C4305" s="185"/>
      <c r="D4305" s="20"/>
      <c r="E4305" s="20"/>
    </row>
    <row r="4306">
      <c r="A4306" s="184"/>
      <c r="B4306" s="185"/>
      <c r="C4306" s="185"/>
      <c r="D4306" s="20"/>
      <c r="E4306" s="20"/>
    </row>
    <row r="4307">
      <c r="A4307" s="184"/>
      <c r="B4307" s="185"/>
      <c r="C4307" s="185"/>
      <c r="D4307" s="20"/>
      <c r="E4307" s="20"/>
    </row>
    <row r="4308">
      <c r="A4308" s="184"/>
      <c r="B4308" s="185"/>
      <c r="C4308" s="185"/>
      <c r="D4308" s="20"/>
      <c r="E4308" s="20"/>
    </row>
    <row r="4309">
      <c r="A4309" s="184"/>
      <c r="B4309" s="185"/>
      <c r="C4309" s="185"/>
      <c r="D4309" s="20"/>
      <c r="E4309" s="20"/>
    </row>
    <row r="4310">
      <c r="A4310" s="184"/>
      <c r="B4310" s="185"/>
      <c r="C4310" s="185"/>
      <c r="D4310" s="20"/>
      <c r="E4310" s="20"/>
    </row>
    <row r="4311">
      <c r="A4311" s="184"/>
      <c r="B4311" s="185"/>
      <c r="C4311" s="185"/>
      <c r="D4311" s="20"/>
      <c r="E4311" s="20"/>
    </row>
    <row r="4312">
      <c r="A4312" s="184"/>
      <c r="B4312" s="185"/>
      <c r="C4312" s="185"/>
      <c r="D4312" s="20"/>
      <c r="E4312" s="20"/>
    </row>
    <row r="4313">
      <c r="A4313" s="184"/>
      <c r="B4313" s="185"/>
      <c r="C4313" s="185"/>
      <c r="D4313" s="20"/>
      <c r="E4313" s="20"/>
    </row>
    <row r="4314">
      <c r="A4314" s="184"/>
      <c r="B4314" s="185"/>
      <c r="C4314" s="185"/>
      <c r="D4314" s="20"/>
      <c r="E4314" s="20"/>
    </row>
    <row r="4315">
      <c r="A4315" s="184"/>
      <c r="B4315" s="185"/>
      <c r="C4315" s="185"/>
      <c r="D4315" s="20"/>
      <c r="E4315" s="20"/>
    </row>
    <row r="4316">
      <c r="A4316" s="184"/>
      <c r="B4316" s="185"/>
      <c r="C4316" s="185"/>
      <c r="D4316" s="20"/>
      <c r="E4316" s="20"/>
    </row>
    <row r="4317">
      <c r="A4317" s="184"/>
      <c r="B4317" s="185"/>
      <c r="C4317" s="185"/>
      <c r="D4317" s="20"/>
      <c r="E4317" s="20"/>
    </row>
    <row r="4318">
      <c r="A4318" s="184"/>
      <c r="B4318" s="185"/>
      <c r="C4318" s="185"/>
      <c r="D4318" s="20"/>
      <c r="E4318" s="20"/>
    </row>
    <row r="4319">
      <c r="A4319" s="184"/>
      <c r="B4319" s="185"/>
      <c r="C4319" s="185"/>
      <c r="D4319" s="20"/>
      <c r="E4319" s="20"/>
    </row>
    <row r="4320">
      <c r="A4320" s="184"/>
      <c r="B4320" s="185"/>
      <c r="C4320" s="185"/>
      <c r="D4320" s="20"/>
      <c r="E4320" s="20"/>
    </row>
    <row r="4321">
      <c r="A4321" s="184"/>
      <c r="B4321" s="185"/>
      <c r="C4321" s="185"/>
      <c r="D4321" s="20"/>
      <c r="E4321" s="20"/>
    </row>
    <row r="4322">
      <c r="A4322" s="184"/>
      <c r="B4322" s="185"/>
      <c r="C4322" s="185"/>
      <c r="D4322" s="20"/>
      <c r="E4322" s="20"/>
    </row>
    <row r="4323">
      <c r="A4323" s="184"/>
      <c r="B4323" s="185"/>
      <c r="C4323" s="185"/>
      <c r="D4323" s="20"/>
      <c r="E4323" s="20"/>
    </row>
    <row r="4324">
      <c r="A4324" s="184"/>
      <c r="B4324" s="185"/>
      <c r="C4324" s="185"/>
      <c r="D4324" s="20"/>
      <c r="E4324" s="20"/>
    </row>
    <row r="4325">
      <c r="A4325" s="184"/>
      <c r="B4325" s="185"/>
      <c r="C4325" s="185"/>
      <c r="D4325" s="20"/>
      <c r="E4325" s="20"/>
    </row>
    <row r="4326">
      <c r="A4326" s="184"/>
      <c r="B4326" s="185"/>
      <c r="C4326" s="185"/>
      <c r="D4326" s="20"/>
      <c r="E4326" s="20"/>
    </row>
    <row r="4327">
      <c r="A4327" s="184"/>
      <c r="B4327" s="185"/>
      <c r="C4327" s="185"/>
      <c r="D4327" s="20"/>
      <c r="E4327" s="20"/>
    </row>
    <row r="4328">
      <c r="A4328" s="184"/>
      <c r="B4328" s="185"/>
      <c r="C4328" s="185"/>
      <c r="D4328" s="20"/>
      <c r="E4328" s="20"/>
    </row>
    <row r="4329">
      <c r="A4329" s="184"/>
      <c r="B4329" s="185"/>
      <c r="C4329" s="185"/>
      <c r="D4329" s="20"/>
      <c r="E4329" s="20"/>
    </row>
    <row r="4330">
      <c r="A4330" s="184"/>
      <c r="B4330" s="185"/>
      <c r="C4330" s="185"/>
      <c r="D4330" s="20"/>
      <c r="E4330" s="20"/>
    </row>
    <row r="4331">
      <c r="A4331" s="184"/>
      <c r="B4331" s="185"/>
      <c r="C4331" s="185"/>
      <c r="D4331" s="20"/>
      <c r="E4331" s="20"/>
    </row>
    <row r="4332">
      <c r="A4332" s="184"/>
      <c r="B4332" s="185"/>
      <c r="C4332" s="185"/>
      <c r="D4332" s="20"/>
      <c r="E4332" s="20"/>
    </row>
    <row r="4333">
      <c r="A4333" s="184"/>
      <c r="B4333" s="185"/>
      <c r="C4333" s="185"/>
      <c r="D4333" s="20"/>
      <c r="E4333" s="20"/>
    </row>
    <row r="4334">
      <c r="A4334" s="184"/>
      <c r="B4334" s="185"/>
      <c r="C4334" s="185"/>
      <c r="D4334" s="20"/>
      <c r="E4334" s="20"/>
    </row>
    <row r="4335">
      <c r="A4335" s="184"/>
      <c r="B4335" s="185"/>
      <c r="C4335" s="185"/>
      <c r="D4335" s="20"/>
      <c r="E4335" s="20"/>
    </row>
    <row r="4336">
      <c r="A4336" s="184"/>
      <c r="B4336" s="185"/>
      <c r="C4336" s="185"/>
      <c r="D4336" s="20"/>
      <c r="E4336" s="20"/>
    </row>
    <row r="4337">
      <c r="A4337" s="184"/>
      <c r="B4337" s="185"/>
      <c r="C4337" s="185"/>
      <c r="D4337" s="20"/>
      <c r="E4337" s="20"/>
    </row>
    <row r="4338">
      <c r="A4338" s="184"/>
      <c r="B4338" s="185"/>
      <c r="C4338" s="185"/>
      <c r="D4338" s="20"/>
      <c r="E4338" s="20"/>
    </row>
    <row r="4339">
      <c r="A4339" s="184"/>
      <c r="B4339" s="185"/>
      <c r="C4339" s="185"/>
      <c r="D4339" s="20"/>
      <c r="E4339" s="20"/>
    </row>
    <row r="4340">
      <c r="A4340" s="184"/>
      <c r="B4340" s="185"/>
      <c r="C4340" s="185"/>
      <c r="D4340" s="20"/>
      <c r="E4340" s="20"/>
    </row>
    <row r="4341">
      <c r="A4341" s="184"/>
      <c r="B4341" s="185"/>
      <c r="C4341" s="185"/>
      <c r="D4341" s="20"/>
      <c r="E4341" s="20"/>
    </row>
    <row r="4342">
      <c r="A4342" s="184"/>
      <c r="B4342" s="185"/>
      <c r="C4342" s="185"/>
      <c r="D4342" s="20"/>
      <c r="E4342" s="20"/>
    </row>
    <row r="4343">
      <c r="A4343" s="184"/>
      <c r="B4343" s="185"/>
      <c r="C4343" s="185"/>
      <c r="D4343" s="20"/>
      <c r="E4343" s="20"/>
    </row>
    <row r="4344">
      <c r="A4344" s="184"/>
      <c r="B4344" s="185"/>
      <c r="C4344" s="185"/>
      <c r="D4344" s="20"/>
      <c r="E4344" s="20"/>
    </row>
    <row r="4345">
      <c r="A4345" s="184"/>
      <c r="B4345" s="185"/>
      <c r="C4345" s="185"/>
      <c r="D4345" s="20"/>
      <c r="E4345" s="20"/>
    </row>
    <row r="4346">
      <c r="A4346" s="184"/>
      <c r="B4346" s="185"/>
      <c r="C4346" s="185"/>
      <c r="D4346" s="20"/>
      <c r="E4346" s="20"/>
    </row>
    <row r="4347">
      <c r="A4347" s="184"/>
      <c r="B4347" s="185"/>
      <c r="C4347" s="185"/>
      <c r="D4347" s="20"/>
      <c r="E4347" s="20"/>
    </row>
    <row r="4348">
      <c r="A4348" s="184"/>
      <c r="B4348" s="185"/>
      <c r="C4348" s="185"/>
      <c r="D4348" s="20"/>
      <c r="E4348" s="20"/>
    </row>
    <row r="4349">
      <c r="A4349" s="184"/>
      <c r="B4349" s="185"/>
      <c r="C4349" s="185"/>
      <c r="D4349" s="20"/>
      <c r="E4349" s="20"/>
    </row>
    <row r="4350">
      <c r="A4350" s="184"/>
      <c r="B4350" s="185"/>
      <c r="C4350" s="185"/>
      <c r="D4350" s="20"/>
      <c r="E4350" s="20"/>
    </row>
    <row r="4351">
      <c r="A4351" s="184"/>
      <c r="B4351" s="185"/>
      <c r="C4351" s="185"/>
      <c r="D4351" s="20"/>
      <c r="E4351" s="20"/>
    </row>
    <row r="4352">
      <c r="A4352" s="184"/>
      <c r="B4352" s="185"/>
      <c r="C4352" s="185"/>
      <c r="D4352" s="20"/>
      <c r="E4352" s="20"/>
    </row>
    <row r="4353">
      <c r="A4353" s="184"/>
      <c r="B4353" s="185"/>
      <c r="C4353" s="185"/>
      <c r="D4353" s="20"/>
      <c r="E4353" s="20"/>
    </row>
    <row r="4354">
      <c r="A4354" s="184"/>
      <c r="B4354" s="185"/>
      <c r="C4354" s="185"/>
      <c r="D4354" s="20"/>
      <c r="E4354" s="20"/>
    </row>
    <row r="4355">
      <c r="A4355" s="184"/>
      <c r="B4355" s="185"/>
      <c r="C4355" s="185"/>
      <c r="D4355" s="20"/>
      <c r="E4355" s="20"/>
    </row>
    <row r="4356">
      <c r="A4356" s="184"/>
      <c r="B4356" s="185"/>
      <c r="C4356" s="185"/>
      <c r="D4356" s="20"/>
      <c r="E4356" s="20"/>
    </row>
    <row r="4357">
      <c r="A4357" s="184"/>
      <c r="B4357" s="185"/>
      <c r="C4357" s="185"/>
      <c r="D4357" s="20"/>
      <c r="E4357" s="20"/>
    </row>
    <row r="4358">
      <c r="A4358" s="184"/>
      <c r="B4358" s="185"/>
      <c r="C4358" s="185"/>
      <c r="D4358" s="20"/>
      <c r="E4358" s="20"/>
    </row>
    <row r="4359">
      <c r="A4359" s="184"/>
      <c r="B4359" s="185"/>
      <c r="C4359" s="185"/>
      <c r="D4359" s="20"/>
      <c r="E4359" s="20"/>
    </row>
    <row r="4360">
      <c r="A4360" s="184"/>
      <c r="B4360" s="185"/>
      <c r="C4360" s="185"/>
      <c r="D4360" s="20"/>
      <c r="E4360" s="20"/>
    </row>
    <row r="4361">
      <c r="A4361" s="184"/>
      <c r="B4361" s="185"/>
      <c r="C4361" s="185"/>
      <c r="D4361" s="20"/>
      <c r="E4361" s="20"/>
    </row>
    <row r="4362">
      <c r="A4362" s="184"/>
      <c r="B4362" s="185"/>
      <c r="C4362" s="185"/>
      <c r="D4362" s="20"/>
      <c r="E4362" s="20"/>
    </row>
    <row r="4363">
      <c r="A4363" s="184"/>
      <c r="B4363" s="185"/>
      <c r="C4363" s="185"/>
      <c r="D4363" s="20"/>
      <c r="E4363" s="20"/>
    </row>
    <row r="4364">
      <c r="A4364" s="184"/>
      <c r="B4364" s="185"/>
      <c r="C4364" s="185"/>
      <c r="D4364" s="20"/>
      <c r="E4364" s="20"/>
    </row>
    <row r="4365">
      <c r="A4365" s="184"/>
      <c r="B4365" s="185"/>
      <c r="C4365" s="185"/>
      <c r="D4365" s="20"/>
      <c r="E4365" s="20"/>
    </row>
    <row r="4366">
      <c r="A4366" s="184"/>
      <c r="B4366" s="185"/>
      <c r="C4366" s="185"/>
      <c r="D4366" s="20"/>
      <c r="E4366" s="20"/>
    </row>
    <row r="4367">
      <c r="A4367" s="184"/>
      <c r="B4367" s="185"/>
      <c r="C4367" s="185"/>
      <c r="D4367" s="20"/>
      <c r="E4367" s="20"/>
    </row>
    <row r="4368">
      <c r="A4368" s="184"/>
      <c r="B4368" s="185"/>
      <c r="C4368" s="185"/>
      <c r="D4368" s="20"/>
      <c r="E4368" s="20"/>
    </row>
    <row r="4369">
      <c r="A4369" s="184"/>
      <c r="B4369" s="185"/>
      <c r="C4369" s="185"/>
      <c r="D4369" s="20"/>
      <c r="E4369" s="20"/>
    </row>
    <row r="4370">
      <c r="A4370" s="184"/>
      <c r="B4370" s="185"/>
      <c r="C4370" s="185"/>
      <c r="D4370" s="20"/>
      <c r="E4370" s="20"/>
    </row>
    <row r="4371">
      <c r="A4371" s="184"/>
      <c r="B4371" s="185"/>
      <c r="C4371" s="185"/>
      <c r="D4371" s="20"/>
      <c r="E4371" s="20"/>
    </row>
    <row r="4372">
      <c r="A4372" s="184"/>
      <c r="B4372" s="185"/>
      <c r="C4372" s="185"/>
      <c r="D4372" s="20"/>
      <c r="E4372" s="20"/>
    </row>
    <row r="4373">
      <c r="A4373" s="184"/>
      <c r="B4373" s="185"/>
      <c r="C4373" s="185"/>
      <c r="D4373" s="20"/>
      <c r="E4373" s="20"/>
    </row>
    <row r="4374">
      <c r="A4374" s="184"/>
      <c r="B4374" s="185"/>
      <c r="C4374" s="185"/>
      <c r="D4374" s="20"/>
      <c r="E4374" s="20"/>
    </row>
    <row r="4375">
      <c r="A4375" s="184"/>
      <c r="B4375" s="185"/>
      <c r="C4375" s="185"/>
      <c r="D4375" s="20"/>
      <c r="E4375" s="20"/>
    </row>
    <row r="4376">
      <c r="A4376" s="184"/>
      <c r="B4376" s="185"/>
      <c r="C4376" s="185"/>
      <c r="D4376" s="20"/>
      <c r="E4376" s="20"/>
    </row>
    <row r="4377">
      <c r="A4377" s="184"/>
      <c r="B4377" s="185"/>
      <c r="C4377" s="185"/>
      <c r="D4377" s="20"/>
      <c r="E4377" s="20"/>
    </row>
    <row r="4378">
      <c r="A4378" s="184"/>
      <c r="B4378" s="185"/>
      <c r="C4378" s="185"/>
      <c r="D4378" s="20"/>
      <c r="E4378" s="20"/>
    </row>
    <row r="4379">
      <c r="A4379" s="184"/>
      <c r="B4379" s="185"/>
      <c r="C4379" s="185"/>
      <c r="D4379" s="20"/>
      <c r="E4379" s="20"/>
    </row>
    <row r="4380">
      <c r="A4380" s="184"/>
      <c r="B4380" s="185"/>
      <c r="C4380" s="185"/>
      <c r="D4380" s="20"/>
      <c r="E4380" s="20"/>
    </row>
    <row r="4381">
      <c r="A4381" s="184"/>
      <c r="B4381" s="185"/>
      <c r="C4381" s="185"/>
      <c r="D4381" s="20"/>
      <c r="E4381" s="20"/>
    </row>
    <row r="4382">
      <c r="A4382" s="184"/>
      <c r="B4382" s="185"/>
      <c r="C4382" s="185"/>
      <c r="D4382" s="20"/>
      <c r="E4382" s="20"/>
    </row>
    <row r="4383">
      <c r="A4383" s="184"/>
      <c r="B4383" s="185"/>
      <c r="C4383" s="185"/>
      <c r="D4383" s="20"/>
      <c r="E4383" s="20"/>
    </row>
    <row r="4384">
      <c r="A4384" s="184"/>
      <c r="B4384" s="185"/>
      <c r="C4384" s="185"/>
      <c r="D4384" s="20"/>
      <c r="E4384" s="20"/>
    </row>
    <row r="4385">
      <c r="A4385" s="184"/>
      <c r="B4385" s="185"/>
      <c r="C4385" s="185"/>
      <c r="D4385" s="20"/>
      <c r="E4385" s="20"/>
    </row>
    <row r="4386">
      <c r="A4386" s="184"/>
      <c r="B4386" s="185"/>
      <c r="C4386" s="185"/>
      <c r="D4386" s="20"/>
      <c r="E4386" s="20"/>
    </row>
    <row r="4387">
      <c r="A4387" s="184"/>
      <c r="B4387" s="185"/>
      <c r="C4387" s="185"/>
      <c r="D4387" s="20"/>
      <c r="E4387" s="20"/>
    </row>
    <row r="4388">
      <c r="A4388" s="184"/>
      <c r="B4388" s="185"/>
      <c r="C4388" s="185"/>
      <c r="D4388" s="20"/>
      <c r="E4388" s="20"/>
    </row>
    <row r="4389">
      <c r="A4389" s="184"/>
      <c r="B4389" s="185"/>
      <c r="C4389" s="185"/>
      <c r="D4389" s="20"/>
      <c r="E4389" s="20"/>
    </row>
    <row r="4390">
      <c r="A4390" s="184"/>
      <c r="B4390" s="185"/>
      <c r="C4390" s="185"/>
      <c r="D4390" s="20"/>
      <c r="E4390" s="20"/>
    </row>
    <row r="4391">
      <c r="A4391" s="184"/>
      <c r="B4391" s="185"/>
      <c r="C4391" s="185"/>
      <c r="D4391" s="20"/>
      <c r="E4391" s="20"/>
    </row>
    <row r="4392">
      <c r="A4392" s="184"/>
      <c r="B4392" s="185"/>
      <c r="C4392" s="185"/>
      <c r="D4392" s="20"/>
      <c r="E4392" s="20"/>
    </row>
    <row r="4393">
      <c r="A4393" s="184"/>
      <c r="B4393" s="185"/>
      <c r="C4393" s="185"/>
      <c r="D4393" s="20"/>
      <c r="E4393" s="20"/>
    </row>
    <row r="4394">
      <c r="A4394" s="184"/>
      <c r="B4394" s="185"/>
      <c r="C4394" s="185"/>
      <c r="D4394" s="20"/>
      <c r="E4394" s="20"/>
    </row>
    <row r="4395">
      <c r="A4395" s="184"/>
      <c r="B4395" s="185"/>
      <c r="C4395" s="185"/>
      <c r="D4395" s="20"/>
      <c r="E4395" s="20"/>
    </row>
    <row r="4396">
      <c r="A4396" s="184"/>
      <c r="B4396" s="185"/>
      <c r="C4396" s="185"/>
      <c r="D4396" s="20"/>
      <c r="E4396" s="20"/>
    </row>
    <row r="4397">
      <c r="A4397" s="184"/>
      <c r="B4397" s="185"/>
      <c r="C4397" s="185"/>
      <c r="D4397" s="20"/>
      <c r="E4397" s="20"/>
    </row>
    <row r="4398">
      <c r="A4398" s="184"/>
      <c r="B4398" s="185"/>
      <c r="C4398" s="185"/>
      <c r="D4398" s="20"/>
      <c r="E4398" s="20"/>
    </row>
    <row r="4399">
      <c r="A4399" s="184"/>
      <c r="B4399" s="185"/>
      <c r="C4399" s="185"/>
      <c r="D4399" s="20"/>
      <c r="E4399" s="20"/>
    </row>
    <row r="4400">
      <c r="A4400" s="184"/>
      <c r="B4400" s="185"/>
      <c r="C4400" s="185"/>
      <c r="D4400" s="20"/>
      <c r="E4400" s="20"/>
    </row>
    <row r="4401">
      <c r="A4401" s="184"/>
      <c r="B4401" s="185"/>
      <c r="C4401" s="185"/>
      <c r="D4401" s="20"/>
      <c r="E4401" s="20"/>
    </row>
    <row r="4402">
      <c r="A4402" s="184"/>
      <c r="B4402" s="185"/>
      <c r="C4402" s="185"/>
      <c r="D4402" s="20"/>
      <c r="E4402" s="20"/>
    </row>
    <row r="4403">
      <c r="A4403" s="184"/>
      <c r="B4403" s="185"/>
      <c r="C4403" s="185"/>
      <c r="D4403" s="20"/>
      <c r="E4403" s="20"/>
    </row>
    <row r="4404">
      <c r="A4404" s="184"/>
      <c r="B4404" s="185"/>
      <c r="C4404" s="185"/>
      <c r="D4404" s="20"/>
      <c r="E4404" s="20"/>
    </row>
    <row r="4405">
      <c r="A4405" s="184"/>
      <c r="B4405" s="185"/>
      <c r="C4405" s="185"/>
      <c r="D4405" s="20"/>
      <c r="E4405" s="20"/>
    </row>
    <row r="4406">
      <c r="A4406" s="184"/>
      <c r="B4406" s="185"/>
      <c r="C4406" s="185"/>
      <c r="D4406" s="20"/>
      <c r="E4406" s="20"/>
    </row>
    <row r="4407">
      <c r="A4407" s="184"/>
      <c r="B4407" s="185"/>
      <c r="C4407" s="185"/>
      <c r="D4407" s="20"/>
      <c r="E4407" s="20"/>
    </row>
    <row r="4408">
      <c r="A4408" s="184"/>
      <c r="B4408" s="185"/>
      <c r="C4408" s="185"/>
      <c r="D4408" s="20"/>
      <c r="E4408" s="20"/>
    </row>
    <row r="4409">
      <c r="A4409" s="184"/>
      <c r="B4409" s="185"/>
      <c r="C4409" s="185"/>
      <c r="D4409" s="20"/>
      <c r="E4409" s="20"/>
    </row>
    <row r="4410">
      <c r="A4410" s="184"/>
      <c r="B4410" s="185"/>
      <c r="C4410" s="185"/>
      <c r="D4410" s="20"/>
      <c r="E4410" s="20"/>
    </row>
    <row r="4411">
      <c r="A4411" s="184"/>
      <c r="B4411" s="185"/>
      <c r="C4411" s="185"/>
      <c r="D4411" s="20"/>
      <c r="E4411" s="20"/>
    </row>
    <row r="4412">
      <c r="A4412" s="184"/>
      <c r="B4412" s="185"/>
      <c r="C4412" s="185"/>
      <c r="D4412" s="20"/>
      <c r="E4412" s="20"/>
    </row>
    <row r="4413">
      <c r="A4413" s="184"/>
      <c r="B4413" s="185"/>
      <c r="C4413" s="185"/>
      <c r="D4413" s="20"/>
      <c r="E4413" s="20"/>
    </row>
    <row r="4414">
      <c r="A4414" s="184"/>
      <c r="B4414" s="185"/>
      <c r="C4414" s="185"/>
      <c r="D4414" s="20"/>
      <c r="E4414" s="20"/>
    </row>
    <row r="4415">
      <c r="A4415" s="184"/>
      <c r="B4415" s="185"/>
      <c r="C4415" s="185"/>
      <c r="D4415" s="20"/>
      <c r="E4415" s="20"/>
    </row>
    <row r="4416">
      <c r="A4416" s="184"/>
      <c r="B4416" s="185"/>
      <c r="C4416" s="185"/>
      <c r="D4416" s="20"/>
      <c r="E4416" s="20"/>
    </row>
    <row r="4417">
      <c r="A4417" s="184"/>
      <c r="B4417" s="185"/>
      <c r="C4417" s="185"/>
      <c r="D4417" s="20"/>
      <c r="E4417" s="20"/>
    </row>
    <row r="4418">
      <c r="A4418" s="184"/>
      <c r="B4418" s="185"/>
      <c r="C4418" s="185"/>
      <c r="D4418" s="20"/>
      <c r="E4418" s="20"/>
    </row>
    <row r="4419">
      <c r="A4419" s="184"/>
      <c r="B4419" s="185"/>
      <c r="C4419" s="185"/>
      <c r="D4419" s="20"/>
      <c r="E4419" s="20"/>
    </row>
    <row r="4420">
      <c r="A4420" s="184"/>
      <c r="B4420" s="185"/>
      <c r="C4420" s="185"/>
      <c r="D4420" s="20"/>
      <c r="E4420" s="20"/>
    </row>
    <row r="4421">
      <c r="A4421" s="184"/>
      <c r="B4421" s="185"/>
      <c r="C4421" s="185"/>
      <c r="D4421" s="20"/>
      <c r="E4421" s="20"/>
    </row>
    <row r="4422">
      <c r="A4422" s="184"/>
      <c r="B4422" s="185"/>
      <c r="C4422" s="185"/>
      <c r="D4422" s="20"/>
      <c r="E4422" s="20"/>
    </row>
    <row r="4423">
      <c r="A4423" s="184"/>
      <c r="B4423" s="185"/>
      <c r="C4423" s="185"/>
      <c r="D4423" s="20"/>
      <c r="E4423" s="20"/>
    </row>
    <row r="4424">
      <c r="A4424" s="184"/>
      <c r="B4424" s="185"/>
      <c r="C4424" s="185"/>
      <c r="D4424" s="20"/>
      <c r="E4424" s="20"/>
    </row>
    <row r="4425">
      <c r="A4425" s="184"/>
      <c r="B4425" s="185"/>
      <c r="C4425" s="185"/>
      <c r="D4425" s="20"/>
      <c r="E4425" s="20"/>
    </row>
    <row r="4426">
      <c r="A4426" s="184"/>
      <c r="B4426" s="185"/>
      <c r="C4426" s="185"/>
      <c r="D4426" s="20"/>
      <c r="E4426" s="20"/>
    </row>
    <row r="4427">
      <c r="A4427" s="184"/>
      <c r="B4427" s="185"/>
      <c r="C4427" s="185"/>
      <c r="D4427" s="20"/>
      <c r="E4427" s="20"/>
    </row>
    <row r="4428">
      <c r="A4428" s="184"/>
      <c r="B4428" s="185"/>
      <c r="C4428" s="185"/>
      <c r="D4428" s="20"/>
      <c r="E4428" s="20"/>
    </row>
    <row r="4429">
      <c r="A4429" s="184"/>
      <c r="B4429" s="185"/>
      <c r="C4429" s="185"/>
      <c r="D4429" s="20"/>
      <c r="E4429" s="20"/>
    </row>
    <row r="4430">
      <c r="A4430" s="184"/>
      <c r="B4430" s="185"/>
      <c r="C4430" s="185"/>
      <c r="D4430" s="20"/>
      <c r="E4430" s="20"/>
    </row>
    <row r="4431">
      <c r="A4431" s="184"/>
      <c r="B4431" s="185"/>
      <c r="C4431" s="185"/>
      <c r="D4431" s="20"/>
      <c r="E4431" s="20"/>
    </row>
    <row r="4432">
      <c r="A4432" s="184"/>
      <c r="B4432" s="185"/>
      <c r="C4432" s="185"/>
      <c r="D4432" s="20"/>
      <c r="E4432" s="20"/>
    </row>
    <row r="4433">
      <c r="A4433" s="184"/>
      <c r="B4433" s="185"/>
      <c r="C4433" s="185"/>
      <c r="D4433" s="20"/>
      <c r="E4433" s="20"/>
    </row>
    <row r="4434">
      <c r="A4434" s="184"/>
      <c r="B4434" s="185"/>
      <c r="C4434" s="185"/>
      <c r="D4434" s="20"/>
      <c r="E4434" s="20"/>
    </row>
    <row r="4435">
      <c r="A4435" s="184"/>
      <c r="B4435" s="185"/>
      <c r="C4435" s="185"/>
      <c r="D4435" s="20"/>
      <c r="E4435" s="20"/>
    </row>
    <row r="4436">
      <c r="A4436" s="184"/>
      <c r="B4436" s="185"/>
      <c r="C4436" s="185"/>
      <c r="D4436" s="20"/>
      <c r="E4436" s="20"/>
    </row>
    <row r="4437">
      <c r="A4437" s="184"/>
      <c r="B4437" s="185"/>
      <c r="C4437" s="185"/>
      <c r="D4437" s="20"/>
      <c r="E4437" s="20"/>
    </row>
    <row r="4438">
      <c r="A4438" s="184"/>
      <c r="B4438" s="185"/>
      <c r="C4438" s="185"/>
      <c r="D4438" s="20"/>
      <c r="E4438" s="20"/>
    </row>
    <row r="4439">
      <c r="A4439" s="184"/>
      <c r="B4439" s="185"/>
      <c r="C4439" s="185"/>
      <c r="D4439" s="20"/>
      <c r="E4439" s="20"/>
    </row>
    <row r="4440">
      <c r="A4440" s="184"/>
      <c r="B4440" s="185"/>
      <c r="C4440" s="185"/>
      <c r="D4440" s="20"/>
      <c r="E4440" s="20"/>
    </row>
    <row r="4441">
      <c r="A4441" s="184"/>
      <c r="B4441" s="185"/>
      <c r="C4441" s="185"/>
      <c r="D4441" s="20"/>
      <c r="E4441" s="20"/>
    </row>
    <row r="4442">
      <c r="A4442" s="184"/>
      <c r="B4442" s="185"/>
      <c r="C4442" s="185"/>
      <c r="D4442" s="20"/>
      <c r="E4442" s="20"/>
    </row>
    <row r="4443">
      <c r="A4443" s="184"/>
      <c r="B4443" s="185"/>
      <c r="C4443" s="185"/>
      <c r="D4443" s="20"/>
      <c r="E4443" s="20"/>
    </row>
    <row r="4444">
      <c r="A4444" s="184"/>
      <c r="B4444" s="185"/>
      <c r="C4444" s="185"/>
      <c r="D4444" s="20"/>
      <c r="E4444" s="20"/>
    </row>
    <row r="4445">
      <c r="A4445" s="184"/>
      <c r="B4445" s="185"/>
      <c r="C4445" s="185"/>
      <c r="D4445" s="20"/>
      <c r="E4445" s="20"/>
    </row>
    <row r="4446">
      <c r="A4446" s="184"/>
      <c r="B4446" s="185"/>
      <c r="C4446" s="185"/>
      <c r="D4446" s="20"/>
      <c r="E4446" s="20"/>
    </row>
    <row r="4447">
      <c r="A4447" s="184"/>
      <c r="B4447" s="185"/>
      <c r="C4447" s="185"/>
      <c r="D4447" s="20"/>
      <c r="E4447" s="20"/>
    </row>
    <row r="4448">
      <c r="A4448" s="184"/>
      <c r="B4448" s="185"/>
      <c r="C4448" s="185"/>
      <c r="D4448" s="20"/>
      <c r="E4448" s="20"/>
    </row>
    <row r="4449">
      <c r="A4449" s="184"/>
      <c r="B4449" s="185"/>
      <c r="C4449" s="185"/>
      <c r="D4449" s="20"/>
      <c r="E4449" s="20"/>
    </row>
    <row r="4450">
      <c r="A4450" s="184"/>
      <c r="B4450" s="185"/>
      <c r="C4450" s="185"/>
      <c r="D4450" s="20"/>
      <c r="E4450" s="20"/>
    </row>
    <row r="4451">
      <c r="A4451" s="184"/>
      <c r="B4451" s="185"/>
      <c r="C4451" s="185"/>
      <c r="D4451" s="20"/>
      <c r="E4451" s="20"/>
    </row>
    <row r="4452">
      <c r="A4452" s="184"/>
      <c r="B4452" s="185"/>
      <c r="C4452" s="185"/>
      <c r="D4452" s="20"/>
      <c r="E4452" s="20"/>
    </row>
    <row r="4453">
      <c r="A4453" s="184"/>
      <c r="B4453" s="185"/>
      <c r="C4453" s="185"/>
      <c r="D4453" s="20"/>
      <c r="E4453" s="20"/>
    </row>
    <row r="4454">
      <c r="A4454" s="184"/>
      <c r="B4454" s="185"/>
      <c r="C4454" s="185"/>
      <c r="D4454" s="20"/>
      <c r="E4454" s="20"/>
    </row>
    <row r="4455">
      <c r="A4455" s="184"/>
      <c r="B4455" s="185"/>
      <c r="C4455" s="185"/>
      <c r="D4455" s="20"/>
      <c r="E4455" s="20"/>
    </row>
    <row r="4456">
      <c r="A4456" s="184"/>
      <c r="B4456" s="185"/>
      <c r="C4456" s="185"/>
      <c r="D4456" s="20"/>
      <c r="E4456" s="20"/>
    </row>
    <row r="4457">
      <c r="A4457" s="184"/>
      <c r="B4457" s="185"/>
      <c r="C4457" s="185"/>
      <c r="D4457" s="20"/>
      <c r="E4457" s="20"/>
    </row>
    <row r="4458">
      <c r="A4458" s="184"/>
      <c r="B4458" s="185"/>
      <c r="C4458" s="185"/>
      <c r="D4458" s="20"/>
      <c r="E4458" s="20"/>
    </row>
    <row r="4459">
      <c r="A4459" s="184"/>
      <c r="B4459" s="185"/>
      <c r="C4459" s="185"/>
      <c r="D4459" s="20"/>
      <c r="E4459" s="20"/>
    </row>
    <row r="4460">
      <c r="A4460" s="184"/>
      <c r="B4460" s="185"/>
      <c r="C4460" s="185"/>
      <c r="D4460" s="20"/>
      <c r="E4460" s="20"/>
    </row>
    <row r="4461">
      <c r="A4461" s="184"/>
      <c r="B4461" s="185"/>
      <c r="C4461" s="185"/>
      <c r="D4461" s="20"/>
      <c r="E4461" s="20"/>
    </row>
    <row r="4462">
      <c r="A4462" s="184"/>
      <c r="B4462" s="185"/>
      <c r="C4462" s="185"/>
      <c r="D4462" s="20"/>
      <c r="E4462" s="20"/>
    </row>
    <row r="4463">
      <c r="A4463" s="184"/>
      <c r="B4463" s="185"/>
      <c r="C4463" s="185"/>
      <c r="D4463" s="20"/>
      <c r="E4463" s="20"/>
    </row>
    <row r="4464">
      <c r="A4464" s="184"/>
      <c r="B4464" s="185"/>
      <c r="C4464" s="185"/>
      <c r="D4464" s="20"/>
      <c r="E4464" s="20"/>
    </row>
    <row r="4465">
      <c r="A4465" s="184"/>
      <c r="B4465" s="185"/>
      <c r="C4465" s="185"/>
      <c r="D4465" s="20"/>
      <c r="E4465" s="20"/>
    </row>
    <row r="4466">
      <c r="A4466" s="184"/>
      <c r="B4466" s="185"/>
      <c r="C4466" s="185"/>
      <c r="D4466" s="20"/>
      <c r="E4466" s="20"/>
    </row>
    <row r="4467">
      <c r="A4467" s="184"/>
      <c r="B4467" s="185"/>
      <c r="C4467" s="185"/>
      <c r="D4467" s="20"/>
      <c r="E4467" s="20"/>
    </row>
    <row r="4468">
      <c r="A4468" s="184"/>
      <c r="B4468" s="185"/>
      <c r="C4468" s="185"/>
      <c r="D4468" s="20"/>
      <c r="E4468" s="20"/>
    </row>
    <row r="4469">
      <c r="A4469" s="184"/>
      <c r="B4469" s="185"/>
      <c r="C4469" s="185"/>
      <c r="D4469" s="20"/>
      <c r="E4469" s="20"/>
    </row>
    <row r="4470">
      <c r="A4470" s="184"/>
      <c r="B4470" s="185"/>
      <c r="C4470" s="185"/>
      <c r="D4470" s="20"/>
      <c r="E4470" s="20"/>
    </row>
    <row r="4471">
      <c r="A4471" s="184"/>
      <c r="B4471" s="185"/>
      <c r="C4471" s="185"/>
      <c r="D4471" s="20"/>
      <c r="E4471" s="20"/>
    </row>
    <row r="4472">
      <c r="A4472" s="184"/>
      <c r="B4472" s="185"/>
      <c r="C4472" s="185"/>
      <c r="D4472" s="20"/>
      <c r="E4472" s="20"/>
    </row>
    <row r="4473">
      <c r="A4473" s="184"/>
      <c r="B4473" s="185"/>
      <c r="C4473" s="185"/>
      <c r="D4473" s="20"/>
      <c r="E4473" s="20"/>
    </row>
    <row r="4474">
      <c r="A4474" s="184"/>
      <c r="B4474" s="185"/>
      <c r="C4474" s="185"/>
      <c r="D4474" s="20"/>
      <c r="E4474" s="20"/>
    </row>
    <row r="4475">
      <c r="A4475" s="184"/>
      <c r="B4475" s="185"/>
      <c r="C4475" s="185"/>
      <c r="D4475" s="20"/>
      <c r="E4475" s="20"/>
    </row>
    <row r="4476">
      <c r="A4476" s="184"/>
      <c r="B4476" s="185"/>
      <c r="C4476" s="185"/>
      <c r="D4476" s="20"/>
      <c r="E4476" s="20"/>
    </row>
    <row r="4477">
      <c r="A4477" s="184"/>
      <c r="B4477" s="185"/>
      <c r="C4477" s="185"/>
      <c r="D4477" s="20"/>
      <c r="E4477" s="20"/>
    </row>
    <row r="4478">
      <c r="A4478" s="184"/>
      <c r="B4478" s="185"/>
      <c r="C4478" s="185"/>
      <c r="D4478" s="20"/>
      <c r="E4478" s="20"/>
    </row>
    <row r="4479">
      <c r="A4479" s="184"/>
      <c r="B4479" s="185"/>
      <c r="C4479" s="185"/>
      <c r="D4479" s="20"/>
      <c r="E4479" s="20"/>
    </row>
    <row r="4480">
      <c r="A4480" s="184"/>
      <c r="B4480" s="185"/>
      <c r="C4480" s="185"/>
      <c r="D4480" s="20"/>
      <c r="E4480" s="20"/>
    </row>
    <row r="4481">
      <c r="A4481" s="184"/>
      <c r="B4481" s="185"/>
      <c r="C4481" s="185"/>
      <c r="D4481" s="20"/>
      <c r="E4481" s="20"/>
    </row>
    <row r="4482">
      <c r="A4482" s="184"/>
      <c r="B4482" s="185"/>
      <c r="C4482" s="185"/>
      <c r="D4482" s="20"/>
      <c r="E4482" s="20"/>
    </row>
    <row r="4483">
      <c r="A4483" s="184"/>
      <c r="B4483" s="185"/>
      <c r="C4483" s="185"/>
      <c r="D4483" s="20"/>
      <c r="E4483" s="20"/>
    </row>
    <row r="4484">
      <c r="A4484" s="184"/>
      <c r="B4484" s="185"/>
      <c r="C4484" s="185"/>
      <c r="D4484" s="20"/>
      <c r="E4484" s="20"/>
    </row>
    <row r="4485">
      <c r="A4485" s="184"/>
      <c r="B4485" s="185"/>
      <c r="C4485" s="185"/>
      <c r="D4485" s="20"/>
      <c r="E4485" s="20"/>
    </row>
    <row r="4486">
      <c r="A4486" s="184"/>
      <c r="B4486" s="185"/>
      <c r="C4486" s="185"/>
      <c r="D4486" s="20"/>
      <c r="E4486" s="20"/>
    </row>
    <row r="4487">
      <c r="A4487" s="184"/>
      <c r="B4487" s="185"/>
      <c r="C4487" s="185"/>
      <c r="D4487" s="20"/>
      <c r="E4487" s="20"/>
    </row>
    <row r="4488">
      <c r="A4488" s="184"/>
      <c r="B4488" s="185"/>
      <c r="C4488" s="185"/>
      <c r="D4488" s="20"/>
      <c r="E4488" s="20"/>
    </row>
    <row r="4489">
      <c r="A4489" s="184"/>
      <c r="B4489" s="185"/>
      <c r="C4489" s="185"/>
      <c r="D4489" s="20"/>
      <c r="E4489" s="20"/>
    </row>
    <row r="4490">
      <c r="A4490" s="184"/>
      <c r="B4490" s="185"/>
      <c r="C4490" s="185"/>
      <c r="D4490" s="20"/>
      <c r="E4490" s="20"/>
    </row>
    <row r="4491">
      <c r="A4491" s="184"/>
      <c r="B4491" s="185"/>
      <c r="C4491" s="185"/>
      <c r="D4491" s="20"/>
      <c r="E4491" s="20"/>
    </row>
    <row r="4492">
      <c r="A4492" s="184"/>
      <c r="B4492" s="185"/>
      <c r="C4492" s="185"/>
      <c r="D4492" s="20"/>
      <c r="E4492" s="20"/>
    </row>
    <row r="4493">
      <c r="A4493" s="184"/>
      <c r="B4493" s="185"/>
      <c r="C4493" s="185"/>
      <c r="D4493" s="20"/>
      <c r="E4493" s="20"/>
    </row>
    <row r="4494">
      <c r="A4494" s="184"/>
      <c r="B4494" s="185"/>
      <c r="C4494" s="185"/>
      <c r="D4494" s="20"/>
      <c r="E4494" s="20"/>
    </row>
    <row r="4495">
      <c r="A4495" s="184"/>
      <c r="B4495" s="185"/>
      <c r="C4495" s="185"/>
      <c r="D4495" s="20"/>
      <c r="E4495" s="20"/>
    </row>
    <row r="4496">
      <c r="A4496" s="184"/>
      <c r="B4496" s="185"/>
      <c r="C4496" s="185"/>
      <c r="D4496" s="20"/>
      <c r="E4496" s="20"/>
    </row>
    <row r="4497">
      <c r="A4497" s="184"/>
      <c r="B4497" s="185"/>
      <c r="C4497" s="185"/>
      <c r="D4497" s="20"/>
      <c r="E4497" s="20"/>
    </row>
    <row r="4498">
      <c r="A4498" s="184"/>
      <c r="B4498" s="185"/>
      <c r="C4498" s="185"/>
      <c r="D4498" s="20"/>
      <c r="E4498" s="20"/>
    </row>
    <row r="4499">
      <c r="A4499" s="184"/>
      <c r="B4499" s="185"/>
      <c r="C4499" s="185"/>
      <c r="D4499" s="20"/>
      <c r="E4499" s="20"/>
    </row>
    <row r="4500">
      <c r="A4500" s="184"/>
      <c r="B4500" s="185"/>
      <c r="C4500" s="185"/>
      <c r="D4500" s="20"/>
      <c r="E4500" s="20"/>
    </row>
    <row r="4501">
      <c r="A4501" s="184"/>
      <c r="B4501" s="185"/>
      <c r="C4501" s="185"/>
      <c r="D4501" s="20"/>
      <c r="E4501" s="20"/>
    </row>
    <row r="4502">
      <c r="A4502" s="184"/>
      <c r="B4502" s="185"/>
      <c r="C4502" s="185"/>
      <c r="D4502" s="20"/>
      <c r="E4502" s="20"/>
    </row>
    <row r="4503">
      <c r="A4503" s="184"/>
      <c r="B4503" s="185"/>
      <c r="C4503" s="185"/>
      <c r="D4503" s="20"/>
      <c r="E4503" s="20"/>
    </row>
    <row r="4504">
      <c r="A4504" s="184"/>
      <c r="B4504" s="185"/>
      <c r="C4504" s="185"/>
      <c r="D4504" s="20"/>
      <c r="E4504" s="20"/>
    </row>
    <row r="4505">
      <c r="A4505" s="184"/>
      <c r="B4505" s="185"/>
      <c r="C4505" s="185"/>
      <c r="D4505" s="20"/>
      <c r="E4505" s="20"/>
    </row>
    <row r="4506">
      <c r="A4506" s="184"/>
      <c r="B4506" s="185"/>
      <c r="C4506" s="185"/>
      <c r="D4506" s="20"/>
      <c r="E4506" s="20"/>
    </row>
    <row r="4507">
      <c r="A4507" s="184"/>
      <c r="B4507" s="185"/>
      <c r="C4507" s="185"/>
      <c r="D4507" s="20"/>
      <c r="E4507" s="20"/>
    </row>
    <row r="4508">
      <c r="A4508" s="184"/>
      <c r="B4508" s="185"/>
      <c r="C4508" s="185"/>
      <c r="D4508" s="20"/>
      <c r="E4508" s="20"/>
    </row>
    <row r="4509">
      <c r="A4509" s="184"/>
      <c r="B4509" s="185"/>
      <c r="C4509" s="185"/>
      <c r="D4509" s="20"/>
      <c r="E4509" s="20"/>
    </row>
    <row r="4510">
      <c r="A4510" s="184"/>
      <c r="B4510" s="185"/>
      <c r="C4510" s="185"/>
      <c r="D4510" s="20"/>
      <c r="E4510" s="20"/>
    </row>
    <row r="4511">
      <c r="A4511" s="184"/>
      <c r="B4511" s="185"/>
      <c r="C4511" s="185"/>
      <c r="D4511" s="20"/>
      <c r="E4511" s="20"/>
    </row>
    <row r="4512">
      <c r="A4512" s="184"/>
      <c r="B4512" s="185"/>
      <c r="C4512" s="185"/>
      <c r="D4512" s="20"/>
      <c r="E4512" s="20"/>
    </row>
    <row r="4513">
      <c r="A4513" s="184"/>
      <c r="B4513" s="185"/>
      <c r="C4513" s="185"/>
      <c r="D4513" s="20"/>
      <c r="E4513" s="20"/>
    </row>
    <row r="4514">
      <c r="A4514" s="184"/>
      <c r="B4514" s="185"/>
      <c r="C4514" s="185"/>
      <c r="D4514" s="20"/>
      <c r="E4514" s="20"/>
    </row>
    <row r="4515">
      <c r="A4515" s="184"/>
      <c r="B4515" s="185"/>
      <c r="C4515" s="185"/>
      <c r="D4515" s="20"/>
      <c r="E4515" s="20"/>
    </row>
    <row r="4516">
      <c r="A4516" s="184"/>
      <c r="B4516" s="185"/>
      <c r="C4516" s="185"/>
      <c r="D4516" s="20"/>
      <c r="E4516" s="20"/>
    </row>
    <row r="4517">
      <c r="A4517" s="184"/>
      <c r="B4517" s="185"/>
      <c r="C4517" s="185"/>
      <c r="D4517" s="20"/>
      <c r="E4517" s="20"/>
    </row>
    <row r="4518">
      <c r="A4518" s="184"/>
      <c r="B4518" s="185"/>
      <c r="C4518" s="185"/>
      <c r="D4518" s="20"/>
      <c r="E4518" s="20"/>
    </row>
    <row r="4519">
      <c r="A4519" s="184"/>
      <c r="B4519" s="185"/>
      <c r="C4519" s="185"/>
      <c r="D4519" s="20"/>
      <c r="E4519" s="20"/>
    </row>
    <row r="4520">
      <c r="A4520" s="184"/>
      <c r="B4520" s="185"/>
      <c r="C4520" s="185"/>
      <c r="D4520" s="20"/>
      <c r="E4520" s="20"/>
    </row>
    <row r="4521">
      <c r="A4521" s="184"/>
      <c r="B4521" s="185"/>
      <c r="C4521" s="185"/>
      <c r="D4521" s="20"/>
      <c r="E4521" s="20"/>
    </row>
    <row r="4522">
      <c r="A4522" s="184"/>
      <c r="B4522" s="185"/>
      <c r="C4522" s="185"/>
      <c r="D4522" s="20"/>
      <c r="E4522" s="20"/>
    </row>
    <row r="4523">
      <c r="A4523" s="184"/>
      <c r="B4523" s="185"/>
      <c r="C4523" s="185"/>
      <c r="D4523" s="20"/>
      <c r="E4523" s="20"/>
    </row>
    <row r="4524">
      <c r="A4524" s="184"/>
      <c r="B4524" s="185"/>
      <c r="C4524" s="185"/>
      <c r="D4524" s="20"/>
      <c r="E4524" s="20"/>
    </row>
    <row r="4525">
      <c r="A4525" s="184"/>
      <c r="B4525" s="185"/>
      <c r="C4525" s="185"/>
      <c r="D4525" s="20"/>
      <c r="E4525" s="20"/>
    </row>
    <row r="4526">
      <c r="A4526" s="184"/>
      <c r="B4526" s="185"/>
      <c r="C4526" s="185"/>
      <c r="D4526" s="20"/>
      <c r="E4526" s="20"/>
    </row>
    <row r="4527">
      <c r="A4527" s="184"/>
      <c r="B4527" s="185"/>
      <c r="C4527" s="185"/>
      <c r="D4527" s="20"/>
      <c r="E4527" s="20"/>
    </row>
    <row r="4528">
      <c r="A4528" s="184"/>
      <c r="B4528" s="185"/>
      <c r="C4528" s="185"/>
      <c r="D4528" s="20"/>
      <c r="E4528" s="20"/>
    </row>
    <row r="4529">
      <c r="A4529" s="184"/>
      <c r="B4529" s="185"/>
      <c r="C4529" s="185"/>
      <c r="D4529" s="20"/>
      <c r="E4529" s="20"/>
    </row>
    <row r="4530">
      <c r="A4530" s="184"/>
      <c r="B4530" s="185"/>
      <c r="C4530" s="185"/>
      <c r="D4530" s="20"/>
      <c r="E4530" s="20"/>
    </row>
    <row r="4531">
      <c r="A4531" s="184"/>
      <c r="B4531" s="185"/>
      <c r="C4531" s="185"/>
      <c r="D4531" s="20"/>
      <c r="E4531" s="20"/>
    </row>
    <row r="4532">
      <c r="A4532" s="184"/>
      <c r="B4532" s="185"/>
      <c r="C4532" s="185"/>
      <c r="D4532" s="20"/>
      <c r="E4532" s="20"/>
    </row>
    <row r="4533">
      <c r="A4533" s="184"/>
      <c r="B4533" s="185"/>
      <c r="C4533" s="185"/>
      <c r="D4533" s="20"/>
      <c r="E4533" s="20"/>
    </row>
    <row r="4534">
      <c r="A4534" s="184"/>
      <c r="B4534" s="185"/>
      <c r="C4534" s="185"/>
      <c r="D4534" s="20"/>
      <c r="E4534" s="20"/>
    </row>
    <row r="4535">
      <c r="A4535" s="184"/>
      <c r="B4535" s="185"/>
      <c r="C4535" s="185"/>
      <c r="D4535" s="20"/>
      <c r="E4535" s="20"/>
    </row>
    <row r="4536">
      <c r="A4536" s="184"/>
      <c r="B4536" s="185"/>
      <c r="C4536" s="185"/>
      <c r="D4536" s="20"/>
      <c r="E4536" s="20"/>
    </row>
    <row r="4537">
      <c r="A4537" s="184"/>
      <c r="B4537" s="185"/>
      <c r="C4537" s="185"/>
      <c r="D4537" s="20"/>
      <c r="E4537" s="20"/>
    </row>
    <row r="4538">
      <c r="A4538" s="184"/>
      <c r="B4538" s="185"/>
      <c r="C4538" s="185"/>
      <c r="D4538" s="20"/>
      <c r="E4538" s="20"/>
    </row>
    <row r="4539">
      <c r="A4539" s="184"/>
      <c r="B4539" s="185"/>
      <c r="C4539" s="185"/>
      <c r="D4539" s="20"/>
      <c r="E4539" s="20"/>
    </row>
    <row r="4540">
      <c r="A4540" s="184"/>
      <c r="B4540" s="185"/>
      <c r="C4540" s="185"/>
      <c r="D4540" s="20"/>
      <c r="E4540" s="20"/>
    </row>
    <row r="4541">
      <c r="A4541" s="184"/>
      <c r="B4541" s="185"/>
      <c r="C4541" s="185"/>
      <c r="D4541" s="20"/>
      <c r="E4541" s="20"/>
    </row>
    <row r="4542">
      <c r="A4542" s="184"/>
      <c r="B4542" s="185"/>
      <c r="C4542" s="185"/>
      <c r="D4542" s="20"/>
      <c r="E4542" s="20"/>
    </row>
    <row r="4543">
      <c r="A4543" s="184"/>
      <c r="B4543" s="185"/>
      <c r="C4543" s="185"/>
      <c r="D4543" s="20"/>
      <c r="E4543" s="20"/>
    </row>
    <row r="4544">
      <c r="A4544" s="184"/>
      <c r="B4544" s="185"/>
      <c r="C4544" s="185"/>
      <c r="D4544" s="20"/>
      <c r="E4544" s="20"/>
    </row>
    <row r="4545">
      <c r="A4545" s="184"/>
      <c r="B4545" s="185"/>
      <c r="C4545" s="185"/>
      <c r="D4545" s="20"/>
      <c r="E4545" s="20"/>
    </row>
    <row r="4546">
      <c r="A4546" s="184"/>
      <c r="B4546" s="185"/>
      <c r="C4546" s="185"/>
      <c r="D4546" s="20"/>
      <c r="E4546" s="20"/>
    </row>
    <row r="4547">
      <c r="A4547" s="184"/>
      <c r="B4547" s="185"/>
      <c r="C4547" s="185"/>
      <c r="D4547" s="20"/>
      <c r="E4547" s="20"/>
    </row>
    <row r="4548">
      <c r="A4548" s="184"/>
      <c r="B4548" s="185"/>
      <c r="C4548" s="185"/>
      <c r="D4548" s="20"/>
      <c r="E4548" s="20"/>
    </row>
    <row r="4549">
      <c r="A4549" s="184"/>
      <c r="B4549" s="185"/>
      <c r="C4549" s="185"/>
      <c r="D4549" s="20"/>
      <c r="E4549" s="20"/>
    </row>
    <row r="4550">
      <c r="A4550" s="184"/>
      <c r="B4550" s="185"/>
      <c r="C4550" s="185"/>
      <c r="D4550" s="20"/>
      <c r="E4550" s="20"/>
    </row>
    <row r="4551">
      <c r="A4551" s="184"/>
      <c r="B4551" s="185"/>
      <c r="C4551" s="185"/>
      <c r="D4551" s="20"/>
      <c r="E4551" s="20"/>
    </row>
    <row r="4552">
      <c r="A4552" s="184"/>
      <c r="B4552" s="185"/>
      <c r="C4552" s="185"/>
      <c r="D4552" s="20"/>
      <c r="E4552" s="20"/>
    </row>
    <row r="4553">
      <c r="A4553" s="184"/>
      <c r="B4553" s="185"/>
      <c r="C4553" s="185"/>
      <c r="D4553" s="20"/>
      <c r="E4553" s="20"/>
    </row>
    <row r="4554">
      <c r="A4554" s="184"/>
      <c r="B4554" s="185"/>
      <c r="C4554" s="185"/>
      <c r="D4554" s="20"/>
      <c r="E4554" s="20"/>
    </row>
    <row r="4555">
      <c r="A4555" s="184"/>
      <c r="B4555" s="185"/>
      <c r="C4555" s="185"/>
      <c r="D4555" s="20"/>
      <c r="E4555" s="20"/>
    </row>
    <row r="4556">
      <c r="A4556" s="184"/>
      <c r="B4556" s="185"/>
      <c r="C4556" s="185"/>
      <c r="D4556" s="20"/>
      <c r="E4556" s="20"/>
    </row>
    <row r="4557">
      <c r="A4557" s="184"/>
      <c r="B4557" s="185"/>
      <c r="C4557" s="185"/>
      <c r="D4557" s="20"/>
      <c r="E4557" s="20"/>
    </row>
    <row r="4558">
      <c r="A4558" s="184"/>
      <c r="B4558" s="185"/>
      <c r="C4558" s="185"/>
      <c r="D4558" s="20"/>
      <c r="E4558" s="20"/>
    </row>
    <row r="4559">
      <c r="A4559" s="184"/>
      <c r="B4559" s="185"/>
      <c r="C4559" s="185"/>
      <c r="D4559" s="20"/>
      <c r="E4559" s="20"/>
    </row>
    <row r="4560">
      <c r="A4560" s="184"/>
      <c r="B4560" s="185"/>
      <c r="C4560" s="185"/>
      <c r="D4560" s="20"/>
      <c r="E4560" s="20"/>
    </row>
    <row r="4561">
      <c r="A4561" s="184"/>
      <c r="B4561" s="185"/>
      <c r="C4561" s="185"/>
      <c r="D4561" s="20"/>
      <c r="E4561" s="20"/>
    </row>
    <row r="4562">
      <c r="A4562" s="184"/>
      <c r="B4562" s="185"/>
      <c r="C4562" s="185"/>
      <c r="D4562" s="20"/>
      <c r="E4562" s="20"/>
    </row>
    <row r="4563">
      <c r="A4563" s="184"/>
      <c r="B4563" s="185"/>
      <c r="C4563" s="185"/>
      <c r="D4563" s="20"/>
      <c r="E4563" s="20"/>
    </row>
    <row r="4564">
      <c r="A4564" s="184"/>
      <c r="B4564" s="185"/>
      <c r="C4564" s="185"/>
      <c r="D4564" s="20"/>
      <c r="E4564" s="20"/>
    </row>
    <row r="4565">
      <c r="A4565" s="184"/>
      <c r="B4565" s="185"/>
      <c r="C4565" s="185"/>
      <c r="D4565" s="20"/>
      <c r="E4565" s="20"/>
    </row>
    <row r="4566">
      <c r="A4566" s="184"/>
      <c r="B4566" s="185"/>
      <c r="C4566" s="185"/>
      <c r="D4566" s="20"/>
      <c r="E4566" s="20"/>
    </row>
    <row r="4567">
      <c r="A4567" s="184"/>
      <c r="B4567" s="185"/>
      <c r="C4567" s="185"/>
      <c r="D4567" s="20"/>
      <c r="E4567" s="20"/>
    </row>
    <row r="4568">
      <c r="A4568" s="184"/>
      <c r="B4568" s="185"/>
      <c r="C4568" s="185"/>
      <c r="D4568" s="20"/>
      <c r="E4568" s="20"/>
    </row>
    <row r="4569">
      <c r="A4569" s="184"/>
      <c r="B4569" s="185"/>
      <c r="C4569" s="185"/>
      <c r="D4569" s="20"/>
      <c r="E4569" s="20"/>
    </row>
    <row r="4570">
      <c r="A4570" s="184"/>
      <c r="B4570" s="185"/>
      <c r="C4570" s="185"/>
      <c r="D4570" s="20"/>
      <c r="E4570" s="20"/>
    </row>
    <row r="4571">
      <c r="A4571" s="184"/>
      <c r="B4571" s="185"/>
      <c r="C4571" s="185"/>
      <c r="D4571" s="20"/>
      <c r="E4571" s="20"/>
    </row>
    <row r="4572">
      <c r="A4572" s="184"/>
      <c r="B4572" s="185"/>
      <c r="C4572" s="185"/>
      <c r="D4572" s="20"/>
      <c r="E4572" s="20"/>
    </row>
    <row r="4573">
      <c r="A4573" s="184"/>
      <c r="B4573" s="185"/>
      <c r="C4573" s="185"/>
      <c r="D4573" s="20"/>
      <c r="E4573" s="20"/>
    </row>
    <row r="4574">
      <c r="A4574" s="184"/>
      <c r="B4574" s="185"/>
      <c r="C4574" s="185"/>
      <c r="D4574" s="20"/>
      <c r="E4574" s="20"/>
    </row>
    <row r="4575">
      <c r="A4575" s="184"/>
      <c r="B4575" s="185"/>
      <c r="C4575" s="185"/>
      <c r="D4575" s="20"/>
      <c r="E4575" s="20"/>
    </row>
    <row r="4576">
      <c r="A4576" s="184"/>
      <c r="B4576" s="185"/>
      <c r="C4576" s="185"/>
      <c r="D4576" s="20"/>
      <c r="E4576" s="20"/>
    </row>
    <row r="4577">
      <c r="A4577" s="184"/>
      <c r="B4577" s="185"/>
      <c r="C4577" s="185"/>
      <c r="D4577" s="20"/>
      <c r="E4577" s="20"/>
    </row>
    <row r="4578">
      <c r="A4578" s="184"/>
      <c r="B4578" s="185"/>
      <c r="C4578" s="185"/>
      <c r="D4578" s="20"/>
      <c r="E4578" s="20"/>
    </row>
    <row r="4579">
      <c r="A4579" s="184"/>
      <c r="B4579" s="185"/>
      <c r="C4579" s="185"/>
      <c r="D4579" s="20"/>
      <c r="E4579" s="20"/>
    </row>
    <row r="4580">
      <c r="A4580" s="184"/>
      <c r="B4580" s="185"/>
      <c r="C4580" s="185"/>
      <c r="D4580" s="20"/>
      <c r="E4580" s="20"/>
    </row>
    <row r="4581">
      <c r="A4581" s="184"/>
      <c r="B4581" s="185"/>
      <c r="C4581" s="185"/>
      <c r="D4581" s="20"/>
      <c r="E4581" s="20"/>
    </row>
    <row r="4582">
      <c r="A4582" s="184"/>
      <c r="B4582" s="185"/>
      <c r="C4582" s="185"/>
      <c r="D4582" s="20"/>
      <c r="E4582" s="20"/>
    </row>
    <row r="4583">
      <c r="A4583" s="184"/>
      <c r="B4583" s="185"/>
      <c r="C4583" s="185"/>
      <c r="D4583" s="20"/>
      <c r="E4583" s="20"/>
    </row>
    <row r="4584">
      <c r="A4584" s="184"/>
      <c r="B4584" s="185"/>
      <c r="C4584" s="185"/>
      <c r="D4584" s="20"/>
      <c r="E4584" s="20"/>
    </row>
    <row r="4585">
      <c r="A4585" s="184"/>
      <c r="B4585" s="185"/>
      <c r="C4585" s="185"/>
      <c r="D4585" s="20"/>
      <c r="E4585" s="20"/>
    </row>
    <row r="4586">
      <c r="A4586" s="184"/>
      <c r="B4586" s="185"/>
      <c r="C4586" s="185"/>
      <c r="D4586" s="20"/>
      <c r="E4586" s="20"/>
    </row>
    <row r="4587">
      <c r="A4587" s="184"/>
      <c r="B4587" s="185"/>
      <c r="C4587" s="185"/>
      <c r="D4587" s="20"/>
      <c r="E4587" s="20"/>
    </row>
    <row r="4588">
      <c r="A4588" s="184"/>
      <c r="B4588" s="185"/>
      <c r="C4588" s="185"/>
      <c r="D4588" s="20"/>
      <c r="E4588" s="20"/>
    </row>
    <row r="4589">
      <c r="A4589" s="184"/>
      <c r="B4589" s="185"/>
      <c r="C4589" s="185"/>
      <c r="D4589" s="20"/>
      <c r="E4589" s="20"/>
    </row>
    <row r="4590">
      <c r="A4590" s="184"/>
      <c r="B4590" s="185"/>
      <c r="C4590" s="185"/>
      <c r="D4590" s="20"/>
      <c r="E4590" s="20"/>
    </row>
    <row r="4591">
      <c r="A4591" s="184"/>
      <c r="B4591" s="185"/>
      <c r="C4591" s="185"/>
      <c r="D4591" s="20"/>
      <c r="E4591" s="20"/>
    </row>
    <row r="4592">
      <c r="A4592" s="184"/>
      <c r="B4592" s="185"/>
      <c r="C4592" s="185"/>
      <c r="D4592" s="20"/>
      <c r="E4592" s="20"/>
    </row>
    <row r="4593">
      <c r="A4593" s="184"/>
      <c r="B4593" s="185"/>
      <c r="C4593" s="185"/>
      <c r="D4593" s="20"/>
      <c r="E4593" s="20"/>
    </row>
    <row r="4594">
      <c r="A4594" s="184"/>
      <c r="B4594" s="185"/>
      <c r="C4594" s="185"/>
      <c r="D4594" s="20"/>
      <c r="E4594" s="20"/>
    </row>
    <row r="4595">
      <c r="A4595" s="184"/>
      <c r="B4595" s="185"/>
      <c r="C4595" s="185"/>
      <c r="D4595" s="20"/>
      <c r="E4595" s="20"/>
    </row>
    <row r="4596">
      <c r="A4596" s="184"/>
      <c r="B4596" s="185"/>
      <c r="C4596" s="185"/>
      <c r="D4596" s="20"/>
      <c r="E4596" s="20"/>
    </row>
    <row r="4597">
      <c r="A4597" s="184"/>
      <c r="B4597" s="185"/>
      <c r="C4597" s="185"/>
      <c r="D4597" s="20"/>
      <c r="E4597" s="20"/>
    </row>
    <row r="4598">
      <c r="A4598" s="184"/>
      <c r="B4598" s="185"/>
      <c r="C4598" s="185"/>
      <c r="D4598" s="20"/>
      <c r="E4598" s="20"/>
    </row>
    <row r="4599">
      <c r="A4599" s="184"/>
      <c r="B4599" s="185"/>
      <c r="C4599" s="185"/>
      <c r="D4599" s="20"/>
      <c r="E4599" s="20"/>
    </row>
    <row r="4600">
      <c r="A4600" s="184"/>
      <c r="B4600" s="185"/>
      <c r="C4600" s="185"/>
      <c r="D4600" s="20"/>
      <c r="E4600" s="20"/>
    </row>
    <row r="4601">
      <c r="A4601" s="184"/>
      <c r="B4601" s="185"/>
      <c r="C4601" s="185"/>
      <c r="D4601" s="20"/>
      <c r="E4601" s="20"/>
    </row>
    <row r="4602">
      <c r="A4602" s="184"/>
      <c r="B4602" s="185"/>
      <c r="C4602" s="185"/>
      <c r="D4602" s="20"/>
      <c r="E4602" s="20"/>
    </row>
    <row r="4603">
      <c r="A4603" s="184"/>
      <c r="B4603" s="185"/>
      <c r="C4603" s="185"/>
      <c r="D4603" s="20"/>
      <c r="E4603" s="20"/>
    </row>
    <row r="4604">
      <c r="A4604" s="184"/>
      <c r="B4604" s="185"/>
      <c r="C4604" s="185"/>
      <c r="D4604" s="20"/>
      <c r="E4604" s="20"/>
    </row>
    <row r="4605">
      <c r="A4605" s="184"/>
      <c r="B4605" s="185"/>
      <c r="C4605" s="185"/>
      <c r="D4605" s="20"/>
      <c r="E4605" s="20"/>
    </row>
    <row r="4606">
      <c r="A4606" s="184"/>
      <c r="B4606" s="185"/>
      <c r="C4606" s="185"/>
      <c r="D4606" s="20"/>
      <c r="E4606" s="20"/>
    </row>
    <row r="4607">
      <c r="A4607" s="184"/>
      <c r="B4607" s="185"/>
      <c r="C4607" s="185"/>
      <c r="D4607" s="20"/>
      <c r="E4607" s="20"/>
    </row>
    <row r="4608">
      <c r="A4608" s="184"/>
      <c r="B4608" s="185"/>
      <c r="C4608" s="185"/>
      <c r="D4608" s="20"/>
      <c r="E4608" s="20"/>
    </row>
    <row r="4609">
      <c r="A4609" s="184"/>
      <c r="B4609" s="185"/>
      <c r="C4609" s="185"/>
      <c r="D4609" s="20"/>
      <c r="E4609" s="20"/>
    </row>
    <row r="4610">
      <c r="A4610" s="184"/>
      <c r="B4610" s="185"/>
      <c r="C4610" s="185"/>
      <c r="D4610" s="20"/>
      <c r="E4610" s="20"/>
    </row>
    <row r="4611">
      <c r="A4611" s="184"/>
      <c r="B4611" s="185"/>
      <c r="C4611" s="185"/>
      <c r="D4611" s="20"/>
      <c r="E4611" s="20"/>
    </row>
    <row r="4612">
      <c r="A4612" s="184"/>
      <c r="B4612" s="185"/>
      <c r="C4612" s="185"/>
      <c r="D4612" s="20"/>
      <c r="E4612" s="20"/>
    </row>
    <row r="4613">
      <c r="A4613" s="184"/>
      <c r="B4613" s="185"/>
      <c r="C4613" s="185"/>
      <c r="D4613" s="20"/>
      <c r="E4613" s="20"/>
    </row>
    <row r="4614">
      <c r="A4614" s="184"/>
      <c r="B4614" s="185"/>
      <c r="C4614" s="185"/>
      <c r="D4614" s="20"/>
      <c r="E4614" s="20"/>
    </row>
    <row r="4615">
      <c r="A4615" s="184"/>
      <c r="B4615" s="185"/>
      <c r="C4615" s="185"/>
      <c r="D4615" s="20"/>
      <c r="E4615" s="20"/>
    </row>
    <row r="4616">
      <c r="A4616" s="184"/>
      <c r="B4616" s="185"/>
      <c r="C4616" s="185"/>
      <c r="D4616" s="20"/>
      <c r="E4616" s="20"/>
    </row>
    <row r="4617">
      <c r="A4617" s="184"/>
      <c r="B4617" s="185"/>
      <c r="C4617" s="185"/>
      <c r="D4617" s="20"/>
      <c r="E4617" s="20"/>
    </row>
    <row r="4618">
      <c r="A4618" s="184"/>
      <c r="B4618" s="185"/>
      <c r="C4618" s="185"/>
      <c r="D4618" s="20"/>
      <c r="E4618" s="20"/>
    </row>
    <row r="4619">
      <c r="A4619" s="184"/>
      <c r="B4619" s="185"/>
      <c r="C4619" s="185"/>
      <c r="D4619" s="20"/>
      <c r="E4619" s="20"/>
    </row>
    <row r="4620">
      <c r="A4620" s="184"/>
      <c r="B4620" s="185"/>
      <c r="C4620" s="185"/>
      <c r="D4620" s="20"/>
      <c r="E4620" s="20"/>
    </row>
    <row r="4621">
      <c r="A4621" s="184"/>
      <c r="B4621" s="185"/>
      <c r="C4621" s="185"/>
      <c r="D4621" s="20"/>
      <c r="E4621" s="20"/>
    </row>
    <row r="4622">
      <c r="A4622" s="184"/>
      <c r="B4622" s="185"/>
      <c r="C4622" s="185"/>
      <c r="D4622" s="20"/>
      <c r="E4622" s="20"/>
    </row>
    <row r="4623">
      <c r="A4623" s="184"/>
      <c r="B4623" s="185"/>
      <c r="C4623" s="185"/>
      <c r="D4623" s="20"/>
      <c r="E4623" s="20"/>
    </row>
    <row r="4624">
      <c r="A4624" s="184"/>
      <c r="B4624" s="185"/>
      <c r="C4624" s="185"/>
      <c r="D4624" s="20"/>
      <c r="E4624" s="20"/>
    </row>
    <row r="4625">
      <c r="A4625" s="184"/>
      <c r="B4625" s="185"/>
      <c r="C4625" s="185"/>
      <c r="D4625" s="20"/>
      <c r="E4625" s="20"/>
    </row>
    <row r="4626">
      <c r="A4626" s="184"/>
      <c r="B4626" s="185"/>
      <c r="C4626" s="185"/>
      <c r="D4626" s="20"/>
      <c r="E4626" s="20"/>
    </row>
    <row r="4627">
      <c r="A4627" s="184"/>
      <c r="B4627" s="185"/>
      <c r="C4627" s="185"/>
      <c r="D4627" s="20"/>
      <c r="E4627" s="20"/>
    </row>
    <row r="4628">
      <c r="A4628" s="184"/>
      <c r="B4628" s="185"/>
      <c r="C4628" s="185"/>
      <c r="D4628" s="20"/>
      <c r="E4628" s="20"/>
    </row>
    <row r="4629">
      <c r="A4629" s="184"/>
      <c r="B4629" s="185"/>
      <c r="C4629" s="185"/>
      <c r="D4629" s="20"/>
      <c r="E4629" s="20"/>
    </row>
    <row r="4630">
      <c r="A4630" s="184"/>
      <c r="B4630" s="185"/>
      <c r="C4630" s="185"/>
      <c r="D4630" s="20"/>
      <c r="E4630" s="20"/>
    </row>
    <row r="4631">
      <c r="A4631" s="184"/>
      <c r="B4631" s="185"/>
      <c r="C4631" s="185"/>
      <c r="D4631" s="20"/>
      <c r="E4631" s="20"/>
    </row>
    <row r="4632">
      <c r="A4632" s="184"/>
      <c r="B4632" s="185"/>
      <c r="C4632" s="185"/>
      <c r="D4632" s="20"/>
      <c r="E4632" s="20"/>
    </row>
    <row r="4633">
      <c r="A4633" s="184"/>
      <c r="B4633" s="185"/>
      <c r="C4633" s="185"/>
      <c r="D4633" s="20"/>
      <c r="E4633" s="20"/>
    </row>
    <row r="4634">
      <c r="A4634" s="184"/>
      <c r="B4634" s="185"/>
      <c r="C4634" s="185"/>
      <c r="D4634" s="20"/>
      <c r="E4634" s="20"/>
    </row>
    <row r="4635">
      <c r="A4635" s="184"/>
      <c r="B4635" s="185"/>
      <c r="C4635" s="185"/>
      <c r="D4635" s="20"/>
      <c r="E4635" s="20"/>
    </row>
    <row r="4636">
      <c r="A4636" s="184"/>
      <c r="B4636" s="185"/>
      <c r="C4636" s="185"/>
      <c r="D4636" s="20"/>
      <c r="E4636" s="20"/>
    </row>
    <row r="4637">
      <c r="A4637" s="184"/>
      <c r="B4637" s="185"/>
      <c r="C4637" s="185"/>
      <c r="D4637" s="20"/>
      <c r="E4637" s="20"/>
    </row>
    <row r="4638">
      <c r="A4638" s="184"/>
      <c r="B4638" s="185"/>
      <c r="C4638" s="185"/>
      <c r="D4638" s="20"/>
      <c r="E4638" s="20"/>
    </row>
    <row r="4639">
      <c r="A4639" s="184"/>
      <c r="B4639" s="185"/>
      <c r="C4639" s="185"/>
      <c r="D4639" s="20"/>
      <c r="E4639" s="20"/>
    </row>
    <row r="4640">
      <c r="A4640" s="184"/>
      <c r="B4640" s="185"/>
      <c r="C4640" s="185"/>
      <c r="D4640" s="20"/>
      <c r="E4640" s="20"/>
    </row>
    <row r="4641">
      <c r="A4641" s="184"/>
      <c r="B4641" s="185"/>
      <c r="C4641" s="185"/>
      <c r="D4641" s="20"/>
      <c r="E4641" s="20"/>
    </row>
    <row r="4642">
      <c r="A4642" s="184"/>
      <c r="B4642" s="185"/>
      <c r="C4642" s="185"/>
      <c r="D4642" s="20"/>
      <c r="E4642" s="20"/>
    </row>
    <row r="4643">
      <c r="A4643" s="184"/>
      <c r="B4643" s="185"/>
      <c r="C4643" s="185"/>
      <c r="D4643" s="20"/>
      <c r="E4643" s="20"/>
    </row>
    <row r="4644">
      <c r="A4644" s="184"/>
      <c r="B4644" s="185"/>
      <c r="C4644" s="185"/>
      <c r="D4644" s="20"/>
      <c r="E4644" s="20"/>
    </row>
    <row r="4645">
      <c r="A4645" s="184"/>
      <c r="B4645" s="185"/>
      <c r="C4645" s="185"/>
      <c r="D4645" s="20"/>
      <c r="E4645" s="20"/>
    </row>
    <row r="4646">
      <c r="A4646" s="184"/>
      <c r="B4646" s="185"/>
      <c r="C4646" s="185"/>
      <c r="D4646" s="20"/>
      <c r="E4646" s="20"/>
    </row>
    <row r="4647">
      <c r="A4647" s="184"/>
      <c r="B4647" s="185"/>
      <c r="C4647" s="185"/>
      <c r="D4647" s="20"/>
      <c r="E4647" s="20"/>
    </row>
    <row r="4648">
      <c r="A4648" s="184"/>
      <c r="B4648" s="185"/>
      <c r="C4648" s="185"/>
      <c r="D4648" s="20"/>
      <c r="E4648" s="20"/>
    </row>
    <row r="4649">
      <c r="A4649" s="184"/>
      <c r="B4649" s="185"/>
      <c r="C4649" s="185"/>
      <c r="D4649" s="20"/>
      <c r="E4649" s="20"/>
    </row>
    <row r="4650">
      <c r="A4650" s="184"/>
      <c r="B4650" s="185"/>
      <c r="C4650" s="185"/>
      <c r="D4650" s="20"/>
      <c r="E4650" s="20"/>
    </row>
    <row r="4651">
      <c r="A4651" s="184"/>
      <c r="B4651" s="185"/>
      <c r="C4651" s="185"/>
      <c r="D4651" s="20"/>
      <c r="E4651" s="20"/>
    </row>
    <row r="4652">
      <c r="A4652" s="184"/>
      <c r="B4652" s="185"/>
      <c r="C4652" s="185"/>
      <c r="D4652" s="20"/>
      <c r="E4652" s="20"/>
    </row>
    <row r="4653">
      <c r="A4653" s="184"/>
      <c r="B4653" s="185"/>
      <c r="C4653" s="185"/>
      <c r="D4653" s="20"/>
      <c r="E4653" s="20"/>
    </row>
    <row r="4654">
      <c r="A4654" s="184"/>
      <c r="B4654" s="185"/>
      <c r="C4654" s="185"/>
      <c r="D4654" s="20"/>
      <c r="E4654" s="20"/>
    </row>
    <row r="4655">
      <c r="A4655" s="184"/>
      <c r="B4655" s="185"/>
      <c r="C4655" s="185"/>
      <c r="D4655" s="20"/>
      <c r="E4655" s="20"/>
    </row>
    <row r="4656">
      <c r="A4656" s="184"/>
      <c r="B4656" s="185"/>
      <c r="C4656" s="185"/>
      <c r="D4656" s="20"/>
      <c r="E4656" s="20"/>
    </row>
    <row r="4657">
      <c r="A4657" s="184"/>
      <c r="B4657" s="185"/>
      <c r="C4657" s="185"/>
      <c r="D4657" s="20"/>
      <c r="E4657" s="20"/>
    </row>
    <row r="4658">
      <c r="A4658" s="184"/>
      <c r="B4658" s="185"/>
      <c r="C4658" s="185"/>
      <c r="D4658" s="20"/>
      <c r="E4658" s="20"/>
    </row>
    <row r="4659">
      <c r="A4659" s="184"/>
      <c r="B4659" s="185"/>
      <c r="C4659" s="185"/>
      <c r="D4659" s="20"/>
      <c r="E4659" s="20"/>
    </row>
    <row r="4660">
      <c r="A4660" s="184"/>
      <c r="B4660" s="185"/>
      <c r="C4660" s="185"/>
      <c r="D4660" s="20"/>
      <c r="E4660" s="20"/>
    </row>
    <row r="4661">
      <c r="A4661" s="184"/>
      <c r="B4661" s="185"/>
      <c r="C4661" s="185"/>
      <c r="D4661" s="20"/>
      <c r="E4661" s="20"/>
    </row>
    <row r="4662">
      <c r="A4662" s="184"/>
      <c r="B4662" s="185"/>
      <c r="C4662" s="185"/>
      <c r="D4662" s="20"/>
      <c r="E4662" s="20"/>
    </row>
    <row r="4663">
      <c r="A4663" s="184"/>
      <c r="B4663" s="185"/>
      <c r="C4663" s="185"/>
      <c r="D4663" s="20"/>
      <c r="E4663" s="20"/>
    </row>
    <row r="4664">
      <c r="A4664" s="184"/>
      <c r="B4664" s="185"/>
      <c r="C4664" s="185"/>
      <c r="D4664" s="20"/>
      <c r="E4664" s="20"/>
    </row>
    <row r="4665">
      <c r="A4665" s="184"/>
      <c r="B4665" s="185"/>
      <c r="C4665" s="185"/>
      <c r="D4665" s="20"/>
      <c r="E4665" s="20"/>
    </row>
    <row r="4666">
      <c r="A4666" s="184"/>
      <c r="B4666" s="185"/>
      <c r="C4666" s="185"/>
      <c r="D4666" s="20"/>
      <c r="E4666" s="20"/>
    </row>
    <row r="4667">
      <c r="A4667" s="184"/>
      <c r="B4667" s="185"/>
      <c r="C4667" s="185"/>
      <c r="D4667" s="20"/>
      <c r="E4667" s="20"/>
    </row>
    <row r="4668">
      <c r="A4668" s="184"/>
      <c r="B4668" s="185"/>
      <c r="C4668" s="185"/>
      <c r="D4668" s="20"/>
      <c r="E4668" s="20"/>
    </row>
    <row r="4669">
      <c r="A4669" s="184"/>
      <c r="B4669" s="185"/>
      <c r="C4669" s="185"/>
      <c r="D4669" s="20"/>
      <c r="E4669" s="20"/>
    </row>
    <row r="4670">
      <c r="A4670" s="184"/>
      <c r="B4670" s="185"/>
      <c r="C4670" s="185"/>
      <c r="D4670" s="20"/>
      <c r="E4670" s="20"/>
    </row>
    <row r="4671">
      <c r="A4671" s="184"/>
      <c r="B4671" s="185"/>
      <c r="C4671" s="185"/>
      <c r="D4671" s="20"/>
      <c r="E4671" s="20"/>
    </row>
    <row r="4672">
      <c r="A4672" s="184"/>
      <c r="B4672" s="185"/>
      <c r="C4672" s="185"/>
      <c r="D4672" s="20"/>
      <c r="E4672" s="20"/>
    </row>
    <row r="4673">
      <c r="A4673" s="184"/>
      <c r="B4673" s="185"/>
      <c r="C4673" s="185"/>
      <c r="D4673" s="20"/>
      <c r="E4673" s="20"/>
    </row>
    <row r="4674">
      <c r="A4674" s="184"/>
      <c r="B4674" s="185"/>
      <c r="C4674" s="185"/>
      <c r="D4674" s="20"/>
      <c r="E4674" s="20"/>
    </row>
    <row r="4675">
      <c r="A4675" s="184"/>
      <c r="B4675" s="185"/>
      <c r="C4675" s="185"/>
      <c r="D4675" s="20"/>
      <c r="E4675" s="20"/>
    </row>
    <row r="4676">
      <c r="A4676" s="184"/>
      <c r="B4676" s="185"/>
      <c r="C4676" s="185"/>
      <c r="D4676" s="20"/>
      <c r="E4676" s="20"/>
    </row>
    <row r="4677">
      <c r="A4677" s="184"/>
      <c r="B4677" s="185"/>
      <c r="C4677" s="185"/>
      <c r="D4677" s="20"/>
      <c r="E4677" s="20"/>
    </row>
    <row r="4678">
      <c r="A4678" s="184"/>
      <c r="B4678" s="185"/>
      <c r="C4678" s="185"/>
      <c r="D4678" s="20"/>
      <c r="E4678" s="20"/>
    </row>
    <row r="4679">
      <c r="A4679" s="184"/>
      <c r="B4679" s="185"/>
      <c r="C4679" s="185"/>
      <c r="D4679" s="20"/>
      <c r="E4679" s="20"/>
    </row>
    <row r="4680">
      <c r="A4680" s="184"/>
      <c r="B4680" s="185"/>
      <c r="C4680" s="185"/>
      <c r="D4680" s="20"/>
      <c r="E4680" s="20"/>
    </row>
    <row r="4681">
      <c r="A4681" s="184"/>
      <c r="B4681" s="185"/>
      <c r="C4681" s="185"/>
      <c r="D4681" s="20"/>
      <c r="E4681" s="20"/>
    </row>
    <row r="4682">
      <c r="A4682" s="184"/>
      <c r="B4682" s="185"/>
      <c r="C4682" s="185"/>
      <c r="D4682" s="20"/>
      <c r="E4682" s="20"/>
    </row>
    <row r="4683">
      <c r="A4683" s="184"/>
      <c r="B4683" s="185"/>
      <c r="C4683" s="185"/>
      <c r="D4683" s="20"/>
      <c r="E4683" s="20"/>
    </row>
    <row r="4684">
      <c r="A4684" s="184"/>
      <c r="B4684" s="185"/>
      <c r="C4684" s="185"/>
      <c r="D4684" s="20"/>
      <c r="E4684" s="20"/>
    </row>
    <row r="4685">
      <c r="A4685" s="184"/>
      <c r="B4685" s="185"/>
      <c r="C4685" s="185"/>
      <c r="D4685" s="20"/>
      <c r="E4685" s="20"/>
    </row>
    <row r="4686">
      <c r="A4686" s="184"/>
      <c r="B4686" s="185"/>
      <c r="C4686" s="185"/>
      <c r="D4686" s="20"/>
      <c r="E4686" s="20"/>
    </row>
    <row r="4687">
      <c r="A4687" s="184"/>
      <c r="B4687" s="185"/>
      <c r="C4687" s="185"/>
      <c r="D4687" s="20"/>
      <c r="E4687" s="20"/>
    </row>
    <row r="4688">
      <c r="A4688" s="184"/>
      <c r="B4688" s="185"/>
      <c r="C4688" s="185"/>
      <c r="D4688" s="20"/>
      <c r="E4688" s="20"/>
    </row>
    <row r="4689">
      <c r="A4689" s="184"/>
      <c r="B4689" s="185"/>
      <c r="C4689" s="185"/>
      <c r="D4689" s="20"/>
      <c r="E4689" s="20"/>
    </row>
    <row r="4690">
      <c r="A4690" s="184"/>
      <c r="B4690" s="185"/>
      <c r="C4690" s="185"/>
      <c r="D4690" s="20"/>
      <c r="E4690" s="20"/>
    </row>
    <row r="4691">
      <c r="A4691" s="184"/>
      <c r="B4691" s="185"/>
      <c r="C4691" s="185"/>
      <c r="D4691" s="20"/>
      <c r="E4691" s="20"/>
    </row>
    <row r="4692">
      <c r="A4692" s="184"/>
      <c r="B4692" s="185"/>
      <c r="C4692" s="185"/>
      <c r="D4692" s="20"/>
      <c r="E4692" s="20"/>
    </row>
    <row r="4693">
      <c r="A4693" s="184"/>
      <c r="B4693" s="185"/>
      <c r="C4693" s="185"/>
      <c r="D4693" s="20"/>
      <c r="E4693" s="20"/>
    </row>
    <row r="4694">
      <c r="A4694" s="184"/>
      <c r="B4694" s="185"/>
      <c r="C4694" s="185"/>
      <c r="D4694" s="20"/>
      <c r="E4694" s="20"/>
    </row>
    <row r="4695">
      <c r="A4695" s="184"/>
      <c r="B4695" s="185"/>
      <c r="C4695" s="185"/>
      <c r="D4695" s="20"/>
      <c r="E4695" s="20"/>
    </row>
    <row r="4696">
      <c r="A4696" s="184"/>
      <c r="B4696" s="185"/>
      <c r="C4696" s="185"/>
      <c r="D4696" s="20"/>
      <c r="E4696" s="20"/>
    </row>
    <row r="4697">
      <c r="A4697" s="184"/>
      <c r="B4697" s="185"/>
      <c r="C4697" s="185"/>
      <c r="D4697" s="20"/>
      <c r="E4697" s="20"/>
    </row>
    <row r="4698">
      <c r="A4698" s="184"/>
      <c r="B4698" s="185"/>
      <c r="C4698" s="185"/>
      <c r="D4698" s="20"/>
      <c r="E4698" s="20"/>
    </row>
    <row r="4699">
      <c r="A4699" s="184"/>
      <c r="B4699" s="185"/>
      <c r="C4699" s="185"/>
      <c r="D4699" s="20"/>
      <c r="E4699" s="20"/>
    </row>
    <row r="4700">
      <c r="A4700" s="184"/>
      <c r="B4700" s="185"/>
      <c r="C4700" s="185"/>
      <c r="D4700" s="20"/>
      <c r="E4700" s="20"/>
    </row>
    <row r="4701">
      <c r="A4701" s="184"/>
      <c r="B4701" s="185"/>
      <c r="C4701" s="185"/>
      <c r="D4701" s="20"/>
      <c r="E4701" s="20"/>
    </row>
    <row r="4702">
      <c r="A4702" s="184"/>
      <c r="B4702" s="185"/>
      <c r="C4702" s="185"/>
      <c r="D4702" s="20"/>
      <c r="E4702" s="20"/>
    </row>
    <row r="4703">
      <c r="A4703" s="184"/>
      <c r="B4703" s="185"/>
      <c r="C4703" s="185"/>
      <c r="D4703" s="20"/>
      <c r="E4703" s="20"/>
    </row>
    <row r="4704">
      <c r="A4704" s="184"/>
      <c r="B4704" s="185"/>
      <c r="C4704" s="185"/>
      <c r="D4704" s="20"/>
      <c r="E4704" s="20"/>
    </row>
    <row r="4705">
      <c r="A4705" s="184"/>
      <c r="B4705" s="185"/>
      <c r="C4705" s="185"/>
      <c r="D4705" s="20"/>
      <c r="E4705" s="20"/>
    </row>
    <row r="4706">
      <c r="A4706" s="184"/>
      <c r="B4706" s="185"/>
      <c r="C4706" s="185"/>
      <c r="D4706" s="20"/>
      <c r="E4706" s="20"/>
    </row>
    <row r="4707">
      <c r="A4707" s="184"/>
      <c r="B4707" s="185"/>
      <c r="C4707" s="185"/>
      <c r="D4707" s="20"/>
      <c r="E4707" s="20"/>
    </row>
    <row r="4708">
      <c r="A4708" s="184"/>
      <c r="B4708" s="185"/>
      <c r="C4708" s="185"/>
      <c r="D4708" s="20"/>
      <c r="E4708" s="20"/>
    </row>
    <row r="4709">
      <c r="A4709" s="184"/>
      <c r="B4709" s="185"/>
      <c r="C4709" s="185"/>
      <c r="D4709" s="20"/>
      <c r="E4709" s="20"/>
    </row>
    <row r="4710">
      <c r="A4710" s="184"/>
      <c r="B4710" s="185"/>
      <c r="C4710" s="185"/>
      <c r="D4710" s="20"/>
      <c r="E4710" s="20"/>
    </row>
    <row r="4711">
      <c r="A4711" s="184"/>
      <c r="B4711" s="185"/>
      <c r="C4711" s="185"/>
      <c r="D4711" s="20"/>
      <c r="E4711" s="20"/>
    </row>
    <row r="4712">
      <c r="A4712" s="184"/>
      <c r="B4712" s="185"/>
      <c r="C4712" s="185"/>
      <c r="D4712" s="20"/>
      <c r="E4712" s="20"/>
    </row>
    <row r="4713">
      <c r="A4713" s="184"/>
      <c r="B4713" s="185"/>
      <c r="C4713" s="185"/>
      <c r="D4713" s="20"/>
      <c r="E4713" s="20"/>
    </row>
    <row r="4714">
      <c r="A4714" s="184"/>
      <c r="B4714" s="185"/>
      <c r="C4714" s="185"/>
      <c r="D4714" s="20"/>
      <c r="E4714" s="20"/>
    </row>
    <row r="4715">
      <c r="A4715" s="184"/>
      <c r="B4715" s="185"/>
      <c r="C4715" s="185"/>
      <c r="D4715" s="20"/>
      <c r="E4715" s="20"/>
    </row>
    <row r="4716">
      <c r="A4716" s="184"/>
      <c r="B4716" s="185"/>
      <c r="C4716" s="185"/>
      <c r="D4716" s="20"/>
      <c r="E4716" s="20"/>
    </row>
    <row r="4717">
      <c r="A4717" s="184"/>
      <c r="B4717" s="185"/>
      <c r="C4717" s="185"/>
      <c r="D4717" s="20"/>
      <c r="E4717" s="20"/>
    </row>
    <row r="4718">
      <c r="A4718" s="184"/>
      <c r="B4718" s="185"/>
      <c r="C4718" s="185"/>
      <c r="D4718" s="20"/>
      <c r="E4718" s="20"/>
    </row>
    <row r="4719">
      <c r="A4719" s="184"/>
      <c r="B4719" s="185"/>
      <c r="C4719" s="185"/>
      <c r="D4719" s="20"/>
      <c r="E4719" s="20"/>
    </row>
    <row r="4720">
      <c r="A4720" s="184"/>
      <c r="B4720" s="185"/>
      <c r="C4720" s="185"/>
      <c r="D4720" s="20"/>
      <c r="E4720" s="20"/>
    </row>
    <row r="4721">
      <c r="A4721" s="184"/>
      <c r="B4721" s="185"/>
      <c r="C4721" s="185"/>
      <c r="D4721" s="20"/>
      <c r="E4721" s="20"/>
    </row>
    <row r="4722">
      <c r="A4722" s="184"/>
      <c r="B4722" s="185"/>
      <c r="C4722" s="185"/>
      <c r="D4722" s="20"/>
      <c r="E4722" s="20"/>
    </row>
    <row r="4723">
      <c r="A4723" s="184"/>
      <c r="B4723" s="185"/>
      <c r="C4723" s="185"/>
      <c r="D4723" s="20"/>
      <c r="E4723" s="20"/>
    </row>
    <row r="4724">
      <c r="A4724" s="184"/>
      <c r="B4724" s="185"/>
      <c r="C4724" s="185"/>
      <c r="D4724" s="20"/>
      <c r="E4724" s="20"/>
    </row>
    <row r="4725">
      <c r="A4725" s="184"/>
      <c r="B4725" s="185"/>
      <c r="C4725" s="185"/>
      <c r="D4725" s="20"/>
      <c r="E4725" s="20"/>
    </row>
    <row r="4726">
      <c r="A4726" s="184"/>
      <c r="B4726" s="185"/>
      <c r="C4726" s="185"/>
      <c r="D4726" s="20"/>
      <c r="E4726" s="20"/>
    </row>
    <row r="4727">
      <c r="A4727" s="184"/>
      <c r="B4727" s="185"/>
      <c r="C4727" s="185"/>
      <c r="D4727" s="20"/>
      <c r="E4727" s="20"/>
    </row>
    <row r="4728">
      <c r="A4728" s="184"/>
      <c r="B4728" s="185"/>
      <c r="C4728" s="185"/>
      <c r="D4728" s="20"/>
      <c r="E4728" s="20"/>
    </row>
    <row r="4729">
      <c r="A4729" s="184"/>
      <c r="B4729" s="185"/>
      <c r="C4729" s="185"/>
      <c r="D4729" s="20"/>
      <c r="E4729" s="20"/>
    </row>
    <row r="4730">
      <c r="A4730" s="184"/>
      <c r="B4730" s="185"/>
      <c r="C4730" s="185"/>
      <c r="D4730" s="20"/>
      <c r="E4730" s="20"/>
    </row>
    <row r="4731">
      <c r="A4731" s="184"/>
      <c r="B4731" s="185"/>
      <c r="C4731" s="185"/>
      <c r="D4731" s="20"/>
      <c r="E4731" s="20"/>
    </row>
    <row r="4732">
      <c r="A4732" s="184"/>
      <c r="B4732" s="185"/>
      <c r="C4732" s="185"/>
      <c r="D4732" s="20"/>
      <c r="E4732" s="20"/>
    </row>
    <row r="4733">
      <c r="A4733" s="184"/>
      <c r="B4733" s="185"/>
      <c r="C4733" s="185"/>
      <c r="D4733" s="20"/>
      <c r="E4733" s="20"/>
    </row>
    <row r="4734">
      <c r="A4734" s="184"/>
      <c r="B4734" s="185"/>
      <c r="C4734" s="185"/>
      <c r="D4734" s="20"/>
      <c r="E4734" s="20"/>
    </row>
    <row r="4735">
      <c r="A4735" s="184"/>
      <c r="B4735" s="185"/>
      <c r="C4735" s="185"/>
      <c r="D4735" s="20"/>
      <c r="E4735" s="20"/>
    </row>
    <row r="4736">
      <c r="A4736" s="184"/>
      <c r="B4736" s="185"/>
      <c r="C4736" s="185"/>
      <c r="D4736" s="20"/>
      <c r="E4736" s="20"/>
    </row>
    <row r="4737">
      <c r="A4737" s="184"/>
      <c r="B4737" s="185"/>
      <c r="C4737" s="185"/>
      <c r="D4737" s="20"/>
      <c r="E4737" s="20"/>
    </row>
    <row r="4738">
      <c r="A4738" s="184"/>
      <c r="B4738" s="185"/>
      <c r="C4738" s="185"/>
      <c r="D4738" s="20"/>
      <c r="E4738" s="20"/>
    </row>
    <row r="4739">
      <c r="A4739" s="184"/>
      <c r="B4739" s="185"/>
      <c r="C4739" s="185"/>
      <c r="D4739" s="20"/>
      <c r="E4739" s="20"/>
    </row>
    <row r="4740">
      <c r="A4740" s="184"/>
      <c r="B4740" s="185"/>
      <c r="C4740" s="185"/>
      <c r="D4740" s="20"/>
      <c r="E4740" s="20"/>
    </row>
    <row r="4741">
      <c r="A4741" s="184"/>
      <c r="B4741" s="185"/>
      <c r="C4741" s="185"/>
      <c r="D4741" s="20"/>
      <c r="E4741" s="20"/>
    </row>
    <row r="4742">
      <c r="A4742" s="184"/>
      <c r="B4742" s="185"/>
      <c r="C4742" s="185"/>
      <c r="D4742" s="20"/>
      <c r="E4742" s="20"/>
    </row>
    <row r="4743">
      <c r="A4743" s="184"/>
      <c r="B4743" s="185"/>
      <c r="C4743" s="185"/>
      <c r="D4743" s="20"/>
      <c r="E4743" s="20"/>
    </row>
    <row r="4744">
      <c r="A4744" s="184"/>
      <c r="B4744" s="185"/>
      <c r="C4744" s="185"/>
      <c r="D4744" s="20"/>
      <c r="E4744" s="20"/>
    </row>
    <row r="4745">
      <c r="A4745" s="184"/>
      <c r="B4745" s="185"/>
      <c r="C4745" s="185"/>
      <c r="D4745" s="20"/>
      <c r="E4745" s="20"/>
    </row>
    <row r="4746">
      <c r="A4746" s="184"/>
      <c r="B4746" s="185"/>
      <c r="C4746" s="185"/>
      <c r="D4746" s="20"/>
      <c r="E4746" s="20"/>
    </row>
    <row r="4747">
      <c r="A4747" s="184"/>
      <c r="B4747" s="185"/>
      <c r="C4747" s="185"/>
      <c r="D4747" s="20"/>
      <c r="E4747" s="20"/>
    </row>
    <row r="4748">
      <c r="A4748" s="184"/>
      <c r="B4748" s="185"/>
      <c r="C4748" s="185"/>
      <c r="D4748" s="20"/>
      <c r="E4748" s="20"/>
    </row>
    <row r="4749">
      <c r="A4749" s="184"/>
      <c r="B4749" s="185"/>
      <c r="C4749" s="185"/>
      <c r="D4749" s="20"/>
      <c r="E4749" s="20"/>
    </row>
    <row r="4750">
      <c r="A4750" s="184"/>
      <c r="B4750" s="185"/>
      <c r="C4750" s="185"/>
      <c r="D4750" s="20"/>
      <c r="E4750" s="20"/>
    </row>
    <row r="4751">
      <c r="A4751" s="184"/>
      <c r="B4751" s="185"/>
      <c r="C4751" s="185"/>
      <c r="D4751" s="20"/>
      <c r="E4751" s="20"/>
    </row>
    <row r="4752">
      <c r="A4752" s="184"/>
      <c r="B4752" s="185"/>
      <c r="C4752" s="185"/>
      <c r="D4752" s="20"/>
      <c r="E4752" s="20"/>
    </row>
    <row r="4753">
      <c r="A4753" s="184"/>
      <c r="B4753" s="185"/>
      <c r="C4753" s="185"/>
      <c r="D4753" s="20"/>
      <c r="E4753" s="20"/>
    </row>
    <row r="4754">
      <c r="A4754" s="184"/>
      <c r="B4754" s="185"/>
      <c r="C4754" s="185"/>
      <c r="D4754" s="20"/>
      <c r="E4754" s="20"/>
    </row>
    <row r="4755">
      <c r="A4755" s="184"/>
      <c r="B4755" s="185"/>
      <c r="C4755" s="185"/>
      <c r="D4755" s="20"/>
      <c r="E4755" s="20"/>
    </row>
    <row r="4756">
      <c r="A4756" s="184"/>
      <c r="B4756" s="185"/>
      <c r="C4756" s="185"/>
      <c r="D4756" s="20"/>
      <c r="E4756" s="20"/>
    </row>
    <row r="4757">
      <c r="A4757" s="184"/>
      <c r="B4757" s="185"/>
      <c r="C4757" s="185"/>
      <c r="D4757" s="20"/>
      <c r="E4757" s="20"/>
    </row>
    <row r="4758">
      <c r="A4758" s="184"/>
      <c r="B4758" s="185"/>
      <c r="C4758" s="185"/>
      <c r="D4758" s="20"/>
      <c r="E4758" s="20"/>
    </row>
    <row r="4759">
      <c r="A4759" s="184"/>
      <c r="B4759" s="185"/>
      <c r="C4759" s="185"/>
      <c r="D4759" s="20"/>
      <c r="E4759" s="20"/>
    </row>
    <row r="4760">
      <c r="A4760" s="184"/>
      <c r="B4760" s="185"/>
      <c r="C4760" s="185"/>
      <c r="D4760" s="20"/>
      <c r="E4760" s="20"/>
    </row>
    <row r="4761">
      <c r="A4761" s="184"/>
      <c r="B4761" s="185"/>
      <c r="C4761" s="185"/>
      <c r="D4761" s="20"/>
      <c r="E4761" s="20"/>
    </row>
    <row r="4762">
      <c r="A4762" s="184"/>
      <c r="B4762" s="185"/>
      <c r="C4762" s="185"/>
      <c r="D4762" s="20"/>
      <c r="E4762" s="20"/>
    </row>
    <row r="4763">
      <c r="A4763" s="184"/>
      <c r="B4763" s="185"/>
      <c r="C4763" s="185"/>
      <c r="D4763" s="20"/>
      <c r="E4763" s="20"/>
    </row>
    <row r="4764">
      <c r="A4764" s="184"/>
      <c r="B4764" s="185"/>
      <c r="C4764" s="185"/>
      <c r="D4764" s="20"/>
      <c r="E4764" s="20"/>
    </row>
    <row r="4765">
      <c r="A4765" s="184"/>
      <c r="B4765" s="185"/>
      <c r="C4765" s="185"/>
      <c r="D4765" s="20"/>
      <c r="E4765" s="20"/>
    </row>
    <row r="4766">
      <c r="A4766" s="184"/>
      <c r="B4766" s="185"/>
      <c r="C4766" s="185"/>
      <c r="D4766" s="20"/>
      <c r="E4766" s="20"/>
    </row>
    <row r="4767">
      <c r="A4767" s="184"/>
      <c r="B4767" s="185"/>
      <c r="C4767" s="185"/>
      <c r="D4767" s="20"/>
      <c r="E4767" s="20"/>
    </row>
    <row r="4768">
      <c r="A4768" s="184"/>
      <c r="B4768" s="185"/>
      <c r="C4768" s="185"/>
      <c r="D4768" s="20"/>
      <c r="E4768" s="20"/>
    </row>
    <row r="4769">
      <c r="A4769" s="184"/>
      <c r="B4769" s="185"/>
      <c r="C4769" s="185"/>
      <c r="D4769" s="20"/>
      <c r="E4769" s="20"/>
    </row>
    <row r="4770">
      <c r="A4770" s="184"/>
      <c r="B4770" s="185"/>
      <c r="C4770" s="185"/>
      <c r="D4770" s="20"/>
      <c r="E4770" s="20"/>
    </row>
    <row r="4771">
      <c r="A4771" s="184"/>
      <c r="B4771" s="185"/>
      <c r="C4771" s="185"/>
      <c r="D4771" s="20"/>
      <c r="E4771" s="20"/>
    </row>
    <row r="4772">
      <c r="A4772" s="184"/>
      <c r="B4772" s="185"/>
      <c r="C4772" s="185"/>
      <c r="D4772" s="20"/>
      <c r="E4772" s="20"/>
    </row>
    <row r="4773">
      <c r="A4773" s="184"/>
      <c r="B4773" s="185"/>
      <c r="C4773" s="185"/>
      <c r="D4773" s="20"/>
      <c r="E4773" s="20"/>
    </row>
    <row r="4774">
      <c r="A4774" s="184"/>
      <c r="B4774" s="185"/>
      <c r="C4774" s="185"/>
      <c r="D4774" s="20"/>
      <c r="E4774" s="20"/>
    </row>
    <row r="4775">
      <c r="A4775" s="184"/>
      <c r="B4775" s="185"/>
      <c r="C4775" s="185"/>
      <c r="D4775" s="20"/>
      <c r="E4775" s="20"/>
    </row>
    <row r="4776">
      <c r="A4776" s="184"/>
      <c r="B4776" s="185"/>
      <c r="C4776" s="185"/>
      <c r="D4776" s="20"/>
      <c r="E4776" s="20"/>
    </row>
    <row r="4777">
      <c r="A4777" s="184"/>
      <c r="B4777" s="185"/>
      <c r="C4777" s="185"/>
      <c r="D4777" s="20"/>
      <c r="E4777" s="20"/>
    </row>
    <row r="4778">
      <c r="A4778" s="184"/>
      <c r="B4778" s="185"/>
      <c r="C4778" s="185"/>
      <c r="D4778" s="20"/>
      <c r="E4778" s="20"/>
    </row>
    <row r="4779">
      <c r="A4779" s="184"/>
      <c r="B4779" s="185"/>
      <c r="C4779" s="185"/>
      <c r="D4779" s="20"/>
      <c r="E4779" s="20"/>
    </row>
    <row r="4780">
      <c r="A4780" s="184"/>
      <c r="B4780" s="185"/>
      <c r="C4780" s="185"/>
      <c r="D4780" s="20"/>
      <c r="E4780" s="20"/>
    </row>
    <row r="4781">
      <c r="A4781" s="184"/>
      <c r="B4781" s="185"/>
      <c r="C4781" s="185"/>
      <c r="D4781" s="20"/>
      <c r="E4781" s="20"/>
    </row>
    <row r="4782">
      <c r="A4782" s="184"/>
      <c r="B4782" s="185"/>
      <c r="C4782" s="185"/>
      <c r="D4782" s="20"/>
      <c r="E4782" s="20"/>
    </row>
    <row r="4783">
      <c r="A4783" s="184"/>
      <c r="B4783" s="185"/>
      <c r="C4783" s="185"/>
      <c r="D4783" s="20"/>
      <c r="E4783" s="20"/>
    </row>
    <row r="4784">
      <c r="A4784" s="184"/>
      <c r="B4784" s="185"/>
      <c r="C4784" s="185"/>
      <c r="D4784" s="20"/>
      <c r="E4784" s="20"/>
    </row>
    <row r="4785">
      <c r="A4785" s="184"/>
      <c r="B4785" s="185"/>
      <c r="C4785" s="185"/>
      <c r="D4785" s="20"/>
      <c r="E4785" s="20"/>
    </row>
    <row r="4786">
      <c r="A4786" s="184"/>
      <c r="B4786" s="185"/>
      <c r="C4786" s="185"/>
      <c r="D4786" s="20"/>
      <c r="E4786" s="20"/>
    </row>
    <row r="4787">
      <c r="A4787" s="184"/>
      <c r="B4787" s="185"/>
      <c r="C4787" s="185"/>
      <c r="D4787" s="20"/>
      <c r="E4787" s="20"/>
    </row>
    <row r="4788">
      <c r="A4788" s="184"/>
      <c r="B4788" s="185"/>
      <c r="C4788" s="185"/>
      <c r="D4788" s="20"/>
      <c r="E4788" s="20"/>
    </row>
    <row r="4789">
      <c r="A4789" s="184"/>
      <c r="B4789" s="185"/>
      <c r="C4789" s="185"/>
      <c r="D4789" s="20"/>
      <c r="E4789" s="20"/>
    </row>
    <row r="4790">
      <c r="A4790" s="184"/>
      <c r="B4790" s="185"/>
      <c r="C4790" s="185"/>
      <c r="D4790" s="20"/>
      <c r="E4790" s="20"/>
    </row>
    <row r="4791">
      <c r="A4791" s="184"/>
      <c r="B4791" s="185"/>
      <c r="C4791" s="185"/>
      <c r="D4791" s="20"/>
      <c r="E4791" s="20"/>
    </row>
    <row r="4792">
      <c r="A4792" s="184"/>
      <c r="B4792" s="185"/>
      <c r="C4792" s="185"/>
      <c r="D4792" s="20"/>
      <c r="E4792" s="20"/>
    </row>
    <row r="4793">
      <c r="A4793" s="184"/>
      <c r="B4793" s="185"/>
      <c r="C4793" s="185"/>
      <c r="D4793" s="20"/>
      <c r="E4793" s="20"/>
    </row>
    <row r="4794">
      <c r="A4794" s="184"/>
      <c r="B4794" s="185"/>
      <c r="C4794" s="185"/>
      <c r="D4794" s="20"/>
      <c r="E4794" s="20"/>
    </row>
    <row r="4795">
      <c r="A4795" s="184"/>
      <c r="B4795" s="185"/>
      <c r="C4795" s="185"/>
      <c r="D4795" s="20"/>
      <c r="E4795" s="20"/>
    </row>
    <row r="4796">
      <c r="A4796" s="184"/>
      <c r="B4796" s="185"/>
      <c r="C4796" s="185"/>
      <c r="D4796" s="20"/>
      <c r="E4796" s="20"/>
    </row>
    <row r="4797">
      <c r="A4797" s="184"/>
      <c r="B4797" s="185"/>
      <c r="C4797" s="185"/>
      <c r="D4797" s="20"/>
      <c r="E4797" s="20"/>
    </row>
    <row r="4798">
      <c r="A4798" s="184"/>
      <c r="B4798" s="185"/>
      <c r="C4798" s="185"/>
      <c r="D4798" s="20"/>
      <c r="E4798" s="20"/>
    </row>
    <row r="4799">
      <c r="A4799" s="184"/>
      <c r="B4799" s="185"/>
      <c r="C4799" s="185"/>
      <c r="D4799" s="20"/>
      <c r="E4799" s="20"/>
    </row>
    <row r="4800">
      <c r="A4800" s="184"/>
      <c r="B4800" s="185"/>
      <c r="C4800" s="185"/>
      <c r="D4800" s="20"/>
      <c r="E4800" s="20"/>
    </row>
    <row r="4801">
      <c r="A4801" s="184"/>
      <c r="B4801" s="185"/>
      <c r="C4801" s="185"/>
      <c r="D4801" s="20"/>
      <c r="E4801" s="20"/>
    </row>
    <row r="4802">
      <c r="A4802" s="184"/>
      <c r="B4802" s="185"/>
      <c r="C4802" s="185"/>
      <c r="D4802" s="20"/>
      <c r="E4802" s="20"/>
    </row>
    <row r="4803">
      <c r="A4803" s="184"/>
      <c r="B4803" s="185"/>
      <c r="C4803" s="185"/>
      <c r="D4803" s="20"/>
      <c r="E4803" s="20"/>
    </row>
    <row r="4804">
      <c r="A4804" s="184"/>
      <c r="B4804" s="185"/>
      <c r="C4804" s="185"/>
      <c r="D4804" s="20"/>
      <c r="E4804" s="20"/>
    </row>
    <row r="4805">
      <c r="A4805" s="184"/>
      <c r="B4805" s="185"/>
      <c r="C4805" s="185"/>
      <c r="D4805" s="20"/>
      <c r="E4805" s="20"/>
    </row>
    <row r="4806">
      <c r="A4806" s="184"/>
      <c r="B4806" s="185"/>
      <c r="C4806" s="185"/>
      <c r="D4806" s="20"/>
      <c r="E4806" s="20"/>
    </row>
    <row r="4807">
      <c r="A4807" s="184"/>
      <c r="B4807" s="185"/>
      <c r="C4807" s="185"/>
      <c r="D4807" s="20"/>
      <c r="E4807" s="20"/>
    </row>
    <row r="4808">
      <c r="A4808" s="184"/>
      <c r="B4808" s="185"/>
      <c r="C4808" s="185"/>
      <c r="D4808" s="20"/>
      <c r="E4808" s="20"/>
    </row>
    <row r="4809">
      <c r="A4809" s="184"/>
      <c r="B4809" s="185"/>
      <c r="C4809" s="185"/>
      <c r="D4809" s="20"/>
      <c r="E4809" s="20"/>
    </row>
    <row r="4810">
      <c r="A4810" s="184"/>
      <c r="B4810" s="185"/>
      <c r="C4810" s="185"/>
      <c r="D4810" s="20"/>
      <c r="E4810" s="20"/>
    </row>
    <row r="4811">
      <c r="A4811" s="184"/>
      <c r="B4811" s="185"/>
      <c r="C4811" s="185"/>
      <c r="D4811" s="20"/>
      <c r="E4811" s="20"/>
    </row>
    <row r="4812">
      <c r="A4812" s="184"/>
      <c r="B4812" s="185"/>
      <c r="C4812" s="185"/>
      <c r="D4812" s="20"/>
      <c r="E4812" s="20"/>
    </row>
    <row r="4813">
      <c r="A4813" s="184"/>
      <c r="B4813" s="185"/>
      <c r="C4813" s="185"/>
      <c r="D4813" s="20"/>
      <c r="E4813" s="20"/>
    </row>
    <row r="4814">
      <c r="A4814" s="184"/>
      <c r="B4814" s="185"/>
      <c r="C4814" s="185"/>
      <c r="D4814" s="20"/>
      <c r="E4814" s="20"/>
    </row>
    <row r="4815">
      <c r="A4815" s="184"/>
      <c r="B4815" s="185"/>
      <c r="C4815" s="185"/>
      <c r="D4815" s="20"/>
      <c r="E4815" s="20"/>
    </row>
    <row r="4816">
      <c r="A4816" s="184"/>
      <c r="B4816" s="185"/>
      <c r="C4816" s="185"/>
      <c r="D4816" s="20"/>
      <c r="E4816" s="20"/>
    </row>
    <row r="4817">
      <c r="A4817" s="184"/>
      <c r="B4817" s="185"/>
      <c r="C4817" s="185"/>
      <c r="D4817" s="20"/>
      <c r="E4817" s="20"/>
    </row>
    <row r="4818">
      <c r="A4818" s="184"/>
      <c r="B4818" s="185"/>
      <c r="C4818" s="185"/>
      <c r="D4818" s="20"/>
      <c r="E4818" s="20"/>
    </row>
    <row r="4819">
      <c r="A4819" s="184"/>
      <c r="B4819" s="185"/>
      <c r="C4819" s="185"/>
      <c r="D4819" s="20"/>
      <c r="E4819" s="20"/>
    </row>
    <row r="4820">
      <c r="A4820" s="184"/>
      <c r="B4820" s="185"/>
      <c r="C4820" s="185"/>
      <c r="D4820" s="20"/>
      <c r="E4820" s="20"/>
    </row>
    <row r="4821">
      <c r="A4821" s="184"/>
      <c r="B4821" s="185"/>
      <c r="C4821" s="185"/>
      <c r="D4821" s="20"/>
      <c r="E4821" s="20"/>
    </row>
    <row r="4822">
      <c r="A4822" s="184"/>
      <c r="B4822" s="185"/>
      <c r="C4822" s="185"/>
      <c r="D4822" s="20"/>
      <c r="E4822" s="20"/>
    </row>
    <row r="4823">
      <c r="A4823" s="184"/>
      <c r="B4823" s="185"/>
      <c r="C4823" s="185"/>
      <c r="D4823" s="20"/>
      <c r="E4823" s="20"/>
    </row>
    <row r="4824">
      <c r="A4824" s="184"/>
      <c r="B4824" s="185"/>
      <c r="C4824" s="185"/>
      <c r="D4824" s="20"/>
      <c r="E4824" s="20"/>
    </row>
    <row r="4825">
      <c r="A4825" s="184"/>
      <c r="B4825" s="185"/>
      <c r="C4825" s="185"/>
      <c r="D4825" s="20"/>
      <c r="E4825" s="20"/>
    </row>
    <row r="4826">
      <c r="A4826" s="184"/>
      <c r="B4826" s="185"/>
      <c r="C4826" s="185"/>
      <c r="D4826" s="20"/>
      <c r="E4826" s="20"/>
    </row>
    <row r="4827">
      <c r="A4827" s="184"/>
      <c r="B4827" s="185"/>
      <c r="C4827" s="185"/>
      <c r="D4827" s="20"/>
      <c r="E4827" s="20"/>
    </row>
    <row r="4828">
      <c r="A4828" s="184"/>
      <c r="B4828" s="185"/>
      <c r="C4828" s="185"/>
      <c r="D4828" s="20"/>
      <c r="E4828" s="20"/>
    </row>
    <row r="4829">
      <c r="A4829" s="184"/>
      <c r="B4829" s="185"/>
      <c r="C4829" s="185"/>
      <c r="D4829" s="20"/>
      <c r="E4829" s="20"/>
    </row>
    <row r="4830">
      <c r="A4830" s="184"/>
      <c r="B4830" s="185"/>
      <c r="C4830" s="185"/>
      <c r="D4830" s="20"/>
      <c r="E4830" s="20"/>
    </row>
    <row r="4831">
      <c r="A4831" s="184"/>
      <c r="B4831" s="185"/>
      <c r="C4831" s="185"/>
      <c r="D4831" s="20"/>
      <c r="E4831" s="20"/>
    </row>
    <row r="4832">
      <c r="A4832" s="184"/>
      <c r="B4832" s="185"/>
      <c r="C4832" s="185"/>
      <c r="D4832" s="20"/>
      <c r="E4832" s="20"/>
    </row>
    <row r="4833">
      <c r="A4833" s="184"/>
      <c r="B4833" s="185"/>
      <c r="C4833" s="185"/>
      <c r="D4833" s="20"/>
      <c r="E4833" s="20"/>
    </row>
    <row r="4834">
      <c r="A4834" s="184"/>
      <c r="B4834" s="185"/>
      <c r="C4834" s="185"/>
      <c r="D4834" s="20"/>
      <c r="E4834" s="20"/>
    </row>
    <row r="4835">
      <c r="A4835" s="184"/>
      <c r="B4835" s="185"/>
      <c r="C4835" s="185"/>
      <c r="D4835" s="20"/>
      <c r="E4835" s="20"/>
    </row>
    <row r="4836">
      <c r="A4836" s="184"/>
      <c r="B4836" s="185"/>
      <c r="C4836" s="185"/>
      <c r="D4836" s="20"/>
      <c r="E4836" s="20"/>
    </row>
    <row r="4837">
      <c r="A4837" s="184"/>
      <c r="B4837" s="185"/>
      <c r="C4837" s="185"/>
      <c r="D4837" s="20"/>
      <c r="E4837" s="20"/>
    </row>
    <row r="4838">
      <c r="A4838" s="184"/>
      <c r="B4838" s="185"/>
      <c r="C4838" s="185"/>
      <c r="D4838" s="20"/>
      <c r="E4838" s="20"/>
    </row>
    <row r="4839">
      <c r="A4839" s="184"/>
      <c r="B4839" s="185"/>
      <c r="C4839" s="185"/>
      <c r="D4839" s="20"/>
      <c r="E4839" s="20"/>
    </row>
    <row r="4840">
      <c r="A4840" s="184"/>
      <c r="B4840" s="185"/>
      <c r="C4840" s="185"/>
      <c r="D4840" s="20"/>
      <c r="E4840" s="20"/>
    </row>
    <row r="4841">
      <c r="A4841" s="184"/>
      <c r="B4841" s="185"/>
      <c r="C4841" s="185"/>
      <c r="D4841" s="20"/>
      <c r="E4841" s="20"/>
    </row>
    <row r="4842">
      <c r="A4842" s="184"/>
      <c r="B4842" s="185"/>
      <c r="C4842" s="185"/>
      <c r="D4842" s="20"/>
      <c r="E4842" s="20"/>
    </row>
    <row r="4843">
      <c r="A4843" s="184"/>
      <c r="B4843" s="185"/>
      <c r="C4843" s="185"/>
      <c r="D4843" s="20"/>
      <c r="E4843" s="20"/>
    </row>
    <row r="4844">
      <c r="A4844" s="184"/>
      <c r="B4844" s="185"/>
      <c r="C4844" s="185"/>
      <c r="D4844" s="20"/>
      <c r="E4844" s="20"/>
    </row>
    <row r="4845">
      <c r="A4845" s="184"/>
      <c r="B4845" s="185"/>
      <c r="C4845" s="185"/>
      <c r="D4845" s="20"/>
      <c r="E4845" s="20"/>
    </row>
    <row r="4846">
      <c r="A4846" s="184"/>
      <c r="B4846" s="185"/>
      <c r="C4846" s="185"/>
      <c r="D4846" s="20"/>
      <c r="E4846" s="20"/>
    </row>
    <row r="4847">
      <c r="A4847" s="184"/>
      <c r="B4847" s="185"/>
      <c r="C4847" s="185"/>
      <c r="D4847" s="20"/>
      <c r="E4847" s="20"/>
    </row>
    <row r="4848">
      <c r="A4848" s="184"/>
      <c r="B4848" s="185"/>
      <c r="C4848" s="185"/>
      <c r="D4848" s="20"/>
      <c r="E4848" s="20"/>
    </row>
    <row r="4849">
      <c r="A4849" s="184"/>
      <c r="B4849" s="185"/>
      <c r="C4849" s="185"/>
      <c r="D4849" s="20"/>
      <c r="E4849" s="20"/>
    </row>
    <row r="4850">
      <c r="A4850" s="184"/>
      <c r="B4850" s="185"/>
      <c r="C4850" s="185"/>
      <c r="D4850" s="20"/>
      <c r="E4850" s="20"/>
    </row>
    <row r="4851">
      <c r="A4851" s="184"/>
      <c r="B4851" s="185"/>
      <c r="C4851" s="185"/>
      <c r="D4851" s="20"/>
      <c r="E4851" s="20"/>
    </row>
    <row r="4852">
      <c r="A4852" s="184"/>
      <c r="B4852" s="185"/>
      <c r="C4852" s="185"/>
      <c r="D4852" s="20"/>
      <c r="E4852" s="20"/>
    </row>
    <row r="4853">
      <c r="A4853" s="184"/>
      <c r="B4853" s="185"/>
      <c r="C4853" s="185"/>
      <c r="D4853" s="20"/>
      <c r="E4853" s="20"/>
    </row>
    <row r="4854">
      <c r="A4854" s="184"/>
      <c r="B4854" s="185"/>
      <c r="C4854" s="185"/>
      <c r="D4854" s="20"/>
      <c r="E4854" s="20"/>
    </row>
    <row r="4855">
      <c r="A4855" s="184"/>
      <c r="B4855" s="185"/>
      <c r="C4855" s="185"/>
      <c r="D4855" s="20"/>
      <c r="E4855" s="20"/>
    </row>
    <row r="4856">
      <c r="A4856" s="184"/>
      <c r="B4856" s="185"/>
      <c r="C4856" s="185"/>
      <c r="D4856" s="20"/>
      <c r="E4856" s="20"/>
    </row>
    <row r="4857">
      <c r="A4857" s="184"/>
      <c r="B4857" s="185"/>
      <c r="C4857" s="185"/>
      <c r="D4857" s="20"/>
      <c r="E4857" s="20"/>
    </row>
    <row r="4858">
      <c r="A4858" s="184"/>
      <c r="B4858" s="185"/>
      <c r="C4858" s="185"/>
      <c r="D4858" s="20"/>
      <c r="E4858" s="20"/>
    </row>
    <row r="4859">
      <c r="A4859" s="184"/>
      <c r="B4859" s="185"/>
      <c r="C4859" s="185"/>
      <c r="D4859" s="20"/>
      <c r="E4859" s="20"/>
    </row>
    <row r="4860">
      <c r="A4860" s="184"/>
      <c r="B4860" s="185"/>
      <c r="C4860" s="185"/>
      <c r="D4860" s="20"/>
      <c r="E4860" s="20"/>
    </row>
    <row r="4861">
      <c r="A4861" s="184"/>
      <c r="B4861" s="185"/>
      <c r="C4861" s="185"/>
      <c r="D4861" s="20"/>
      <c r="E4861" s="20"/>
    </row>
    <row r="4862">
      <c r="A4862" s="184"/>
      <c r="B4862" s="185"/>
      <c r="C4862" s="185"/>
      <c r="D4862" s="20"/>
      <c r="E4862" s="20"/>
    </row>
    <row r="4863">
      <c r="A4863" s="184"/>
      <c r="B4863" s="185"/>
      <c r="C4863" s="185"/>
      <c r="D4863" s="20"/>
      <c r="E4863" s="20"/>
    </row>
    <row r="4864">
      <c r="A4864" s="184"/>
      <c r="B4864" s="185"/>
      <c r="C4864" s="185"/>
      <c r="D4864" s="20"/>
      <c r="E4864" s="20"/>
    </row>
    <row r="4865">
      <c r="A4865" s="184"/>
      <c r="B4865" s="185"/>
      <c r="C4865" s="185"/>
      <c r="D4865" s="20"/>
      <c r="E4865" s="20"/>
    </row>
    <row r="4866">
      <c r="A4866" s="184"/>
      <c r="B4866" s="185"/>
      <c r="C4866" s="185"/>
      <c r="D4866" s="20"/>
      <c r="E4866" s="20"/>
    </row>
    <row r="4867">
      <c r="A4867" s="184"/>
      <c r="B4867" s="185"/>
      <c r="C4867" s="185"/>
      <c r="D4867" s="20"/>
      <c r="E4867" s="20"/>
    </row>
    <row r="4868">
      <c r="A4868" s="184"/>
      <c r="B4868" s="185"/>
      <c r="C4868" s="185"/>
      <c r="D4868" s="20"/>
      <c r="E4868" s="20"/>
    </row>
    <row r="4869">
      <c r="A4869" s="184"/>
      <c r="B4869" s="185"/>
      <c r="C4869" s="185"/>
      <c r="D4869" s="20"/>
      <c r="E4869" s="20"/>
    </row>
    <row r="4870">
      <c r="A4870" s="184"/>
      <c r="B4870" s="185"/>
      <c r="C4870" s="185"/>
      <c r="D4870" s="20"/>
      <c r="E4870" s="20"/>
    </row>
    <row r="4871">
      <c r="A4871" s="184"/>
      <c r="B4871" s="185"/>
      <c r="C4871" s="185"/>
      <c r="D4871" s="20"/>
      <c r="E4871" s="20"/>
    </row>
    <row r="4872">
      <c r="A4872" s="184"/>
      <c r="B4872" s="185"/>
      <c r="C4872" s="185"/>
      <c r="D4872" s="20"/>
      <c r="E4872" s="20"/>
    </row>
    <row r="4873">
      <c r="A4873" s="184"/>
      <c r="B4873" s="185"/>
      <c r="C4873" s="185"/>
      <c r="D4873" s="20"/>
      <c r="E4873" s="20"/>
    </row>
    <row r="4874">
      <c r="A4874" s="184"/>
      <c r="B4874" s="185"/>
      <c r="C4874" s="185"/>
      <c r="D4874" s="20"/>
      <c r="E4874" s="20"/>
    </row>
    <row r="4875">
      <c r="A4875" s="184"/>
      <c r="B4875" s="185"/>
      <c r="C4875" s="185"/>
      <c r="D4875" s="20"/>
      <c r="E4875" s="20"/>
    </row>
    <row r="4876">
      <c r="A4876" s="184"/>
      <c r="B4876" s="185"/>
      <c r="C4876" s="185"/>
      <c r="D4876" s="20"/>
      <c r="E4876" s="20"/>
    </row>
    <row r="4877">
      <c r="A4877" s="184"/>
      <c r="B4877" s="185"/>
      <c r="C4877" s="185"/>
      <c r="D4877" s="20"/>
      <c r="E4877" s="20"/>
    </row>
    <row r="4878">
      <c r="A4878" s="184"/>
      <c r="B4878" s="185"/>
      <c r="C4878" s="185"/>
      <c r="D4878" s="20"/>
      <c r="E4878" s="20"/>
    </row>
    <row r="4879">
      <c r="A4879" s="184"/>
      <c r="B4879" s="185"/>
      <c r="C4879" s="185"/>
      <c r="D4879" s="20"/>
      <c r="E4879" s="20"/>
    </row>
    <row r="4880">
      <c r="A4880" s="184"/>
      <c r="B4880" s="185"/>
      <c r="C4880" s="185"/>
      <c r="D4880" s="20"/>
      <c r="E4880" s="20"/>
    </row>
    <row r="4881">
      <c r="A4881" s="184"/>
      <c r="B4881" s="185"/>
      <c r="C4881" s="185"/>
      <c r="D4881" s="20"/>
      <c r="E4881" s="20"/>
    </row>
    <row r="4882">
      <c r="A4882" s="184"/>
      <c r="B4882" s="185"/>
      <c r="C4882" s="185"/>
      <c r="D4882" s="20"/>
      <c r="E4882" s="20"/>
    </row>
    <row r="4883">
      <c r="A4883" s="184"/>
      <c r="B4883" s="185"/>
      <c r="C4883" s="185"/>
      <c r="D4883" s="20"/>
      <c r="E4883" s="20"/>
    </row>
    <row r="4884">
      <c r="A4884" s="184"/>
      <c r="B4884" s="185"/>
      <c r="C4884" s="185"/>
      <c r="D4884" s="20"/>
      <c r="E4884" s="20"/>
    </row>
    <row r="4885">
      <c r="A4885" s="184"/>
      <c r="B4885" s="185"/>
      <c r="C4885" s="185"/>
      <c r="D4885" s="20"/>
      <c r="E4885" s="20"/>
    </row>
    <row r="4886">
      <c r="A4886" s="184"/>
      <c r="B4886" s="185"/>
      <c r="C4886" s="185"/>
      <c r="D4886" s="20"/>
      <c r="E4886" s="20"/>
    </row>
    <row r="4887">
      <c r="A4887" s="184"/>
      <c r="B4887" s="185"/>
      <c r="C4887" s="185"/>
      <c r="D4887" s="20"/>
      <c r="E4887" s="20"/>
    </row>
    <row r="4888">
      <c r="A4888" s="184"/>
      <c r="B4888" s="185"/>
      <c r="C4888" s="185"/>
      <c r="D4888" s="20"/>
      <c r="E4888" s="20"/>
    </row>
    <row r="4889">
      <c r="A4889" s="184"/>
      <c r="B4889" s="185"/>
      <c r="C4889" s="185"/>
      <c r="D4889" s="20"/>
      <c r="E4889" s="20"/>
    </row>
    <row r="4890">
      <c r="A4890" s="184"/>
      <c r="B4890" s="185"/>
      <c r="C4890" s="185"/>
      <c r="D4890" s="20"/>
      <c r="E4890" s="20"/>
    </row>
    <row r="4891">
      <c r="A4891" s="184"/>
      <c r="B4891" s="185"/>
      <c r="C4891" s="185"/>
      <c r="D4891" s="20"/>
      <c r="E4891" s="20"/>
    </row>
    <row r="4892">
      <c r="A4892" s="184"/>
      <c r="B4892" s="185"/>
      <c r="C4892" s="185"/>
      <c r="D4892" s="20"/>
      <c r="E4892" s="20"/>
    </row>
    <row r="4893">
      <c r="A4893" s="184"/>
      <c r="B4893" s="185"/>
      <c r="C4893" s="185"/>
      <c r="D4893" s="20"/>
      <c r="E4893" s="20"/>
    </row>
    <row r="4894">
      <c r="A4894" s="184"/>
      <c r="B4894" s="185"/>
      <c r="C4894" s="185"/>
      <c r="D4894" s="20"/>
      <c r="E4894" s="20"/>
    </row>
    <row r="4895">
      <c r="A4895" s="184"/>
      <c r="B4895" s="185"/>
      <c r="C4895" s="185"/>
      <c r="D4895" s="20"/>
      <c r="E4895" s="20"/>
    </row>
    <row r="4896">
      <c r="A4896" s="184"/>
      <c r="B4896" s="185"/>
      <c r="C4896" s="185"/>
      <c r="D4896" s="20"/>
      <c r="E4896" s="20"/>
    </row>
    <row r="4897">
      <c r="A4897" s="184"/>
      <c r="B4897" s="185"/>
      <c r="C4897" s="185"/>
      <c r="D4897" s="20"/>
      <c r="E4897" s="20"/>
    </row>
    <row r="4898">
      <c r="A4898" s="184"/>
      <c r="B4898" s="185"/>
      <c r="C4898" s="185"/>
      <c r="D4898" s="20"/>
      <c r="E4898" s="20"/>
    </row>
    <row r="4899">
      <c r="A4899" s="184"/>
      <c r="B4899" s="185"/>
      <c r="C4899" s="185"/>
      <c r="D4899" s="20"/>
      <c r="E4899" s="20"/>
    </row>
    <row r="4900">
      <c r="A4900" s="184"/>
      <c r="B4900" s="185"/>
      <c r="C4900" s="185"/>
      <c r="D4900" s="20"/>
      <c r="E4900" s="20"/>
    </row>
    <row r="4901">
      <c r="A4901" s="184"/>
      <c r="B4901" s="185"/>
      <c r="C4901" s="185"/>
      <c r="D4901" s="20"/>
      <c r="E4901" s="20"/>
    </row>
    <row r="4902">
      <c r="A4902" s="184"/>
      <c r="B4902" s="185"/>
      <c r="C4902" s="185"/>
      <c r="D4902" s="20"/>
      <c r="E4902" s="20"/>
    </row>
    <row r="4903">
      <c r="A4903" s="184"/>
      <c r="B4903" s="185"/>
      <c r="C4903" s="185"/>
      <c r="D4903" s="20"/>
      <c r="E4903" s="20"/>
    </row>
    <row r="4904">
      <c r="A4904" s="184"/>
      <c r="B4904" s="185"/>
      <c r="C4904" s="185"/>
      <c r="D4904" s="20"/>
      <c r="E4904" s="20"/>
    </row>
    <row r="4905">
      <c r="A4905" s="184"/>
      <c r="B4905" s="185"/>
      <c r="C4905" s="185"/>
      <c r="D4905" s="20"/>
      <c r="E4905" s="20"/>
    </row>
    <row r="4906">
      <c r="A4906" s="184"/>
      <c r="B4906" s="185"/>
      <c r="C4906" s="185"/>
      <c r="D4906" s="20"/>
      <c r="E4906" s="20"/>
    </row>
    <row r="4907">
      <c r="A4907" s="184"/>
      <c r="B4907" s="185"/>
      <c r="C4907" s="185"/>
      <c r="D4907" s="20"/>
      <c r="E4907" s="20"/>
    </row>
    <row r="4908">
      <c r="A4908" s="184"/>
      <c r="B4908" s="185"/>
      <c r="C4908" s="185"/>
      <c r="D4908" s="20"/>
      <c r="E4908" s="20"/>
    </row>
    <row r="4909">
      <c r="A4909" s="184"/>
      <c r="B4909" s="185"/>
      <c r="C4909" s="185"/>
      <c r="D4909" s="20"/>
      <c r="E4909" s="20"/>
    </row>
    <row r="4910">
      <c r="A4910" s="184"/>
      <c r="B4910" s="185"/>
      <c r="C4910" s="185"/>
      <c r="D4910" s="20"/>
      <c r="E4910" s="20"/>
    </row>
    <row r="4911">
      <c r="A4911" s="184"/>
      <c r="B4911" s="185"/>
      <c r="C4911" s="185"/>
      <c r="D4911" s="20"/>
      <c r="E4911" s="20"/>
    </row>
    <row r="4912">
      <c r="A4912" s="184"/>
      <c r="B4912" s="185"/>
      <c r="C4912" s="185"/>
      <c r="D4912" s="20"/>
      <c r="E4912" s="20"/>
    </row>
    <row r="4913">
      <c r="A4913" s="184"/>
      <c r="B4913" s="185"/>
      <c r="C4913" s="185"/>
      <c r="D4913" s="20"/>
      <c r="E4913" s="20"/>
    </row>
    <row r="4914">
      <c r="A4914" s="184"/>
      <c r="B4914" s="185"/>
      <c r="C4914" s="185"/>
      <c r="D4914" s="20"/>
      <c r="E4914" s="20"/>
    </row>
    <row r="4915">
      <c r="A4915" s="184"/>
      <c r="B4915" s="185"/>
      <c r="C4915" s="185"/>
      <c r="D4915" s="20"/>
      <c r="E4915" s="20"/>
    </row>
    <row r="4916">
      <c r="A4916" s="184"/>
      <c r="B4916" s="185"/>
      <c r="C4916" s="185"/>
      <c r="D4916" s="20"/>
      <c r="E4916" s="20"/>
    </row>
    <row r="4917">
      <c r="A4917" s="184"/>
      <c r="B4917" s="185"/>
      <c r="C4917" s="185"/>
      <c r="D4917" s="20"/>
      <c r="E4917" s="20"/>
    </row>
    <row r="4918">
      <c r="A4918" s="184"/>
      <c r="B4918" s="185"/>
      <c r="C4918" s="185"/>
      <c r="D4918" s="20"/>
      <c r="E4918" s="20"/>
    </row>
    <row r="4919">
      <c r="A4919" s="184"/>
      <c r="B4919" s="185"/>
      <c r="C4919" s="185"/>
      <c r="D4919" s="20"/>
      <c r="E4919" s="20"/>
    </row>
    <row r="4920">
      <c r="A4920" s="184"/>
      <c r="B4920" s="185"/>
      <c r="C4920" s="185"/>
      <c r="D4920" s="20"/>
      <c r="E4920" s="20"/>
    </row>
    <row r="4921">
      <c r="A4921" s="184"/>
      <c r="B4921" s="185"/>
      <c r="C4921" s="185"/>
      <c r="D4921" s="20"/>
      <c r="E4921" s="20"/>
    </row>
    <row r="4922">
      <c r="A4922" s="184"/>
      <c r="B4922" s="185"/>
      <c r="C4922" s="185"/>
      <c r="D4922" s="20"/>
      <c r="E4922" s="20"/>
    </row>
    <row r="4923">
      <c r="A4923" s="184"/>
      <c r="B4923" s="185"/>
      <c r="C4923" s="185"/>
      <c r="D4923" s="20"/>
      <c r="E4923" s="20"/>
    </row>
    <row r="4924">
      <c r="A4924" s="184"/>
      <c r="B4924" s="185"/>
      <c r="C4924" s="185"/>
      <c r="D4924" s="20"/>
      <c r="E4924" s="20"/>
    </row>
    <row r="4925">
      <c r="A4925" s="184"/>
      <c r="B4925" s="185"/>
      <c r="C4925" s="185"/>
      <c r="D4925" s="20"/>
      <c r="E4925" s="20"/>
    </row>
    <row r="4926">
      <c r="A4926" s="184"/>
      <c r="B4926" s="185"/>
      <c r="C4926" s="185"/>
      <c r="D4926" s="20"/>
      <c r="E4926" s="20"/>
    </row>
    <row r="4927">
      <c r="A4927" s="184"/>
      <c r="B4927" s="185"/>
      <c r="C4927" s="185"/>
      <c r="D4927" s="20"/>
      <c r="E4927" s="20"/>
    </row>
    <row r="4928">
      <c r="A4928" s="184"/>
      <c r="B4928" s="185"/>
      <c r="C4928" s="185"/>
      <c r="D4928" s="20"/>
      <c r="E4928" s="20"/>
    </row>
    <row r="4929">
      <c r="A4929" s="184"/>
      <c r="B4929" s="185"/>
      <c r="C4929" s="185"/>
      <c r="D4929" s="20"/>
      <c r="E4929" s="20"/>
    </row>
    <row r="4930">
      <c r="A4930" s="184"/>
      <c r="B4930" s="185"/>
      <c r="C4930" s="185"/>
      <c r="D4930" s="20"/>
      <c r="E4930" s="20"/>
    </row>
    <row r="4931">
      <c r="A4931" s="184"/>
      <c r="B4931" s="185"/>
      <c r="C4931" s="185"/>
      <c r="D4931" s="20"/>
      <c r="E4931" s="20"/>
    </row>
    <row r="4932">
      <c r="A4932" s="184"/>
      <c r="B4932" s="185"/>
      <c r="C4932" s="185"/>
      <c r="D4932" s="20"/>
      <c r="E4932" s="20"/>
    </row>
    <row r="4933">
      <c r="A4933" s="184"/>
      <c r="B4933" s="185"/>
      <c r="C4933" s="185"/>
      <c r="D4933" s="20"/>
      <c r="E4933" s="20"/>
    </row>
    <row r="4934">
      <c r="A4934" s="184"/>
      <c r="B4934" s="185"/>
      <c r="C4934" s="185"/>
      <c r="D4934" s="20"/>
      <c r="E4934" s="20"/>
    </row>
    <row r="4935">
      <c r="A4935" s="184"/>
      <c r="B4935" s="185"/>
      <c r="C4935" s="185"/>
      <c r="D4935" s="20"/>
      <c r="E4935" s="20"/>
    </row>
    <row r="4936">
      <c r="A4936" s="184"/>
      <c r="B4936" s="185"/>
      <c r="C4936" s="185"/>
      <c r="D4936" s="20"/>
      <c r="E4936" s="20"/>
    </row>
    <row r="4937">
      <c r="A4937" s="184"/>
      <c r="B4937" s="185"/>
      <c r="C4937" s="185"/>
      <c r="D4937" s="20"/>
      <c r="E4937" s="20"/>
    </row>
    <row r="4938">
      <c r="A4938" s="184"/>
      <c r="B4938" s="185"/>
      <c r="C4938" s="185"/>
      <c r="D4938" s="20"/>
      <c r="E4938" s="20"/>
    </row>
    <row r="4939">
      <c r="A4939" s="184"/>
      <c r="B4939" s="185"/>
      <c r="C4939" s="185"/>
      <c r="D4939" s="20"/>
      <c r="E4939" s="20"/>
    </row>
    <row r="4940">
      <c r="A4940" s="184"/>
      <c r="B4940" s="185"/>
      <c r="C4940" s="185"/>
      <c r="D4940" s="20"/>
      <c r="E4940" s="20"/>
    </row>
    <row r="4941">
      <c r="A4941" s="184"/>
      <c r="B4941" s="185"/>
      <c r="C4941" s="185"/>
      <c r="D4941" s="20"/>
      <c r="E4941" s="20"/>
    </row>
    <row r="4942">
      <c r="A4942" s="184"/>
      <c r="B4942" s="185"/>
      <c r="C4942" s="185"/>
      <c r="D4942" s="20"/>
      <c r="E4942" s="20"/>
    </row>
    <row r="4943">
      <c r="A4943" s="184"/>
      <c r="B4943" s="185"/>
      <c r="C4943" s="185"/>
      <c r="D4943" s="20"/>
      <c r="E4943" s="20"/>
    </row>
    <row r="4944">
      <c r="A4944" s="184"/>
      <c r="B4944" s="185"/>
      <c r="C4944" s="185"/>
      <c r="D4944" s="20"/>
      <c r="E4944" s="20"/>
    </row>
    <row r="4945">
      <c r="A4945" s="184"/>
      <c r="B4945" s="185"/>
      <c r="C4945" s="185"/>
      <c r="D4945" s="20"/>
      <c r="E4945" s="20"/>
    </row>
    <row r="4946">
      <c r="A4946" s="184"/>
      <c r="B4946" s="185"/>
      <c r="C4946" s="185"/>
      <c r="D4946" s="20"/>
      <c r="E4946" s="20"/>
    </row>
    <row r="4947">
      <c r="A4947" s="184"/>
      <c r="B4947" s="185"/>
      <c r="C4947" s="185"/>
      <c r="D4947" s="20"/>
      <c r="E4947" s="20"/>
    </row>
    <row r="4948">
      <c r="A4948" s="184"/>
      <c r="B4948" s="185"/>
      <c r="C4948" s="185"/>
      <c r="D4948" s="20"/>
      <c r="E4948" s="20"/>
    </row>
    <row r="4949">
      <c r="A4949" s="184"/>
      <c r="B4949" s="185"/>
      <c r="C4949" s="185"/>
      <c r="D4949" s="20"/>
      <c r="E4949" s="20"/>
    </row>
    <row r="4950">
      <c r="A4950" s="184"/>
      <c r="B4950" s="185"/>
      <c r="C4950" s="185"/>
      <c r="D4950" s="20"/>
      <c r="E4950" s="20"/>
    </row>
    <row r="4951">
      <c r="A4951" s="184"/>
      <c r="B4951" s="185"/>
      <c r="C4951" s="185"/>
      <c r="D4951" s="20"/>
      <c r="E4951" s="20"/>
    </row>
    <row r="4952">
      <c r="A4952" s="184"/>
      <c r="B4952" s="185"/>
      <c r="C4952" s="185"/>
      <c r="D4952" s="20"/>
      <c r="E4952" s="20"/>
    </row>
    <row r="4953">
      <c r="A4953" s="184"/>
      <c r="B4953" s="185"/>
      <c r="C4953" s="185"/>
      <c r="D4953" s="20"/>
      <c r="E4953" s="20"/>
    </row>
    <row r="4954">
      <c r="A4954" s="184"/>
      <c r="B4954" s="185"/>
      <c r="C4954" s="185"/>
      <c r="D4954" s="20"/>
      <c r="E4954" s="20"/>
    </row>
    <row r="4955">
      <c r="A4955" s="184"/>
      <c r="B4955" s="185"/>
      <c r="C4955" s="185"/>
      <c r="D4955" s="20"/>
      <c r="E4955" s="20"/>
    </row>
    <row r="4956">
      <c r="A4956" s="184"/>
      <c r="B4956" s="185"/>
      <c r="C4956" s="185"/>
      <c r="D4956" s="20"/>
      <c r="E4956" s="20"/>
    </row>
    <row r="4957">
      <c r="A4957" s="184"/>
      <c r="B4957" s="185"/>
      <c r="C4957" s="185"/>
      <c r="D4957" s="20"/>
      <c r="E4957" s="20"/>
    </row>
    <row r="4958">
      <c r="A4958" s="184"/>
      <c r="B4958" s="185"/>
      <c r="C4958" s="185"/>
      <c r="D4958" s="20"/>
      <c r="E4958" s="20"/>
    </row>
    <row r="4959">
      <c r="A4959" s="184"/>
      <c r="B4959" s="185"/>
      <c r="C4959" s="185"/>
      <c r="D4959" s="20"/>
      <c r="E4959" s="20"/>
    </row>
    <row r="4960">
      <c r="A4960" s="184"/>
      <c r="B4960" s="185"/>
      <c r="C4960" s="185"/>
      <c r="D4960" s="20"/>
      <c r="E4960" s="20"/>
    </row>
    <row r="4961">
      <c r="A4961" s="184"/>
      <c r="B4961" s="185"/>
      <c r="C4961" s="185"/>
      <c r="D4961" s="20"/>
      <c r="E4961" s="20"/>
    </row>
    <row r="4962">
      <c r="A4962" s="184"/>
      <c r="B4962" s="185"/>
      <c r="C4962" s="185"/>
      <c r="D4962" s="20"/>
      <c r="E4962" s="20"/>
    </row>
    <row r="4963">
      <c r="A4963" s="184"/>
      <c r="B4963" s="185"/>
      <c r="C4963" s="185"/>
      <c r="D4963" s="20"/>
      <c r="E4963" s="20"/>
    </row>
    <row r="4964">
      <c r="A4964" s="184"/>
      <c r="B4964" s="185"/>
      <c r="C4964" s="185"/>
      <c r="D4964" s="20"/>
      <c r="E4964" s="20"/>
    </row>
    <row r="4965">
      <c r="A4965" s="184"/>
      <c r="B4965" s="185"/>
      <c r="C4965" s="185"/>
      <c r="D4965" s="20"/>
      <c r="E4965" s="20"/>
    </row>
    <row r="4966">
      <c r="A4966" s="184"/>
      <c r="B4966" s="185"/>
      <c r="C4966" s="185"/>
      <c r="D4966" s="20"/>
      <c r="E4966" s="20"/>
    </row>
    <row r="4967">
      <c r="A4967" s="184"/>
      <c r="B4967" s="185"/>
      <c r="C4967" s="185"/>
      <c r="D4967" s="20"/>
      <c r="E4967" s="20"/>
    </row>
    <row r="4968">
      <c r="A4968" s="184"/>
      <c r="B4968" s="185"/>
      <c r="C4968" s="185"/>
      <c r="D4968" s="20"/>
      <c r="E4968" s="20"/>
    </row>
    <row r="4969">
      <c r="A4969" s="184"/>
      <c r="B4969" s="185"/>
      <c r="C4969" s="185"/>
      <c r="D4969" s="20"/>
      <c r="E4969" s="20"/>
    </row>
    <row r="4970">
      <c r="A4970" s="184"/>
      <c r="B4970" s="185"/>
      <c r="C4970" s="185"/>
      <c r="D4970" s="20"/>
      <c r="E4970" s="20"/>
    </row>
    <row r="4971">
      <c r="A4971" s="184"/>
      <c r="B4971" s="185"/>
      <c r="C4971" s="185"/>
      <c r="D4971" s="20"/>
      <c r="E4971" s="20"/>
    </row>
    <row r="4972">
      <c r="A4972" s="184"/>
      <c r="B4972" s="185"/>
      <c r="C4972" s="185"/>
      <c r="D4972" s="20"/>
      <c r="E4972" s="20"/>
    </row>
    <row r="4973">
      <c r="A4973" s="184"/>
      <c r="B4973" s="185"/>
      <c r="C4973" s="185"/>
      <c r="D4973" s="20"/>
      <c r="E4973" s="20"/>
    </row>
    <row r="4974">
      <c r="A4974" s="184"/>
      <c r="B4974" s="185"/>
      <c r="C4974" s="185"/>
      <c r="D4974" s="20"/>
      <c r="E4974" s="20"/>
    </row>
    <row r="4975">
      <c r="A4975" s="184"/>
      <c r="B4975" s="185"/>
      <c r="C4975" s="185"/>
      <c r="D4975" s="20"/>
      <c r="E4975" s="20"/>
    </row>
    <row r="4976">
      <c r="A4976" s="184"/>
      <c r="B4976" s="185"/>
      <c r="C4976" s="185"/>
      <c r="D4976" s="20"/>
      <c r="E4976" s="20"/>
    </row>
    <row r="4977">
      <c r="A4977" s="184"/>
      <c r="B4977" s="185"/>
      <c r="C4977" s="185"/>
      <c r="D4977" s="20"/>
      <c r="E4977" s="20"/>
    </row>
    <row r="4978">
      <c r="A4978" s="184"/>
      <c r="B4978" s="185"/>
      <c r="C4978" s="185"/>
      <c r="D4978" s="20"/>
      <c r="E4978" s="20"/>
    </row>
    <row r="4979">
      <c r="A4979" s="184"/>
      <c r="B4979" s="185"/>
      <c r="C4979" s="185"/>
      <c r="D4979" s="20"/>
      <c r="E4979" s="20"/>
    </row>
    <row r="4980">
      <c r="A4980" s="184"/>
      <c r="B4980" s="185"/>
      <c r="C4980" s="185"/>
      <c r="D4980" s="20"/>
      <c r="E4980" s="20"/>
    </row>
    <row r="4981">
      <c r="A4981" s="184"/>
      <c r="B4981" s="185"/>
      <c r="C4981" s="185"/>
      <c r="D4981" s="20"/>
      <c r="E4981" s="20"/>
    </row>
    <row r="4982">
      <c r="A4982" s="184"/>
      <c r="B4982" s="185"/>
      <c r="C4982" s="185"/>
      <c r="D4982" s="20"/>
      <c r="E4982" s="20"/>
    </row>
    <row r="4983">
      <c r="A4983" s="184"/>
      <c r="B4983" s="185"/>
      <c r="C4983" s="185"/>
      <c r="D4983" s="20"/>
      <c r="E4983" s="20"/>
    </row>
    <row r="4984">
      <c r="A4984" s="184"/>
      <c r="B4984" s="185"/>
      <c r="C4984" s="185"/>
      <c r="D4984" s="20"/>
      <c r="E4984" s="20"/>
    </row>
    <row r="4985">
      <c r="A4985" s="184"/>
      <c r="B4985" s="185"/>
      <c r="C4985" s="185"/>
      <c r="D4985" s="20"/>
      <c r="E4985" s="20"/>
    </row>
    <row r="4986">
      <c r="A4986" s="184"/>
      <c r="B4986" s="185"/>
      <c r="C4986" s="185"/>
      <c r="D4986" s="20"/>
      <c r="E4986" s="20"/>
    </row>
    <row r="4987">
      <c r="A4987" s="184"/>
      <c r="B4987" s="185"/>
      <c r="C4987" s="185"/>
      <c r="D4987" s="20"/>
      <c r="E4987" s="20"/>
    </row>
    <row r="4988">
      <c r="A4988" s="184"/>
      <c r="B4988" s="185"/>
      <c r="C4988" s="185"/>
      <c r="D4988" s="20"/>
      <c r="E4988" s="20"/>
    </row>
    <row r="4989">
      <c r="A4989" s="184"/>
      <c r="B4989" s="185"/>
      <c r="C4989" s="185"/>
      <c r="D4989" s="20"/>
      <c r="E4989" s="20"/>
    </row>
    <row r="4990">
      <c r="A4990" s="184"/>
      <c r="B4990" s="185"/>
      <c r="C4990" s="185"/>
      <c r="D4990" s="20"/>
      <c r="E4990" s="20"/>
    </row>
    <row r="4991">
      <c r="A4991" s="184"/>
      <c r="B4991" s="185"/>
      <c r="C4991" s="185"/>
      <c r="D4991" s="20"/>
      <c r="E4991" s="20"/>
    </row>
    <row r="4992">
      <c r="A4992" s="184"/>
      <c r="B4992" s="185"/>
      <c r="C4992" s="185"/>
      <c r="D4992" s="20"/>
      <c r="E4992" s="20"/>
    </row>
    <row r="4993">
      <c r="A4993" s="184"/>
      <c r="B4993" s="185"/>
      <c r="C4993" s="185"/>
      <c r="D4993" s="20"/>
      <c r="E4993" s="20"/>
    </row>
    <row r="4994">
      <c r="A4994" s="184"/>
      <c r="B4994" s="185"/>
      <c r="C4994" s="185"/>
      <c r="D4994" s="20"/>
      <c r="E4994" s="20"/>
    </row>
    <row r="4995">
      <c r="A4995" s="184"/>
      <c r="B4995" s="185"/>
      <c r="C4995" s="185"/>
      <c r="D4995" s="20"/>
      <c r="E4995" s="20"/>
    </row>
    <row r="4996">
      <c r="A4996" s="184"/>
      <c r="B4996" s="185"/>
      <c r="C4996" s="185"/>
      <c r="D4996" s="20"/>
      <c r="E4996" s="20"/>
    </row>
    <row r="4997">
      <c r="A4997" s="184"/>
      <c r="B4997" s="185"/>
      <c r="C4997" s="185"/>
      <c r="D4997" s="20"/>
      <c r="E4997" s="20"/>
    </row>
    <row r="4998">
      <c r="A4998" s="184"/>
      <c r="B4998" s="185"/>
      <c r="C4998" s="185"/>
      <c r="D4998" s="20"/>
      <c r="E4998" s="20"/>
    </row>
    <row r="4999">
      <c r="A4999" s="184"/>
      <c r="B4999" s="185"/>
      <c r="C4999" s="185"/>
      <c r="D4999" s="20"/>
      <c r="E4999" s="20"/>
    </row>
    <row r="5000">
      <c r="A5000" s="184"/>
      <c r="B5000" s="185"/>
      <c r="C5000" s="185"/>
      <c r="D5000" s="20"/>
      <c r="E5000" s="20"/>
    </row>
    <row r="5001">
      <c r="A5001" s="184"/>
      <c r="B5001" s="185"/>
      <c r="C5001" s="185"/>
      <c r="D5001" s="20"/>
      <c r="E5001" s="20"/>
    </row>
    <row r="5002">
      <c r="A5002" s="184"/>
      <c r="B5002" s="185"/>
      <c r="C5002" s="185"/>
      <c r="D5002" s="20"/>
      <c r="E5002" s="20"/>
    </row>
    <row r="5003">
      <c r="A5003" s="184"/>
      <c r="B5003" s="185"/>
      <c r="C5003" s="185"/>
      <c r="D5003" s="20"/>
      <c r="E5003" s="20"/>
    </row>
    <row r="5004">
      <c r="A5004" s="184"/>
      <c r="B5004" s="185"/>
      <c r="C5004" s="185"/>
      <c r="D5004" s="20"/>
      <c r="E5004" s="20"/>
    </row>
    <row r="5005">
      <c r="A5005" s="184"/>
      <c r="B5005" s="185"/>
      <c r="C5005" s="185"/>
      <c r="D5005" s="20"/>
      <c r="E5005" s="20"/>
    </row>
    <row r="5006">
      <c r="A5006" s="184"/>
      <c r="B5006" s="185"/>
      <c r="C5006" s="185"/>
      <c r="D5006" s="20"/>
      <c r="E5006" s="20"/>
    </row>
    <row r="5007">
      <c r="A5007" s="184"/>
      <c r="B5007" s="185"/>
      <c r="C5007" s="185"/>
      <c r="D5007" s="20"/>
      <c r="E5007" s="20"/>
    </row>
    <row r="5008">
      <c r="A5008" s="184"/>
      <c r="B5008" s="185"/>
      <c r="C5008" s="185"/>
      <c r="D5008" s="20"/>
      <c r="E5008" s="20"/>
    </row>
    <row r="5009">
      <c r="A5009" s="184"/>
      <c r="B5009" s="185"/>
      <c r="C5009" s="185"/>
      <c r="D5009" s="20"/>
      <c r="E5009" s="20"/>
    </row>
    <row r="5010">
      <c r="A5010" s="184"/>
      <c r="B5010" s="185"/>
      <c r="C5010" s="185"/>
      <c r="D5010" s="20"/>
      <c r="E5010" s="20"/>
    </row>
    <row r="5011">
      <c r="A5011" s="184"/>
      <c r="B5011" s="185"/>
      <c r="C5011" s="185"/>
      <c r="D5011" s="20"/>
      <c r="E5011" s="20"/>
    </row>
    <row r="5012">
      <c r="A5012" s="184"/>
      <c r="B5012" s="185"/>
      <c r="C5012" s="185"/>
      <c r="D5012" s="20"/>
      <c r="E5012" s="20"/>
    </row>
    <row r="5013">
      <c r="A5013" s="184"/>
      <c r="B5013" s="185"/>
      <c r="C5013" s="185"/>
      <c r="D5013" s="20"/>
      <c r="E5013" s="20"/>
    </row>
    <row r="5014">
      <c r="A5014" s="184"/>
      <c r="B5014" s="185"/>
      <c r="C5014" s="185"/>
      <c r="D5014" s="20"/>
      <c r="E5014" s="20"/>
    </row>
    <row r="5015">
      <c r="A5015" s="184"/>
      <c r="B5015" s="185"/>
      <c r="C5015" s="185"/>
      <c r="D5015" s="20"/>
      <c r="E5015" s="20"/>
    </row>
    <row r="5016">
      <c r="A5016" s="184"/>
      <c r="B5016" s="185"/>
      <c r="C5016" s="185"/>
      <c r="D5016" s="20"/>
      <c r="E5016" s="20"/>
    </row>
    <row r="5017">
      <c r="A5017" s="184"/>
      <c r="B5017" s="185"/>
      <c r="C5017" s="185"/>
      <c r="D5017" s="20"/>
      <c r="E5017" s="20"/>
    </row>
    <row r="5018">
      <c r="A5018" s="184"/>
      <c r="B5018" s="185"/>
      <c r="C5018" s="185"/>
      <c r="D5018" s="20"/>
      <c r="E5018" s="20"/>
    </row>
    <row r="5019">
      <c r="A5019" s="184"/>
      <c r="B5019" s="185"/>
      <c r="C5019" s="185"/>
      <c r="D5019" s="20"/>
      <c r="E5019" s="20"/>
    </row>
    <row r="5020">
      <c r="A5020" s="184"/>
      <c r="B5020" s="185"/>
      <c r="C5020" s="185"/>
      <c r="D5020" s="20"/>
      <c r="E5020" s="20"/>
    </row>
    <row r="5021">
      <c r="A5021" s="184"/>
      <c r="B5021" s="185"/>
      <c r="C5021" s="185"/>
      <c r="D5021" s="20"/>
      <c r="E5021" s="20"/>
    </row>
    <row r="5022">
      <c r="A5022" s="184"/>
      <c r="B5022" s="185"/>
      <c r="C5022" s="185"/>
      <c r="D5022" s="20"/>
      <c r="E5022" s="20"/>
    </row>
    <row r="5023">
      <c r="A5023" s="184"/>
      <c r="B5023" s="185"/>
      <c r="C5023" s="185"/>
      <c r="D5023" s="20"/>
      <c r="E5023" s="20"/>
    </row>
    <row r="5024">
      <c r="A5024" s="184"/>
      <c r="B5024" s="185"/>
      <c r="C5024" s="185"/>
      <c r="D5024" s="20"/>
      <c r="E5024" s="20"/>
    </row>
    <row r="5025">
      <c r="A5025" s="184"/>
      <c r="B5025" s="185"/>
      <c r="C5025" s="185"/>
      <c r="D5025" s="20"/>
      <c r="E5025" s="20"/>
    </row>
    <row r="5026">
      <c r="A5026" s="184"/>
      <c r="B5026" s="185"/>
      <c r="C5026" s="185"/>
      <c r="D5026" s="20"/>
      <c r="E5026" s="20"/>
    </row>
    <row r="5027">
      <c r="A5027" s="184"/>
      <c r="B5027" s="185"/>
      <c r="C5027" s="185"/>
      <c r="D5027" s="20"/>
      <c r="E5027" s="20"/>
    </row>
    <row r="5028">
      <c r="A5028" s="184"/>
      <c r="B5028" s="185"/>
      <c r="C5028" s="185"/>
      <c r="D5028" s="20"/>
      <c r="E5028" s="20"/>
    </row>
    <row r="5029">
      <c r="A5029" s="184"/>
      <c r="B5029" s="185"/>
      <c r="C5029" s="185"/>
      <c r="D5029" s="20"/>
      <c r="E5029" s="20"/>
    </row>
    <row r="5030">
      <c r="A5030" s="184"/>
      <c r="B5030" s="185"/>
      <c r="C5030" s="185"/>
      <c r="D5030" s="20"/>
      <c r="E5030" s="20"/>
    </row>
    <row r="5031">
      <c r="A5031" s="184"/>
      <c r="B5031" s="185"/>
      <c r="C5031" s="185"/>
      <c r="D5031" s="20"/>
      <c r="E5031" s="20"/>
    </row>
    <row r="5032">
      <c r="A5032" s="184"/>
      <c r="B5032" s="185"/>
      <c r="C5032" s="185"/>
      <c r="D5032" s="20"/>
      <c r="E5032" s="20"/>
    </row>
    <row r="5033">
      <c r="A5033" s="184"/>
      <c r="B5033" s="185"/>
      <c r="C5033" s="185"/>
      <c r="D5033" s="20"/>
      <c r="E5033" s="20"/>
    </row>
    <row r="5034">
      <c r="A5034" s="184"/>
      <c r="B5034" s="185"/>
      <c r="C5034" s="185"/>
      <c r="D5034" s="20"/>
      <c r="E5034" s="20"/>
    </row>
    <row r="5035">
      <c r="A5035" s="184"/>
      <c r="B5035" s="185"/>
      <c r="C5035" s="185"/>
      <c r="D5035" s="20"/>
      <c r="E5035" s="20"/>
    </row>
    <row r="5036">
      <c r="A5036" s="184"/>
      <c r="B5036" s="185"/>
      <c r="C5036" s="185"/>
      <c r="D5036" s="20"/>
      <c r="E5036" s="20"/>
    </row>
    <row r="5037">
      <c r="A5037" s="184"/>
      <c r="B5037" s="185"/>
      <c r="C5037" s="185"/>
      <c r="D5037" s="20"/>
      <c r="E5037" s="20"/>
    </row>
    <row r="5038">
      <c r="A5038" s="184"/>
      <c r="B5038" s="185"/>
      <c r="C5038" s="185"/>
      <c r="D5038" s="20"/>
      <c r="E5038" s="20"/>
    </row>
    <row r="5039">
      <c r="A5039" s="184"/>
      <c r="B5039" s="185"/>
      <c r="C5039" s="185"/>
      <c r="D5039" s="20"/>
      <c r="E5039" s="20"/>
    </row>
    <row r="5040">
      <c r="A5040" s="184"/>
      <c r="B5040" s="185"/>
      <c r="C5040" s="185"/>
      <c r="D5040" s="20"/>
      <c r="E5040" s="20"/>
    </row>
    <row r="5041">
      <c r="A5041" s="184"/>
      <c r="B5041" s="185"/>
      <c r="C5041" s="185"/>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3392</v>
      </c>
      <c r="L1" s="186" t="s">
        <v>3393</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3394</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3394</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3395</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3394</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3394</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3396</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3397</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3394</v>
      </c>
      <c r="H388" s="34" t="s">
        <v>28</v>
      </c>
      <c r="I388" s="34"/>
      <c r="J388" s="20" t="s">
        <v>3394</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2439</v>
      </c>
      <c r="F404" s="34" t="s">
        <v>2440</v>
      </c>
      <c r="G404" s="34" t="s">
        <v>2441</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2443</v>
      </c>
      <c r="G405" s="34" t="s">
        <v>2444</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2452</v>
      </c>
      <c r="F406" s="34" t="s">
        <v>2453</v>
      </c>
      <c r="G406" s="34" t="s">
        <v>2454</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2460</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2471</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2483</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2493</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2504</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2518</v>
      </c>
      <c r="F414" s="34" t="s">
        <v>62</v>
      </c>
      <c r="G414" s="34"/>
      <c r="H414" s="34">
        <v>5.0</v>
      </c>
      <c r="I414" s="34" t="s">
        <v>2519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2525</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2532</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2538</v>
      </c>
      <c r="G417" s="34" t="s">
        <v>2539</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2545</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2552</v>
      </c>
      <c r="G419" s="34" t="s">
        <v>2553</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2559</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2566</v>
      </c>
      <c r="G421" s="34" t="s">
        <v>2567</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2578</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2584</v>
      </c>
      <c r="H423" s="34">
        <v>6.0</v>
      </c>
      <c r="I423" s="34" t="s">
        <v>2585</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2590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2601</v>
      </c>
      <c r="G425" s="34" t="s">
        <v>2602</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2607</v>
      </c>
      <c r="G426" s="34" t="s">
        <v>2608</v>
      </c>
      <c r="H426" s="34">
        <v>2.0</v>
      </c>
      <c r="I426" s="34" t="s">
        <v>2609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2614</v>
      </c>
      <c r="G427" s="34" t="s">
        <v>2615</v>
      </c>
      <c r="H427" s="34">
        <v>2.0</v>
      </c>
      <c r="I427" s="34" t="s">
        <v>2609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2622</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2624</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t="s">
        <v>2626</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t="s">
        <v>2626</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2629</v>
      </c>
      <c r="G432" s="34"/>
      <c r="H432" s="34"/>
      <c r="I432" s="34"/>
      <c r="J432" s="20" t="s">
        <v>2626</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2631</v>
      </c>
      <c r="G433" s="34"/>
      <c r="H433" s="34"/>
      <c r="I433" s="34"/>
      <c r="J433" s="20" t="s">
        <v>2626</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2633</v>
      </c>
      <c r="G434" s="34"/>
      <c r="H434" s="34"/>
      <c r="I434" s="34"/>
      <c r="J434" s="20" t="s">
        <v>2626</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2635</v>
      </c>
      <c r="G435" s="34"/>
      <c r="H435" s="34"/>
      <c r="I435" s="34"/>
      <c r="J435" s="20" t="s">
        <v>2626</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2631</v>
      </c>
      <c r="G436" s="34"/>
      <c r="H436" s="34"/>
      <c r="I436" s="34"/>
      <c r="J436" s="20" t="s">
        <v>2626</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2638</v>
      </c>
      <c r="G437" s="34"/>
      <c r="H437" s="34"/>
      <c r="I437" s="34"/>
      <c r="J437" s="20" t="s">
        <v>2626</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2640</v>
      </c>
      <c r="G438" s="34"/>
      <c r="H438" s="34"/>
      <c r="I438" s="34"/>
      <c r="J438" s="20" t="s">
        <v>2626</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2642</v>
      </c>
      <c r="G439" s="34"/>
      <c r="H439" s="34"/>
      <c r="I439" s="34"/>
      <c r="J439" s="20" t="s">
        <v>2626</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t="s">
        <v>2626</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2645</v>
      </c>
      <c r="G441" s="34"/>
      <c r="H441" s="34"/>
      <c r="I441" s="34"/>
      <c r="J441" s="20" t="s">
        <v>2626</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2647</v>
      </c>
      <c r="G442" s="34"/>
      <c r="H442" s="34"/>
      <c r="I442" s="34"/>
      <c r="J442" s="20" t="s">
        <v>2626</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2649</v>
      </c>
      <c r="G443" s="34"/>
      <c r="H443" s="34"/>
      <c r="I443" s="34"/>
      <c r="J443" s="20" t="s">
        <v>2626</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2626</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2626</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2626</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2626</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2626</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2626</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2626</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2626</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2626</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2660</v>
      </c>
      <c r="G453" s="34"/>
      <c r="H453" s="34"/>
      <c r="I453" s="34"/>
      <c r="J453" s="20" t="s">
        <v>2626</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IFERROR(__xludf.DUMMYFUNCTION("""COMPUTED_VALUE"""),"Thundering Valley")</f>
        <v>Thundering Valley</v>
      </c>
      <c r="B454" s="34" t="str">
        <f t="array" ref="B454:J454">XLOOKUP($A454,Cards!$A$2:$A1000,Cards!$B$2:$J1000,"")</f>
        <v>Terrain</v>
      </c>
      <c r="C454" s="34"/>
      <c r="D454" s="34">
        <v>1.0</v>
      </c>
      <c r="E454" s="34"/>
      <c r="F454" s="34" t="s">
        <v>2662</v>
      </c>
      <c r="G454" s="34"/>
      <c r="H454" s="34"/>
      <c r="I454" s="34"/>
      <c r="J454" s="20" t="s">
        <v>2626</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3393</v>
      </c>
      <c r="B1" s="190" t="s">
        <v>3398</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3399</v>
      </c>
    </row>
    <row r="3">
      <c r="A3" s="96" t="s">
        <v>420</v>
      </c>
      <c r="B3" s="16" t="s">
        <v>3400</v>
      </c>
    </row>
    <row r="4">
      <c r="A4" s="96" t="s">
        <v>1041</v>
      </c>
      <c r="B4" s="16" t="s">
        <v>3401</v>
      </c>
    </row>
    <row r="5">
      <c r="A5" s="96" t="s">
        <v>1503</v>
      </c>
      <c r="B5" s="16" t="s">
        <v>3402</v>
      </c>
    </row>
    <row r="6">
      <c r="A6" s="96" t="s">
        <v>1889</v>
      </c>
      <c r="B6" s="16" t="s">
        <v>3403</v>
      </c>
    </row>
    <row r="7">
      <c r="A7" s="96" t="s">
        <v>3404</v>
      </c>
      <c r="B7" s="16" t="s">
        <v>3405</v>
      </c>
    </row>
    <row r="8">
      <c r="A8" s="96" t="s">
        <v>3406</v>
      </c>
      <c r="B8" s="16" t="s">
        <v>3407</v>
      </c>
    </row>
    <row r="9">
      <c r="A9" s="96" t="s">
        <v>3408</v>
      </c>
      <c r="B9" s="16" t="s">
        <v>3409</v>
      </c>
    </row>
    <row r="10">
      <c r="A10" s="96" t="s">
        <v>3410</v>
      </c>
      <c r="B10" s="16" t="s">
        <v>3411</v>
      </c>
    </row>
    <row r="11">
      <c r="A11" s="96" t="s">
        <v>3412</v>
      </c>
      <c r="B11" s="16" t="s">
        <v>3413</v>
      </c>
    </row>
    <row r="12">
      <c r="A12" s="96" t="s">
        <v>3414</v>
      </c>
      <c r="B12" s="16" t="s">
        <v>3415</v>
      </c>
    </row>
    <row r="13">
      <c r="A13" s="96" t="s">
        <v>3416</v>
      </c>
      <c r="B13" s="16" t="s">
        <v>3417</v>
      </c>
    </row>
    <row r="14">
      <c r="A14" s="16" t="s">
        <v>3418</v>
      </c>
      <c r="B14" s="16" t="s">
        <v>3419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3420</v>
      </c>
      <c r="B1" s="192"/>
      <c r="D1" s="193" t="s">
        <v>3421</v>
      </c>
      <c r="E1" s="193" t="s">
        <v>3422</v>
      </c>
      <c r="F1" s="194" t="s">
        <v>3423</v>
      </c>
      <c r="G1" s="195" t="s">
        <v>3424</v>
      </c>
      <c r="H1" s="196" t="s">
        <v>3</v>
      </c>
      <c r="I1" s="196" t="s">
        <v>3425</v>
      </c>
      <c r="J1" s="196" t="s">
        <v>3426</v>
      </c>
      <c r="K1" s="196" t="s">
        <v>3427</v>
      </c>
      <c r="L1" s="196" t="s">
        <v>7</v>
      </c>
      <c r="M1" s="197" t="s">
        <v>3428</v>
      </c>
      <c r="N1" s="197" t="s">
        <v>9</v>
      </c>
      <c r="O1" s="198" t="s">
        <v>3429</v>
      </c>
    </row>
    <row r="2">
      <c r="A2" s="199">
        <v>4.0</v>
      </c>
      <c r="B2" s="193"/>
      <c r="D2" s="7" t="s">
        <v>1333</v>
      </c>
      <c r="E2" s="7" t="s">
        <v>3430</v>
      </c>
      <c r="F2" s="54">
        <v>2.0</v>
      </c>
      <c r="G2" s="29" t="s">
        <v>3431</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3430</v>
      </c>
      <c r="F3" s="203">
        <v>1.0</v>
      </c>
      <c r="G3" s="29" t="s">
        <v>3432</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3433</v>
      </c>
      <c r="B4" s="16">
        <f>IFERROR(__xludf.DUMMYFUNCTION("QUERY($D$1:O968,""select sum(F) where E like '%"" &amp; $A$2 &amp; ""%' label sum(F) ''"")"),30.0)</f>
        <v>30</v>
      </c>
      <c r="D4" s="7" t="s">
        <v>1228</v>
      </c>
      <c r="E4" s="7" t="s">
        <v>3430</v>
      </c>
      <c r="F4" s="203">
        <v>1.0</v>
      </c>
      <c r="G4" s="29" t="s">
        <v>3431</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3434</v>
      </c>
      <c r="B5" s="16">
        <f>IFERROR(__xludf.DUMMYFUNCTION("IFNA(QUERY($D$1:O968,""select count(G) where E like '%"" &amp; $A$2 &amp; ""%' and G = 'Alternative' label count(G) ''""),0)"),7.0)</f>
        <v>7</v>
      </c>
      <c r="D5" s="16" t="s">
        <v>1248</v>
      </c>
      <c r="E5" s="7" t="s">
        <v>3430</v>
      </c>
      <c r="F5" s="203">
        <v>1.0</v>
      </c>
      <c r="G5" s="29" t="s">
        <v>3432</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3435</v>
      </c>
      <c r="B6" s="16">
        <f>IFERROR(__xludf.DUMMYFUNCTION("QUERY($D$1:O968,""select sum(O) where E like '%"" &amp; $A$2 &amp; ""%' label sum(O) ''"")/$B$4"),3.1333333333333333)</f>
        <v>3.133333333</v>
      </c>
      <c r="D6" s="7" t="s">
        <v>1359</v>
      </c>
      <c r="E6" s="7" t="s">
        <v>3430</v>
      </c>
      <c r="F6" s="203">
        <v>1.0</v>
      </c>
      <c r="G6" s="29" t="s">
        <v>3431</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3430</v>
      </c>
      <c r="F7" s="203">
        <v>2.0</v>
      </c>
      <c r="G7" s="29" t="s">
        <v>3431</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3430</v>
      </c>
      <c r="F8" s="203">
        <v>2.0</v>
      </c>
      <c r="G8" s="29" t="s">
        <v>3432</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3430</v>
      </c>
      <c r="F9" s="203">
        <v>1.0</v>
      </c>
      <c r="G9" s="29" t="s">
        <v>3431</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3430</v>
      </c>
      <c r="F10" s="203">
        <v>2.0</v>
      </c>
      <c r="G10" s="29" t="s">
        <v>3432</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3430</v>
      </c>
      <c r="F11" s="203">
        <v>2.0</v>
      </c>
      <c r="G11" s="29" t="s">
        <v>3432</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3430</v>
      </c>
      <c r="F12" s="203">
        <v>1.0</v>
      </c>
      <c r="G12" s="29" t="s">
        <v>3432</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3430</v>
      </c>
      <c r="F13" s="203">
        <v>1.0</v>
      </c>
      <c r="G13" s="29" t="s">
        <v>3432</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3430</v>
      </c>
      <c r="F14" s="203">
        <v>2.0</v>
      </c>
      <c r="G14" s="29" t="s">
        <v>3432</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3430</v>
      </c>
      <c r="F15" s="203">
        <v>1.0</v>
      </c>
      <c r="G15" s="29" t="s">
        <v>3432</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3430</v>
      </c>
      <c r="F16" s="203">
        <v>1.0</v>
      </c>
      <c r="G16" s="29" t="s">
        <v>3432</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3430</v>
      </c>
      <c r="F17" s="203">
        <v>2.0</v>
      </c>
      <c r="G17" s="29" t="s">
        <v>3432</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3430</v>
      </c>
      <c r="F18" s="203">
        <v>2.0</v>
      </c>
      <c r="G18" s="29" t="s">
        <v>3431</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3430</v>
      </c>
      <c r="F19" s="203">
        <v>2.0</v>
      </c>
      <c r="G19" s="29" t="s">
        <v>3432</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3430</v>
      </c>
      <c r="F20" s="203">
        <v>1.0</v>
      </c>
      <c r="G20" s="29" t="s">
        <v>3432</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3430</v>
      </c>
      <c r="F21" s="203">
        <v>1.0</v>
      </c>
      <c r="G21" s="29" t="s">
        <v>3432</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3430</v>
      </c>
      <c r="F22" s="203">
        <v>1.0</v>
      </c>
      <c r="G22" s="29" t="s">
        <v>3431</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2243</v>
      </c>
      <c r="E23" s="16" t="s">
        <v>3436</v>
      </c>
      <c r="F23" s="203">
        <v>1.0</v>
      </c>
      <c r="G23" s="29" t="s">
        <v>3431</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3436</v>
      </c>
      <c r="F24" s="203">
        <v>1.0</v>
      </c>
      <c r="G24" s="29" t="s">
        <v>3431</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3436</v>
      </c>
      <c r="F25" s="203">
        <v>1.0</v>
      </c>
      <c r="G25" s="29" t="s">
        <v>3432</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2265</v>
      </c>
      <c r="E26" s="7" t="s">
        <v>3436</v>
      </c>
      <c r="F26" s="203">
        <v>2.0</v>
      </c>
      <c r="G26" s="29" t="s">
        <v>3431</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2475</v>
      </c>
      <c r="E27" s="7" t="s">
        <v>3436</v>
      </c>
      <c r="F27" s="210">
        <v>2.0</v>
      </c>
      <c r="G27" s="29" t="s">
        <v>3432</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3436</v>
      </c>
      <c r="F28" s="203">
        <v>1.0</v>
      </c>
      <c r="G28" s="29" t="s">
        <v>3431</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2291</v>
      </c>
      <c r="E29" s="22" t="s">
        <v>3436</v>
      </c>
      <c r="F29" s="203">
        <v>1.0</v>
      </c>
      <c r="G29" s="29" t="s">
        <v>3432</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3436</v>
      </c>
      <c r="F30" s="203">
        <v>2.0</v>
      </c>
      <c r="G30" s="29" t="s">
        <v>3432</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2297</v>
      </c>
      <c r="E31" s="54" t="s">
        <v>3436</v>
      </c>
      <c r="F31" s="203">
        <v>1.0</v>
      </c>
      <c r="G31" s="29" t="s">
        <v>3431</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3436</v>
      </c>
      <c r="F32" s="203">
        <v>2.0</v>
      </c>
      <c r="G32" s="29" t="s">
        <v>3432</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2511</v>
      </c>
      <c r="E33" s="7" t="s">
        <v>3436</v>
      </c>
      <c r="F33" s="210">
        <v>2.0</v>
      </c>
      <c r="G33" s="29" t="s">
        <v>3431</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3436</v>
      </c>
      <c r="F34" s="203">
        <v>2.0</v>
      </c>
      <c r="G34" s="29" t="s">
        <v>3432</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2503</v>
      </c>
      <c r="E35" s="22" t="s">
        <v>3436</v>
      </c>
      <c r="F35" s="210">
        <v>1.0</v>
      </c>
      <c r="G35" s="29" t="s">
        <v>3432</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3436</v>
      </c>
      <c r="F36" s="203">
        <v>2.0</v>
      </c>
      <c r="G36" s="29" t="s">
        <v>3432</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3436</v>
      </c>
      <c r="F37" s="203">
        <v>1.0</v>
      </c>
      <c r="G37" s="29" t="s">
        <v>3431</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3436</v>
      </c>
      <c r="F38" s="203">
        <v>2.0</v>
      </c>
      <c r="G38" s="29" t="s">
        <v>3432</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3436</v>
      </c>
      <c r="F39" s="210">
        <v>1.0</v>
      </c>
      <c r="G39" s="29" t="s">
        <v>3432</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3436</v>
      </c>
      <c r="F40" s="203">
        <v>1.0</v>
      </c>
      <c r="G40" s="29" t="s">
        <v>3432</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2482</v>
      </c>
      <c r="E41" s="7" t="s">
        <v>3436</v>
      </c>
      <c r="F41" s="203">
        <v>2.0</v>
      </c>
      <c r="G41" s="29" t="s">
        <v>3432</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3436</v>
      </c>
      <c r="F42" s="203">
        <v>1.0</v>
      </c>
      <c r="G42" s="29" t="s">
        <v>3432</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2459</v>
      </c>
      <c r="E43" s="16" t="s">
        <v>3436</v>
      </c>
      <c r="F43" s="203">
        <v>1.0</v>
      </c>
      <c r="G43" s="29" t="s">
        <v>3432</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3437</v>
      </c>
      <c r="F44" s="16">
        <v>2.0</v>
      </c>
      <c r="G44" s="16" t="s">
        <v>3431</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3437</v>
      </c>
      <c r="F45" s="16">
        <v>1.0</v>
      </c>
      <c r="G45" s="16" t="s">
        <v>3431</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3437</v>
      </c>
      <c r="F46" s="16">
        <v>1.0</v>
      </c>
      <c r="G46" s="16" t="s">
        <v>3431</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3437</v>
      </c>
      <c r="F47" s="16">
        <v>1.0</v>
      </c>
      <c r="G47" s="16" t="s">
        <v>3432</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2544</v>
      </c>
      <c r="E48" s="16" t="s">
        <v>3437</v>
      </c>
      <c r="F48" s="16">
        <v>1.0</v>
      </c>
      <c r="G48" s="16" t="s">
        <v>3432</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2284</v>
      </c>
      <c r="E49" s="16" t="s">
        <v>3437</v>
      </c>
      <c r="F49" s="16">
        <v>1.0</v>
      </c>
      <c r="G49" s="16" t="s">
        <v>3432</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2319</v>
      </c>
      <c r="E50" s="16" t="s">
        <v>3437</v>
      </c>
      <c r="F50" s="16">
        <v>1.0</v>
      </c>
      <c r="G50" s="16" t="s">
        <v>3432</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3437</v>
      </c>
      <c r="F51" s="16">
        <v>2.0</v>
      </c>
      <c r="G51" s="16" t="s">
        <v>3432</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3437</v>
      </c>
      <c r="F52" s="16">
        <v>1.0</v>
      </c>
      <c r="G52" s="16" t="s">
        <v>3432</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3437</v>
      </c>
      <c r="F53" s="16">
        <v>1.0</v>
      </c>
      <c r="G53" s="16" t="s">
        <v>3432</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3437</v>
      </c>
      <c r="F54" s="16">
        <v>2.0</v>
      </c>
      <c r="G54" s="16" t="s">
        <v>3432</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3437</v>
      </c>
      <c r="F55" s="16">
        <v>2.0</v>
      </c>
      <c r="G55" s="16" t="s">
        <v>3432</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3437</v>
      </c>
      <c r="F56" s="16">
        <v>1.0</v>
      </c>
      <c r="G56" s="16" t="s">
        <v>3431</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3437</v>
      </c>
      <c r="F57" s="16">
        <v>2.0</v>
      </c>
      <c r="G57" s="16" t="s">
        <v>3432</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3437</v>
      </c>
      <c r="F58" s="16">
        <v>2.0</v>
      </c>
      <c r="G58" s="16" t="s">
        <v>3432</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3437</v>
      </c>
      <c r="F59" s="16">
        <v>1.0</v>
      </c>
      <c r="G59" s="16" t="s">
        <v>3431</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3437</v>
      </c>
      <c r="F60" s="16">
        <v>2.0</v>
      </c>
      <c r="G60" s="16" t="s">
        <v>3432</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2313</v>
      </c>
      <c r="E61" s="16" t="s">
        <v>3437</v>
      </c>
      <c r="F61" s="16">
        <v>2.0</v>
      </c>
      <c r="G61" s="16" t="s">
        <v>3431</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2492</v>
      </c>
      <c r="E62" s="16" t="s">
        <v>3437</v>
      </c>
      <c r="F62" s="16">
        <v>1.0</v>
      </c>
      <c r="G62" s="16" t="s">
        <v>3431</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2304</v>
      </c>
      <c r="E63" s="16" t="s">
        <v>3437</v>
      </c>
      <c r="F63" s="16">
        <v>2.0</v>
      </c>
      <c r="G63" s="16" t="s">
        <v>3432</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2307</v>
      </c>
      <c r="E64" s="16" t="s">
        <v>3437</v>
      </c>
      <c r="F64" s="16">
        <v>1.0</v>
      </c>
      <c r="G64" s="16" t="s">
        <v>3432</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3438</v>
      </c>
      <c r="F65" s="16">
        <v>1.0</v>
      </c>
      <c r="G65" s="16" t="s">
        <v>3431</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3438</v>
      </c>
      <c r="F66" s="16">
        <v>1.0</v>
      </c>
      <c r="G66" s="16" t="s">
        <v>3432</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3438</v>
      </c>
      <c r="F67" s="16">
        <v>1.0</v>
      </c>
      <c r="G67" s="16" t="s">
        <v>3432</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3438</v>
      </c>
      <c r="F68" s="16">
        <v>2.0</v>
      </c>
      <c r="G68" s="16" t="s">
        <v>3431</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3438</v>
      </c>
      <c r="F69" s="16">
        <v>2.0</v>
      </c>
      <c r="G69" s="16" t="s">
        <v>3431</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3438</v>
      </c>
      <c r="F70" s="16">
        <v>1.0</v>
      </c>
      <c r="G70" s="16" t="s">
        <v>3432</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3438</v>
      </c>
      <c r="F71" s="16">
        <v>1.0</v>
      </c>
      <c r="G71" s="16" t="s">
        <v>3432</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3438</v>
      </c>
      <c r="F72" s="16">
        <v>1.0</v>
      </c>
      <c r="G72" s="16" t="s">
        <v>3432</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3438</v>
      </c>
      <c r="F73" s="16">
        <v>2.0</v>
      </c>
      <c r="G73" s="16" t="s">
        <v>3431</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3438</v>
      </c>
      <c r="F74" s="16">
        <v>2.0</v>
      </c>
      <c r="G74" s="16" t="s">
        <v>3431</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3438</v>
      </c>
      <c r="F75" s="16">
        <v>1.0</v>
      </c>
      <c r="G75" s="16" t="s">
        <v>3432</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3438</v>
      </c>
      <c r="F76" s="16">
        <v>1.0</v>
      </c>
      <c r="G76" s="16" t="s">
        <v>3431</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3438</v>
      </c>
      <c r="F77" s="16">
        <v>2.0</v>
      </c>
      <c r="G77" s="16" t="s">
        <v>3432</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3438</v>
      </c>
      <c r="F78" s="16">
        <v>1.0</v>
      </c>
      <c r="G78" s="16" t="s">
        <v>3432</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3438</v>
      </c>
      <c r="F79" s="16">
        <v>1.0</v>
      </c>
      <c r="G79" s="16" t="s">
        <v>3432</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3438</v>
      </c>
      <c r="F80" s="16">
        <v>2.0</v>
      </c>
      <c r="G80" s="16" t="s">
        <v>3431</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3438</v>
      </c>
      <c r="F81" s="16">
        <v>1.0</v>
      </c>
      <c r="G81" s="16" t="s">
        <v>3432</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3438</v>
      </c>
      <c r="F82" s="16">
        <v>2.0</v>
      </c>
      <c r="G82" s="16" t="s">
        <v>3432</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3438</v>
      </c>
      <c r="F83" s="16">
        <v>2.0</v>
      </c>
      <c r="G83" s="16" t="s">
        <v>3432</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3438</v>
      </c>
      <c r="F84" s="16">
        <v>2.0</v>
      </c>
      <c r="G84" s="16" t="s">
        <v>3432</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3438</v>
      </c>
      <c r="F85" s="16">
        <v>1.0</v>
      </c>
      <c r="G85" s="16" t="s">
        <v>3432</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3432</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3432</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3432</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3432</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3439</v>
      </c>
      <c r="E1" s="191" t="s">
        <v>5</v>
      </c>
      <c r="F1" s="191" t="s">
        <v>6</v>
      </c>
      <c r="G1" s="214" t="s">
        <v>7</v>
      </c>
      <c r="H1" s="214" t="s">
        <v>8</v>
      </c>
      <c r="I1" s="215" t="s">
        <v>9</v>
      </c>
      <c r="J1" s="216" t="s">
        <v>3440</v>
      </c>
    </row>
    <row r="2">
      <c r="A2" s="16" t="s">
        <v>3441</v>
      </c>
      <c r="B2" s="217" t="s">
        <v>3442</v>
      </c>
      <c r="C2" s="56" t="s">
        <v>2371</v>
      </c>
      <c r="D2" s="51"/>
      <c r="E2" s="51" t="s">
        <v>3443</v>
      </c>
      <c r="F2" s="54" t="s">
        <v>3444</v>
      </c>
      <c r="G2" s="56">
        <v>1.0</v>
      </c>
      <c r="H2" s="56" t="s">
        <v>101</v>
      </c>
      <c r="I2" s="56" t="s">
        <v>72</v>
      </c>
    </row>
    <row r="3">
      <c r="A3" s="51" t="s">
        <v>3445</v>
      </c>
      <c r="B3" s="217" t="s">
        <v>3442</v>
      </c>
      <c r="C3" s="56" t="s">
        <v>30</v>
      </c>
      <c r="D3" s="51" t="s">
        <v>3446</v>
      </c>
      <c r="E3" s="218" t="s">
        <v>3447</v>
      </c>
      <c r="F3" s="54" t="s">
        <v>3444</v>
      </c>
      <c r="G3" s="56">
        <v>1.0</v>
      </c>
      <c r="H3" s="56" t="s">
        <v>55</v>
      </c>
      <c r="I3" s="56" t="s">
        <v>34</v>
      </c>
    </row>
    <row r="4">
      <c r="A4" s="51" t="s">
        <v>3448</v>
      </c>
      <c r="B4" s="217" t="s">
        <v>3442</v>
      </c>
      <c r="C4" s="56" t="s">
        <v>3449</v>
      </c>
      <c r="D4" s="51" t="s">
        <v>3446</v>
      </c>
      <c r="E4" s="51" t="s">
        <v>3450</v>
      </c>
      <c r="F4" s="54" t="s">
        <v>3444</v>
      </c>
      <c r="G4" s="56">
        <v>3.0</v>
      </c>
      <c r="H4" s="56" t="s">
        <v>247</v>
      </c>
      <c r="I4" s="56" t="s">
        <v>72</v>
      </c>
    </row>
    <row r="5">
      <c r="A5" s="51" t="s">
        <v>3451</v>
      </c>
      <c r="B5" s="219" t="s">
        <v>3442</v>
      </c>
      <c r="C5" s="56" t="s">
        <v>82</v>
      </c>
      <c r="D5" s="51" t="s">
        <v>3452</v>
      </c>
      <c r="E5" s="51" t="s">
        <v>3453</v>
      </c>
      <c r="F5" s="54" t="s">
        <v>3444</v>
      </c>
      <c r="G5" s="56">
        <v>5.0</v>
      </c>
      <c r="H5" s="56" t="s">
        <v>3454</v>
      </c>
      <c r="I5" s="56" t="s">
        <v>34</v>
      </c>
    </row>
    <row r="6">
      <c r="A6" s="28" t="s">
        <v>3455</v>
      </c>
      <c r="B6" s="220" t="s">
        <v>3456</v>
      </c>
      <c r="C6" s="67" t="s">
        <v>410</v>
      </c>
      <c r="D6" s="28"/>
      <c r="E6" s="28" t="s">
        <v>3457</v>
      </c>
      <c r="F6" s="29" t="s">
        <v>3444</v>
      </c>
      <c r="G6" s="67">
        <v>0.0</v>
      </c>
      <c r="H6" s="67" t="s">
        <v>3458</v>
      </c>
      <c r="I6" s="67" t="s">
        <v>34</v>
      </c>
    </row>
    <row r="7">
      <c r="A7" s="51" t="s">
        <v>3459</v>
      </c>
      <c r="B7" s="221" t="s">
        <v>3456</v>
      </c>
      <c r="C7" s="56" t="s">
        <v>2371</v>
      </c>
      <c r="D7" s="51"/>
      <c r="E7" s="51" t="s">
        <v>3460</v>
      </c>
      <c r="F7" s="54" t="s">
        <v>3444</v>
      </c>
      <c r="G7" s="56">
        <v>3.0</v>
      </c>
      <c r="H7" s="56" t="s">
        <v>1062</v>
      </c>
      <c r="I7" s="56" t="s">
        <v>72</v>
      </c>
    </row>
    <row r="8">
      <c r="A8" s="51" t="s">
        <v>3461</v>
      </c>
      <c r="B8" s="221" t="s">
        <v>3456</v>
      </c>
      <c r="C8" s="56" t="s">
        <v>410</v>
      </c>
      <c r="D8" s="51"/>
      <c r="E8" s="51" t="s">
        <v>3462</v>
      </c>
      <c r="F8" s="54" t="s">
        <v>3444</v>
      </c>
      <c r="G8" s="56">
        <v>4.0</v>
      </c>
      <c r="H8" s="56" t="s">
        <v>519</v>
      </c>
      <c r="I8" s="56" t="s">
        <v>28</v>
      </c>
    </row>
    <row r="9">
      <c r="A9" s="51" t="s">
        <v>3463</v>
      </c>
      <c r="B9" s="221" t="s">
        <v>3456</v>
      </c>
      <c r="C9" s="56" t="s">
        <v>2371</v>
      </c>
      <c r="D9" s="51"/>
      <c r="E9" s="51" t="s">
        <v>3464</v>
      </c>
      <c r="F9" s="54" t="s">
        <v>3444</v>
      </c>
      <c r="G9" s="56">
        <v>5.0</v>
      </c>
      <c r="H9" s="56" t="s">
        <v>524</v>
      </c>
      <c r="I9" s="56" t="s">
        <v>34</v>
      </c>
    </row>
    <row r="10">
      <c r="A10" s="51" t="s">
        <v>714</v>
      </c>
      <c r="B10" s="220" t="s">
        <v>3456</v>
      </c>
      <c r="C10" s="67" t="s">
        <v>663</v>
      </c>
      <c r="D10" s="28"/>
      <c r="E10" s="28" t="s">
        <v>3465</v>
      </c>
      <c r="F10" s="29" t="s">
        <v>3444</v>
      </c>
      <c r="G10" s="67">
        <v>6.0</v>
      </c>
      <c r="H10" s="67" t="s">
        <v>3466</v>
      </c>
      <c r="I10" s="67" t="s">
        <v>72</v>
      </c>
    </row>
    <row r="11">
      <c r="A11" s="51"/>
      <c r="B11" s="222" t="s">
        <v>3467</v>
      </c>
      <c r="C11" s="56" t="s">
        <v>663</v>
      </c>
      <c r="D11" s="51"/>
      <c r="E11" s="51" t="s">
        <v>3468</v>
      </c>
      <c r="F11" s="54" t="s">
        <v>3444</v>
      </c>
      <c r="G11" s="56">
        <v>1.0</v>
      </c>
      <c r="H11" s="56" t="s">
        <v>1736</v>
      </c>
      <c r="I11" s="56" t="s">
        <v>34</v>
      </c>
    </row>
    <row r="12">
      <c r="A12" s="51" t="s">
        <v>3469</v>
      </c>
      <c r="B12" s="222" t="s">
        <v>3467</v>
      </c>
      <c r="C12" s="56" t="s">
        <v>663</v>
      </c>
      <c r="D12" s="51"/>
      <c r="E12" s="51" t="s">
        <v>3470</v>
      </c>
      <c r="F12" s="54" t="s">
        <v>3444</v>
      </c>
      <c r="G12" s="56">
        <v>2.0</v>
      </c>
      <c r="H12" s="56" t="s">
        <v>1730</v>
      </c>
      <c r="I12" s="56" t="s">
        <v>34</v>
      </c>
    </row>
    <row r="13">
      <c r="A13" s="51" t="s">
        <v>3471</v>
      </c>
      <c r="B13" s="222" t="s">
        <v>3467</v>
      </c>
      <c r="C13" s="56" t="s">
        <v>3472</v>
      </c>
      <c r="D13" s="51"/>
      <c r="E13" s="223" t="s">
        <v>3473</v>
      </c>
      <c r="F13" s="54" t="s">
        <v>3444</v>
      </c>
      <c r="G13" s="56">
        <v>3.0</v>
      </c>
      <c r="H13" s="56" t="s">
        <v>1736</v>
      </c>
      <c r="I13" s="56" t="s">
        <v>72</v>
      </c>
    </row>
    <row r="14">
      <c r="A14" s="28" t="s">
        <v>3474</v>
      </c>
      <c r="B14" s="224" t="s">
        <v>3467</v>
      </c>
      <c r="C14" s="56" t="s">
        <v>82</v>
      </c>
      <c r="D14" s="51"/>
      <c r="E14" s="51" t="s">
        <v>3475</v>
      </c>
      <c r="F14" s="54" t="s">
        <v>3444</v>
      </c>
      <c r="G14" s="56">
        <v>4.0</v>
      </c>
      <c r="H14" s="56" t="s">
        <v>1532</v>
      </c>
      <c r="I14" s="56" t="s">
        <v>28</v>
      </c>
    </row>
    <row r="15">
      <c r="A15" s="51" t="s">
        <v>3476</v>
      </c>
      <c r="B15" s="222" t="s">
        <v>3467</v>
      </c>
      <c r="C15" s="56" t="s">
        <v>1399</v>
      </c>
      <c r="D15" s="51"/>
      <c r="E15" s="29" t="s">
        <v>3477</v>
      </c>
      <c r="F15" s="29" t="s">
        <v>3444</v>
      </c>
      <c r="G15" s="56">
        <v>6.0</v>
      </c>
      <c r="H15" s="56" t="s">
        <v>2128</v>
      </c>
      <c r="I15" s="56" t="s">
        <v>72</v>
      </c>
    </row>
    <row r="16">
      <c r="A16" s="16" t="s">
        <v>3478</v>
      </c>
      <c r="B16" s="90" t="s">
        <v>3467</v>
      </c>
      <c r="C16" s="15" t="s">
        <v>3479</v>
      </c>
      <c r="F16" s="16" t="s">
        <v>3444</v>
      </c>
      <c r="G16" s="104"/>
      <c r="I16" s="15" t="s">
        <v>34</v>
      </c>
    </row>
    <row r="17">
      <c r="A17" s="51" t="s">
        <v>1472</v>
      </c>
      <c r="B17" s="225" t="s">
        <v>3480</v>
      </c>
      <c r="C17" s="56" t="s">
        <v>39</v>
      </c>
      <c r="D17" s="51"/>
      <c r="E17" s="223" t="s">
        <v>3481</v>
      </c>
      <c r="F17" s="54" t="s">
        <v>3444</v>
      </c>
      <c r="G17" s="56">
        <v>1.0</v>
      </c>
      <c r="H17" s="56" t="s">
        <v>2281</v>
      </c>
      <c r="I17" s="56" t="s">
        <v>72</v>
      </c>
    </row>
    <row r="18">
      <c r="A18" s="51" t="s">
        <v>3482</v>
      </c>
      <c r="B18" s="225" t="s">
        <v>3480</v>
      </c>
      <c r="C18" s="56" t="s">
        <v>1913</v>
      </c>
      <c r="D18" s="51"/>
      <c r="E18" s="51" t="s">
        <v>3483</v>
      </c>
      <c r="F18" s="54" t="s">
        <v>3444</v>
      </c>
      <c r="G18" s="56">
        <v>1.0</v>
      </c>
      <c r="H18" s="56" t="s">
        <v>3484</v>
      </c>
      <c r="I18" s="56" t="s">
        <v>34</v>
      </c>
    </row>
    <row r="19">
      <c r="A19" s="7" t="s">
        <v>3485</v>
      </c>
      <c r="B19" s="86"/>
      <c r="C19" s="15"/>
      <c r="E19" s="16"/>
      <c r="F19" s="16" t="s">
        <v>3444</v>
      </c>
      <c r="G19" s="15"/>
      <c r="H19" s="15"/>
      <c r="I19" s="9"/>
    </row>
    <row r="20">
      <c r="A20" s="24" t="s">
        <v>3486</v>
      </c>
      <c r="B20" s="86" t="s">
        <v>3467</v>
      </c>
      <c r="C20" s="21" t="s">
        <v>389</v>
      </c>
      <c r="D20" s="7"/>
      <c r="E20" s="7" t="s">
        <v>3487</v>
      </c>
      <c r="F20" s="7"/>
      <c r="G20" s="9">
        <v>2.0</v>
      </c>
      <c r="H20" s="9" t="s">
        <v>1505</v>
      </c>
      <c r="I20" s="21" t="s">
        <v>28</v>
      </c>
    </row>
    <row r="21">
      <c r="A21" s="16" t="s">
        <v>3488</v>
      </c>
      <c r="B21" s="14" t="s">
        <v>3442</v>
      </c>
      <c r="C21" s="15" t="s">
        <v>30</v>
      </c>
      <c r="D21" s="16" t="s">
        <v>3489</v>
      </c>
      <c r="E21" s="16" t="s">
        <v>3490</v>
      </c>
      <c r="G21" s="15">
        <v>2.0</v>
      </c>
      <c r="I21" s="104"/>
    </row>
    <row r="22">
      <c r="A22" s="16" t="s">
        <v>3491</v>
      </c>
      <c r="B22" s="16" t="s">
        <v>3492</v>
      </c>
      <c r="C22" s="104"/>
      <c r="G22" s="104"/>
      <c r="I22" s="15" t="s">
        <v>72</v>
      </c>
    </row>
    <row r="23">
      <c r="A23" s="16" t="s">
        <v>3493</v>
      </c>
      <c r="B23" s="16" t="s">
        <v>3494</v>
      </c>
      <c r="C23" s="104"/>
      <c r="G23" s="104"/>
      <c r="I23" s="104"/>
    </row>
    <row r="24">
      <c r="A24" s="16" t="s">
        <v>3486</v>
      </c>
      <c r="B24" s="16" t="s">
        <v>3467</v>
      </c>
      <c r="C24" s="15"/>
      <c r="G24" s="15"/>
      <c r="H24" s="15"/>
      <c r="I24" s="15"/>
    </row>
    <row r="25">
      <c r="A25" s="16" t="s">
        <v>3495</v>
      </c>
      <c r="B25" s="90" t="s">
        <v>3467</v>
      </c>
      <c r="C25" s="15" t="s">
        <v>3496</v>
      </c>
      <c r="E25" s="16" t="s">
        <v>3497</v>
      </c>
      <c r="F25" s="16" t="s">
        <v>1926</v>
      </c>
      <c r="G25" s="15">
        <v>0.0</v>
      </c>
      <c r="H25" s="15" t="s">
        <v>1786</v>
      </c>
      <c r="I25" s="15" t="s">
        <v>28</v>
      </c>
    </row>
    <row r="26">
      <c r="A26" s="16" t="s">
        <v>3498</v>
      </c>
    </row>
    <row r="27">
      <c r="C27" s="104"/>
      <c r="E27" s="16" t="s">
        <v>3499</v>
      </c>
    </row>
    <row r="28">
      <c r="E28" s="16" t="s">
        <v>3500</v>
      </c>
    </row>
    <row r="29">
      <c r="E29" s="16" t="s">
        <v>3501</v>
      </c>
    </row>
    <row r="30">
      <c r="E30" s="16" t="s">
        <v>3502</v>
      </c>
    </row>
    <row r="31">
      <c r="E31" s="16" t="s">
        <v>3503</v>
      </c>
    </row>
    <row r="32">
      <c r="E32" s="16" t="s">
        <v>3504</v>
      </c>
    </row>
    <row r="33">
      <c r="E33" s="16" t="s">
        <v>3505</v>
      </c>
    </row>
    <row r="34">
      <c r="E34" s="16" t="s">
        <v>3506</v>
      </c>
    </row>
    <row r="35">
      <c r="A35" s="16" t="s">
        <v>3507</v>
      </c>
      <c r="B35" s="80" t="s">
        <v>3508</v>
      </c>
      <c r="C35" s="9" t="s">
        <v>3509</v>
      </c>
      <c r="D35" s="24"/>
      <c r="E35" s="7" t="s">
        <v>3510</v>
      </c>
      <c r="F35" s="7" t="s">
        <v>661</v>
      </c>
      <c r="G35" s="9">
        <v>2.0</v>
      </c>
      <c r="H35" s="9" t="s">
        <v>1166</v>
      </c>
      <c r="I35" s="9" t="s">
        <v>72</v>
      </c>
    </row>
    <row r="36">
      <c r="A36" s="16" t="s">
        <v>3511</v>
      </c>
      <c r="B36" s="78" t="s">
        <v>3508</v>
      </c>
      <c r="C36" s="15" t="s">
        <v>2371</v>
      </c>
      <c r="D36" s="16" t="s">
        <v>26</v>
      </c>
      <c r="F36" s="15">
        <v>2.0</v>
      </c>
      <c r="G36" s="15" t="s">
        <v>1053</v>
      </c>
      <c r="H36" s="15" t="s">
        <v>72</v>
      </c>
    </row>
    <row r="37">
      <c r="A37" s="51" t="s">
        <v>1472</v>
      </c>
      <c r="B37" s="16" t="s">
        <v>3512</v>
      </c>
      <c r="C37" s="16" t="s">
        <v>39</v>
      </c>
      <c r="D37" s="16" t="s">
        <v>3513</v>
      </c>
      <c r="F37" s="15">
        <v>0.0</v>
      </c>
      <c r="G37" s="15" t="s">
        <v>1474</v>
      </c>
      <c r="H37" s="15" t="s">
        <v>72</v>
      </c>
      <c r="I37" s="16" t="s">
        <v>3514</v>
      </c>
    </row>
    <row r="38">
      <c r="E38" s="16" t="s">
        <v>3515</v>
      </c>
    </row>
    <row r="39">
      <c r="E39" s="16" t="s">
        <v>3516</v>
      </c>
    </row>
    <row r="41">
      <c r="E41" s="20" t="s">
        <v>3499</v>
      </c>
    </row>
    <row r="42">
      <c r="E42" s="20" t="s">
        <v>3500</v>
      </c>
    </row>
    <row r="43">
      <c r="E43" s="20" t="s">
        <v>3501</v>
      </c>
    </row>
    <row r="44">
      <c r="E44" s="20" t="s">
        <v>3502</v>
      </c>
    </row>
    <row r="45">
      <c r="E45" s="20" t="s">
        <v>3503</v>
      </c>
    </row>
    <row r="46">
      <c r="E46" s="16" t="s">
        <v>3517</v>
      </c>
    </row>
    <row r="47">
      <c r="E47" s="16" t="s">
        <v>3518</v>
      </c>
    </row>
    <row r="48">
      <c r="E48" s="16" t="s">
        <v>3519</v>
      </c>
    </row>
    <row r="50">
      <c r="E50" s="16" t="s">
        <v>3520</v>
      </c>
    </row>
    <row r="51">
      <c r="E51" s="16" t="s">
        <v>3521</v>
      </c>
    </row>
    <row r="52">
      <c r="E52" s="16" t="s">
        <v>2384</v>
      </c>
    </row>
    <row r="53">
      <c r="A53" s="16" t="s">
        <v>3522</v>
      </c>
      <c r="E53" s="16" t="s">
        <v>3523</v>
      </c>
    </row>
    <row r="54">
      <c r="E54" s="16" t="s">
        <v>3524</v>
      </c>
    </row>
    <row r="55">
      <c r="A55" s="16" t="s">
        <v>3525</v>
      </c>
      <c r="E55" s="16" t="s">
        <v>3526</v>
      </c>
    </row>
    <row r="56">
      <c r="A56" s="16" t="s">
        <v>2395</v>
      </c>
      <c r="E56" s="16" t="s">
        <v>2396</v>
      </c>
    </row>
    <row r="58">
      <c r="E58" s="16" t="s">
        <v>3527</v>
      </c>
    </row>
    <row r="59">
      <c r="E59" s="16" t="s">
        <v>3528</v>
      </c>
    </row>
    <row r="61">
      <c r="E61" s="16" t="s">
        <v>3529</v>
      </c>
    </row>
    <row r="63">
      <c r="E63" s="16" t="s">
        <v>3530</v>
      </c>
    </row>
    <row r="64">
      <c r="E64" s="16" t="s">
        <v>3531</v>
      </c>
    </row>
    <row r="65">
      <c r="B65" s="16" t="s">
        <v>3532</v>
      </c>
    </row>
    <row r="67">
      <c r="E67" s="16" t="s">
        <v>3533</v>
      </c>
    </row>
    <row r="68">
      <c r="A68" s="16" t="s">
        <v>3534</v>
      </c>
      <c r="E68" s="16" t="s">
        <v>3535</v>
      </c>
    </row>
    <row r="69">
      <c r="E69" s="16" t="s">
        <v>3536</v>
      </c>
    </row>
    <row r="70">
      <c r="E70" s="16" t="s">
        <v>3537</v>
      </c>
    </row>
    <row r="71">
      <c r="A71" s="16" t="s">
        <v>1713</v>
      </c>
      <c r="E71" s="16" t="s">
        <v>3538</v>
      </c>
    </row>
    <row r="72">
      <c r="E72" s="16" t="s">
        <v>3539</v>
      </c>
    </row>
    <row r="73">
      <c r="E73" s="16" t="s">
        <v>3540</v>
      </c>
    </row>
    <row r="74">
      <c r="E74" s="16" t="s">
        <v>3541</v>
      </c>
    </row>
    <row r="75">
      <c r="E75" s="16" t="s">
        <v>3542</v>
      </c>
    </row>
    <row r="76">
      <c r="E76" s="16" t="s">
        <v>3543</v>
      </c>
    </row>
    <row r="77">
      <c r="E77" s="16" t="s">
        <v>3544</v>
      </c>
    </row>
    <row r="78">
      <c r="E78" s="16" t="s">
        <v>3545</v>
      </c>
    </row>
    <row r="80">
      <c r="E80" s="16" t="s">
        <v>3546</v>
      </c>
    </row>
    <row r="82">
      <c r="E82" s="16" t="s">
        <v>3547</v>
      </c>
    </row>
    <row r="83">
      <c r="E83" s="16" t="s">
        <v>3548</v>
      </c>
    </row>
    <row r="84">
      <c r="E84" s="16" t="s">
        <v>3549</v>
      </c>
    </row>
    <row r="85">
      <c r="E85" s="16" t="s">
        <v>3550</v>
      </c>
    </row>
    <row r="86">
      <c r="E86" s="16" t="s">
        <v>3551</v>
      </c>
    </row>
    <row r="87">
      <c r="E87" s="16" t="s">
        <v>3552</v>
      </c>
    </row>
    <row r="89">
      <c r="E89" s="16" t="s">
        <v>3553</v>
      </c>
    </row>
    <row r="90">
      <c r="E90" s="16" t="s">
        <v>3554</v>
      </c>
    </row>
    <row r="92">
      <c r="E92" s="16" t="s">
        <v>3555</v>
      </c>
    </row>
    <row r="93">
      <c r="E93" s="16" t="s">
        <v>3556</v>
      </c>
    </row>
    <row r="94">
      <c r="A94" s="16" t="s">
        <v>3557</v>
      </c>
      <c r="E94" s="16" t="s">
        <v>3558</v>
      </c>
    </row>
    <row r="95">
      <c r="E95" s="29" t="s">
        <v>2345</v>
      </c>
    </row>
    <row r="96">
      <c r="E96" s="16" t="s">
        <v>3559</v>
      </c>
    </row>
    <row r="97">
      <c r="A97" s="16" t="s">
        <v>3560</v>
      </c>
      <c r="E97" s="16" t="s">
        <v>3561</v>
      </c>
    </row>
    <row r="98">
      <c r="E98" s="226" t="s">
        <v>3562</v>
      </c>
    </row>
    <row r="100">
      <c r="A100" s="16" t="s">
        <v>3563</v>
      </c>
    </row>
    <row r="102">
      <c r="A102" s="24"/>
      <c r="B102" s="16" t="s">
        <v>3564</v>
      </c>
      <c r="E102" s="16" t="s">
        <v>3565</v>
      </c>
      <c r="F102" s="7"/>
      <c r="G102" s="7"/>
      <c r="H102" s="7"/>
      <c r="I102" s="227"/>
      <c r="J102" s="9"/>
      <c r="K102" s="228"/>
      <c r="L102" s="21"/>
    </row>
    <row r="103">
      <c r="A103" s="16" t="s">
        <v>3566</v>
      </c>
    </row>
    <row r="104">
      <c r="A104" s="20" t="s">
        <v>3567</v>
      </c>
      <c r="B104" s="20" t="s">
        <v>3508</v>
      </c>
      <c r="C104" s="20" t="s">
        <v>2350</v>
      </c>
      <c r="E104" s="20" t="s">
        <v>3568</v>
      </c>
      <c r="G104" s="20">
        <v>2.0</v>
      </c>
      <c r="H104" s="20" t="s">
        <v>1044</v>
      </c>
      <c r="I104" s="16" t="s">
        <v>34</v>
      </c>
    </row>
    <row r="105">
      <c r="A105" s="22" t="s">
        <v>3569</v>
      </c>
      <c r="B105" s="97" t="s">
        <v>1889</v>
      </c>
      <c r="C105" s="9" t="s">
        <v>1913</v>
      </c>
      <c r="E105" s="7" t="s">
        <v>3570</v>
      </c>
      <c r="G105" s="9">
        <v>0.0</v>
      </c>
      <c r="H105" s="9" t="s">
        <v>3571</v>
      </c>
      <c r="I105" s="9" t="s">
        <v>34</v>
      </c>
    </row>
    <row r="106">
      <c r="A106" s="16" t="s">
        <v>3572</v>
      </c>
      <c r="B106" s="90" t="s">
        <v>1503</v>
      </c>
      <c r="C106" s="15" t="s">
        <v>410</v>
      </c>
      <c r="E106" s="16" t="s">
        <v>3573</v>
      </c>
      <c r="G106" s="15">
        <v>0.0</v>
      </c>
      <c r="H106" s="15" t="s">
        <v>1528</v>
      </c>
      <c r="I106" s="15" t="s">
        <v>72</v>
      </c>
    </row>
    <row r="107">
      <c r="A107" s="7" t="s">
        <v>3574</v>
      </c>
      <c r="B107" s="8" t="s">
        <v>23</v>
      </c>
      <c r="C107" s="9" t="s">
        <v>30</v>
      </c>
      <c r="E107" s="29" t="s">
        <v>91</v>
      </c>
      <c r="G107" s="9">
        <v>6.0</v>
      </c>
      <c r="H107" s="9" t="s">
        <v>64</v>
      </c>
      <c r="I107" s="9" t="s">
        <v>28</v>
      </c>
    </row>
    <row r="108">
      <c r="A108" s="16" t="s">
        <v>3575</v>
      </c>
      <c r="C108" s="16" t="s">
        <v>1693</v>
      </c>
      <c r="E108" s="16" t="s">
        <v>3576</v>
      </c>
      <c r="I108" s="16" t="s">
        <v>72</v>
      </c>
    </row>
  </sheetData>
  <drawing r:id="rId1"/>
</worksheet>
</file>