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<sst xmlns="http://schemas.openxmlformats.org/spreadsheetml/2006/main" count="8459" uniqueCount="3633">
  <si>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</si>
  <si>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</si>
  <si>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</si>
  <si>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</si>
  <si>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</si>
  <si>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</si>
  <si>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</si>
  <si>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</si>
  <si>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</si>
  <si>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</si>
  <si>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</si>
  <si>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</si>
  <si>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</si>
  <si>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</si>
  <si>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</si>
  <si>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</si>
  <si>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</si>
  <si>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</si>
  <si>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</si>
  <si>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</si>
  <si>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</si>
  <si>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</si>
  <si>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</si>
  <si>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</si>
  <si>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</si>
  <si>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</si>
  <si>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</si>
  <si>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</si>
  <si>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</si>
  <si>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</si>
  <si>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</si>
  <si>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</si>
  <si>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</si>
  <si>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</si>
  <si>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</si>
  <si>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</si>
  <si>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</si>
  <si>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</si>
  <si>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</si>
  <si>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</si>
  <si>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</si>
  <si>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</si>
  <si>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</si>
  <si>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</si>
  <si>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</si>
  <si>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</si>
  <si>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</si>
  <si>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</si>
  <si>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</si>
  <si>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</si>
  <si>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</si>
  <si>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</si>
  <si>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</si>
  <si>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</si>
  <si>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</si>
  <si>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</si>
  <si>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</si>
  <si>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</si>
  <si>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</si>
  <si>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</si>
  <si>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</si>
  <si>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</si>
  <si>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</si>
  <si>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</si>
  <si>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</si>
  <si>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</si>
  <si>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</si>
  <si>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</si>
  <si>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</si>
  <si>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</si>
  <si>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</si>
  <si>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</si>
  <si>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</si>
  <si>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</si>
  <si>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</si>
  <si>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</si>
  <si>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</si>
  <si>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</si>
  <si>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</si>
  <si>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</si>
  <si>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</si>
  <si>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</si>
  <si>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</si>
  <si>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</si>
  <si>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</si>
  <si>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</si>
  <si>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</si>
  <si>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</si>
  <si>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</si>
  <si>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</si>
  <si>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</si>
  <si>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</si>
  <si>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</si>
  <si>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</si>
  <si>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</si>
  <si>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</si>
  <si>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</si>
  <si>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</si>
  <si>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</si>
  <si>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</si>
  <si>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</si>
  <si>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</si>
  <si>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</si>
  <si>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</si>
  <si>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</si>
  <si>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</si>
  <si>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</si>
  <si>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</si>
  <si>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</si>
  <si>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</si>
  <si>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</si>
  <si>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</si>
  <si>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</si>
  <si>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</si>
  <si>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</si>
  <si>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</si>
  <si>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</si>
  <si>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</si>
  <si>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</si>
  <si>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</si>
  <si>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</si>
  <si>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</si>
  <si>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</si>
  <si>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</si>
  <si>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</si>
  <si>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</si>
  <si>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</si>
  <si>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</si>
  <si>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</si>
  <si>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</si>
  <si>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</si>
  <si>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</si>
  <si>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</si>
  <si>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</si>
  <si>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</si>
  <si>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</si>
  <si>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</si>
  <si>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</si>
  <si>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</si>
  <si>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</si>
  <si>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</si>
  <si>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</si>
  <si>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</si>
  <si>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</si>
  <si>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</si>
  <si>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</si>
  <si>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</si>
  <si>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</si>
  <si>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</si>
  <si>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</si>
  <si>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</si>
  <si>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</si>
  <si>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</si>
  <si>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</si>
  <si>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</si>
  <si>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</si>
  <si>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</si>
  <si>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</si>
  <si>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</si>
  <si>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</si>
  <si>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</si>
  <si>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</si>
  <si>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</si>
  <si>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</si>
  <si>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</si>
  <si>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</si>
  <si>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</si>
  <si>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</si>
  <si>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</si>
  <si>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</si>
  <si>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</si>
  <si>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</si>
  <si>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</si>
  <si>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</si>
  <si>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</si>
  <si>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</si>
  <si>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</si>
  <si>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</si>
  <si>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</si>
  <si>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</si>
  <si>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</si>
  <si>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</si>
  <si>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</si>
  <si>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</si>
  <si>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</si>
  <si>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</si>
  <si>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</si>
  <si>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</si>
  <si>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</si>
  <si>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</si>
  <si>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</si>
  <si>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</si>
  <si>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</si>
  <si>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</si>
  <si>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</si>
  <si>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</si>
  <si>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</si>
  <si>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</si>
  <si>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</si>
  <si>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</si>
  <si>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</si>
  <si>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</si>
  <si>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</si>
  <si>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</si>
  <si>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</si>
  <si>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</si>
  <si>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</si>
  <si>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</si>
  <si>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</si>
  <si>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</si>
  <si>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</si>
  <si>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</si>
  <si>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</si>
  <si>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</si>
  <si>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</si>
  <si>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</si>
  <si>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</si>
  <si>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</si>
  <si>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</si>
  <si>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</si>
  <si>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</si>
  <si>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</si>
  <si>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</si>
  <si>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</si>
  <si>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</si>
  <si>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</si>
  <si>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</si>
  <si>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</si>
  <si>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</si>
  <si>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</si>
  <si>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</si>
  <si>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</si>
  <si>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</si>
  <si>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</si>
  <si>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</si>
  <si>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</si>
  <si>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</si>
  <si>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</si>
  <si>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</si>
  <si>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</si>
  <si>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</si>
  <si>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</si>
  <si>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</si>
  <si>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</si>
  <si>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</si>
  <si>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</si>
  <si>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</si>
  <si>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</si>
  <si>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</si>
  <si>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</si>
  <si>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</si>
  <si>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</si>
  <si>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</si>
  <si>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</si>
  <si>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</si>
  <si>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</si>
  <si>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</si>
  <si>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</si>
  <si>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</si>
  <si>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</si>
  <si>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</si>
  <si>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</si>
  <si>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</si>
  <si>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</si>
  <si>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</si>
  <si>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</si>
  <si>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</si>
  <si>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</si>
  <si>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</si>
  <si>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</si>
  <si>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</si>
  <si>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</si>
  <si>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</si>
  <si>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</si>
  <si>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</si>
  <si>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</si>
  <si>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</si>
  <si>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</si>
  <si>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</si>
  <si>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</si>
  <si>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</si>
  <si>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</si>
  <si>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</si>
  <si>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</si>
  <si>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</si>
  <si>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</si>
  <si>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</si>
  <si>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</si>
  <si>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</si>
  <si>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</si>
  <si>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</si>
  <si>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</si>
  <si>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</si>
  <si>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</si>
  <si>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</si>
  <si>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</si>
  <si>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</si>
  <si>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</si>
  <si>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</si>
  <si>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</si>
  <si>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</si>
  <si>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</si>
  <si>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</si>
  <si>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</si>
  <si>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</si>
  <si>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</si>
  <si>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</si>
  <si>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</si>
  <si>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</si>
  <si>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</si>
  <si>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</si>
  <si>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</si>
  <si>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</si>
  <si>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</si>
  <si>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</si>
  <si>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</si>
  <si>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</si>
  <si>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</si>
  <si>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</si>
  <si>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</si>
  <si>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</si>
  <si>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</si>
  <si>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</si>
  <si>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</si>
  <si>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</si>
  <si>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</si>
  <si>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</si>
  <si>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</si>
  <si>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</si>
  <si>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</si>
  <si>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</si>
  <si>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</si>
  <si>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</si>
  <si>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</si>
  <si>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</si>
  <si>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</si>
  <si>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</si>
  <si>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</si>
  <si>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</si>
  <si>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</si>
  <si>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</si>
  <si>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</si>
  <si>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</si>
  <si>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</si>
  <si>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</si>
  <si>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</si>
  <si>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</si>
  <si>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</si>
  <si>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</si>
  <si>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</si>
  <si>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</si>
  <si>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</si>
  <si>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</si>
  <si>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</si>
  <si>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</si>
  <si>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</si>
  <si>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</si>
  <si>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</si>
  <si>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</si>
  <si>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</si>
  <si>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</si>
  <si>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</si>
  <si>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</si>
  <si>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</si>
  <si>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</si>
  <si>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</si>
  <si>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</si>
  <si>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</si>
  <si>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</si>
  <si>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</si>
  <si>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</si>
  <si>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</si>
  <si>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</si>
  <si>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</si>
  <si>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</si>
  <si>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</si>
  <si>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</si>
  <si>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</si>
  <si>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</si>
  <si>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</si>
  <si>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</si>
  <si>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</si>
  <si>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</si>
  <si>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</si>
  <si>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</si>
  <si>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</si>
  <si>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</si>
  <si>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</si>
  <si>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</si>
  <si>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</si>
  <si>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</si>
  <si>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</si>
  <si>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</si>
  <si>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</si>
  <si>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</si>
  <si>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</si>
  <si>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</si>
  <si>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</si>
  <si>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</si>
  <si>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</si>
  <si>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</si>
  <si>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</si>
  <si>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</si>
  <si>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</si>
  <si>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</si>
  <si>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</si>
  <si>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</si>
  <si>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</si>
  <si>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</si>
  <si>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</si>
  <si>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</si>
  <si>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</si>
  <si>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</si>
  <si>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</si>
  <si>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</si>
  <si>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</si>
  <si>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</si>
  <si>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</si>
  <si>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</si>
  <si>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</si>
  <si>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</si>
  <si>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</si>
  <si>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</si>
  <si>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</si>
  <si>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</si>
  <si>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</si>
  <si>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</si>
  <si>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</si>
  <si>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</si>
  <si>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</si>
  <si>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</si>
  <si>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</si>
  <si>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</si>
  <si>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</si>
  <si>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</si>
  <si>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</si>
  <si>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</si>
  <si>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</si>
  <si>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</si>
  <si>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</si>
  <si>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</si>
  <si>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</si>
  <si>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</si>
  <si>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</si>
  <si>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</si>
  <si>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</si>
  <si>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</si>
  <si>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</si>
  <si>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</si>
  <si>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</si>
  <si>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</si>
  <si>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</si>
  <si>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</si>
  <si>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</si>
  <si>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</si>
  <si>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</si>
  <si>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</si>
  <si>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</si>
  <si>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</si>
  <si>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</si>
  <si>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</si>
  <si>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</si>
  <si>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</si>
  <si>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</si>
  <si>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</si>
  <si>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</si>
  <si>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</si>
  <si>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</si>
  <si>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</si>
  <si>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</si>
  <si>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</si>
  <si>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</si>
  <si>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</si>
  <si>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</si>
  <si>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</si>
  <si>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</si>
  <si>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</si>
  <si>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</si>
  <si>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</si>
  <si>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</si>
  <si>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</si>
  <si>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</si>
  <si>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</si>
  <si>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</si>
  <si>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</si>
  <si>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</si>
  <si>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</si>
  <si>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</si>
  <si>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</si>
  <si>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</si>
  <si>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</si>
  <si>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</si>
  <si>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</si>
  <si>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</si>
  <si>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</si>
  <si>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</si>
  <si>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</si>
  <si>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</si>
  <si>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</si>
  <si>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</si>
  <si>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</si>
  <si>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</si>
  <si>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</si>
  <si>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</si>
  <si>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</si>
  <si>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</si>
  <si>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</si>
  <si>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</si>
  <si>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</si>
  <si>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</si>
  <si>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</si>
  <si>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</si>
  <si>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</si>
  <si>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</si>
  <si>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</si>
  <si>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</si>
  <si>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</si>
  <si>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</si>
  <si>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</si>
  <si>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</si>
  <si>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</si>
  <si>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</si>
  <si>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</si>
  <si>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</si>
  <si>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</si>
  <si>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</si>
  <si>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</si>
  <si>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</si>
  <si>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</si>
  <si>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</si>
  <si>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</si>
  <si>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</si>
  <si>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</si>
  <si>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</si>
  <si>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</si>
  <si>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</si>
  <si>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</si>
  <si>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</si>
  <si>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</si>
  <si>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</si>
  <si>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</si>
  <si>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</si>
  <si>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</si>
  <si>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</si>
  <si>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</si>
  <si>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</si>
  <si>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</si>
  <si>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</si>
  <si>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</si>
  <si>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</si>
  <si>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</si>
  <si>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</si>
  <si>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</si>
  <si>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</si>
  <si>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</si>
  <si>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</si>
  <si>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</si>
  <si>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</si>
  <si>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</si>
  <si>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</si>
  <si>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</si>
  <si>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</si>
  <si>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</si>
  <si>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</si>
  <si>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</si>
  <si>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</si>
  <si>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</si>
  <si>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</si>
  <si>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</si>
  <si>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</si>
  <si>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</si>
  <si>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</si>
  <si>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</si>
  <si>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</si>
  <si>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</si>
  <si>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</si>
  <si>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</si>
  <si>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</si>
  <si>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</si>
  <si>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</si>
  <si>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</si>
  <si>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</si>
  <si>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</si>
  <si>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</si>
  <si>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</si>
  <si>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</si>
  <si>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</si>
  <si>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</si>
  <si>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</si>
  <si>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</si>
  <si>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</si>
  <si>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</si>
  <si>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</si>
  <si>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</si>
  <si>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</si>
  <si>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</si>
  <si>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</si>
  <si>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</si>
  <si>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</si>
  <si>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</si>
  <si>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</si>
  <si>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</si>
  <si>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</si>
  <si>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</si>
  <si>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</si>
  <si>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</si>
  <si>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</si>
  <si>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</si>
  <si>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</si>
  <si>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</si>
  <si>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</si>
  <si>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</si>
  <si>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</si>
  <si>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</si>
  <si>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</si>
  <si>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</si>
  <si>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</si>
  <si>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</si>
  <si>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</si>
  <si>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</si>
  <si>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</si>
  <si>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</si>
  <si>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</si>
  <si>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</si>
  <si>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</si>
  <si>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</si>
  <si>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</si>
  <si>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</si>
  <si>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</si>
  <si>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</si>
  <si>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</si>
  <si>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</si>
  <si>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</si>
  <si>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</si>
  <si>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</si>
  <si>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</si>
  <si>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</si>
  <si>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</si>
  <si>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</si>
  <si>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</si>
  <si>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</si>
  <si>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</si>
  <si>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</si>
  <si>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</si>
  <si>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</si>
  <si>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</si>
  <si>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</si>
  <si>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</si>
  <si>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</si>
  <si>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</si>
  <si>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</si>
  <si>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</si>
  <si>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</si>
  <si>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</si>
  <si>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</si>
  <si>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</si>
  <si>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</si>
  <si>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</si>
  <si>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</si>
  <si>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</si>
  <si>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</si>
  <si>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</si>
  <si>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</si>
  <si>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</si>
  <si>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</si>
  <si>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</si>
  <si>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</si>
  <si>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</si>
  <si>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</si>
  <si>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</si>
  <si>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</si>
  <si>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</si>
  <si>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</si>
  <si>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</si>
  <si>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</si>
  <si>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</si>
  <si>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</si>
  <si>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</si>
  <si>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</si>
  <si>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</si>
  <si>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</si>
  <si>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</si>
  <si>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</si>
  <si>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</si>
  <si>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</si>
  <si>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</si>
  <si>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</si>
  <si>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</si>
  <si>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</si>
  <si>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</si>
  <si>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</si>
  <si>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</si>
  <si>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</si>
  <si>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</si>
  <si>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</si>
  <si>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</si>
  <si>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</si>
  <si>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</si>
  <si>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</si>
  <si>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</si>
  <si>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</si>
  <si>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</si>
  <si>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</si>
  <si>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</si>
  <si>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</si>
  <si>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</si>
  <si>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</si>
  <si>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</si>
  <si>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</si>
  <si>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</si>
  <si>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</si>
  <si>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</si>
  <si>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</si>
  <si>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</si>
  <si>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</si>
  <si>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</si>
  <si>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</si>
  <si>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</si>
  <si>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</si>
  <si>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</si>
  <si>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</si>
  <si>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</si>
  <si>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</si>
  <si>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</si>
  <si>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</si>
  <si>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</si>
  <si>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</si>
  <si>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</si>
  <si>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</si>
  <si>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</si>
  <si>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</si>
  <si>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</si>
  <si>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</si>
  <si>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</si>
  <si>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</si>
  <si>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</si>
  <si>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</si>
  <si>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</si>
  <si>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</si>
  <si>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</si>
  <si>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</si>
  <si>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</si>
  <si>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</si>
  <si>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</si>
  <si>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</si>
  <si>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</si>
  <si>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</si>
  <si>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</si>
  <si>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</si>
  <si>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</si>
  <si>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</si>
  <si>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</si>
  <si>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</si>
  <si>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</si>
  <si>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</si>
  <si>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</si>
  <si>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</si>
  <si>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</si>
  <si>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</si>
  <si>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</si>
  <si>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</si>
  <si>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</si>
  <si>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</si>
  <si>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</si>
  <si>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</si>
  <si>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</si>
  <si>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</si>
  <si>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</si>
  <si>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</si>
  <si>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</si>
  <si>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</si>
  <si>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</si>
  <si>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</si>
  <si>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</si>
  <si>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</si>
  <si>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</si>
  <si>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</si>
  <si>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</si>
  <si>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</si>
  <si>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</si>
  <si>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</si>
  <si>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</si>
  <si>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</si>
  <si>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</si>
  <si>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</si>
  <si>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</si>
  <si>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</si>
  <si>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</si>
  <si>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</si>
  <si>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</si>
  <si>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</si>
  <si>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</si>
  <si>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</si>
  <si>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</si>
  <si>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</si>
  <si>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</si>
  <si>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</si>
  <si>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</si>
  <si>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</si>
  <si>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</si>
  <si>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</si>
  <si>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</si>
  <si>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</si>
  <si>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</si>
  <si>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</si>
  <si>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</si>
  <si>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</si>
  <si>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</si>
  <si>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</si>
  <si>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</si>
  <si>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</si>
  <si>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</si>
  <si>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</si>
  <si>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</si>
  <si>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</si>
  <si>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</si>
  <si>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</si>
  <si>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</si>
  <si>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</si>
  <si>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</si>
  <si>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</si>
  <si>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</si>
  <si>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</si>
  <si>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</si>
  <si>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</si>
  <si>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</si>
  <si>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</si>
  <si>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</si>
  <si>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</si>
  <si>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</si>
  <si>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</si>
  <si>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</si>
  <si>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</si>
  <si>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</si>
  <si>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</si>
  <si>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</si>
  <si>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</si>
  <si>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</si>
  <si>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</si>
  <si>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</si>
  <si>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</si>
  <si>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</si>
  <si>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</si>
  <si>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</si>
  <si>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</si>
  <si>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</si>
  <si>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</si>
  <si>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</si>
  <si>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</si>
  <si>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</si>
  <si>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</si>
  <si>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</si>
  <si>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</si>
  <si>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</si>
  <si>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</si>
  <si>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</si>
  <si>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</si>
  <si>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</si>
  <si>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</si>
  <si>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</si>
  <si>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</si>
  <si>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</si>
  <si>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</si>
  <si>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</si>
  <si>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</si>
  <si>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</si>
  <si>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</si>
  <si>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</si>
  <si>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</si>
  <si>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</si>
  <si>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</si>
  <si>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</si>
  <si>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</si>
  <si>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</si>
  <si>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</si>
  <si>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</si>
  <si>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</si>
  <si>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</si>
  <si>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</si>
  <si>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</si>
  <si>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</si>
  <si>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</si>
  <si>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</si>
  <si>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</si>
  <si>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</si>
  <si>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</si>
  <si>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</si>
  <si>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</si>
  <si>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</si>
  <si>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</si>
  <si>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</si>
  <si>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</si>
  <si>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</si>
  <si>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</si>
  <si>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</si>
  <si>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</si>
  <si>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</si>
  <si>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</si>
  <si>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</si>
  <si>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</si>
  <si>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</si>
  <si>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</si>
  <si>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</si>
  <si>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</si>
  <si>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</si>
  <si>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</si>
  <si>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</si>
  <si>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</si>
  <si>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</si>
  <si>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</si>
  <si>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</si>
  <si>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</si>
  <si>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</si>
  <si>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</si>
  <si>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</si>
  <si>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</si>
  <si>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</si>
  <si>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</si>
  <si>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</si>
  <si>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</si>
  <si>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</si>
  <si>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</si>
  <si>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</si>
  <si>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</si>
  <si>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</si>
  <si>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</si>
  <si>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</si>
  <si>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</si>
  <si>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</si>
  <si>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</si>
  <si>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</si>
  <si>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</si>
  <si>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</si>
  <si>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</si>
  <si>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</si>
  <si>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</si>
  <si>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</si>
  <si>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</si>
  <si>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</si>
  <si>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</si>
  <si>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</si>
  <si>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</si>
  <si>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</si>
  <si>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</si>
  <si>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</si>
  <si>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</si>
  <si>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</si>
  <si>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</si>
  <si>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</si>
  <si>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</si>
  <si>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</si>
  <si>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</si>
  <si>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</si>
  <si>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</si>
  <si>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</si>
  <si>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</si>
  <si>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</si>
  <si>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</si>
  <si>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</si>
  <si>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</si>
  <si>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</si>
  <si>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</si>
  <si>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</si>
  <si>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</si>
  <si>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</si>
  <si>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</si>
  <si>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</si>
  <si>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</si>
  <si>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</si>
  <si>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</si>
  <si>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</si>
  <si>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</si>
  <si>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</si>
  <si>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</si>
  <si>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</si>
  <si>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</si>
  <si>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</si>
  <si>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</si>
  <si>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</si>
  <si>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</si>
  <si>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</si>
  <si>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</si>
  <si>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</si>
  <si>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</si>
  <si>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</si>
  <si>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</si>
  <si>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</si>
  <si>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</si>
  <si>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</si>
  <si>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</si>
  <si>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</si>
  <si>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</si>
  <si>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</si>
  <si>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</si>
  <si>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</si>
  <si>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</si>
  <si>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</si>
  <si>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</si>
  <si>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</si>
  <si>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</si>
  <si>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</si>
  <si>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</si>
  <si>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</si>
  <si>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</si>
  <si>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</si>
  <si>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</si>
  <si>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</si>
  <si>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</si>
  <si>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</si>
  <si>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</si>
  <si>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</si>
  <si>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</si>
  <si>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</si>
  <si>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</si>
  <si>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</si>
  <si>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</si>
  <si>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</si>
  <si>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</si>
  <si>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</si>
  <si>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</si>
  <si>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</si>
  <si>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</si>
  <si>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</si>
  <si>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</si>
  <si>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</si>
  <si>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</si>
  <si>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</si>
  <si>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</si>
  <si>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</si>
  <si>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</si>
  <si>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</si>
  <si>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</si>
  <si>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</si>
  <si>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</si>
  <si>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</si>
  <si>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</si>
  <si>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</si>
  <si>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</si>
  <si>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</si>
  <si>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</si>
  <si>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</si>
  <si>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</si>
  <si>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</si>
  <si>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</si>
  <si>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</si>
  <si>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</si>
  <si>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</si>
  <si>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</si>
  <si>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</si>
  <si>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</si>
  <si>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</si>
  <si>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</si>
  <si>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</si>
  <si>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</si>
  <si>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</si>
  <si>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</si>
  <si>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</si>
  <si>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</si>
  <si>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</si>
  <si>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</si>
  <si>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</si>
  <si>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</si>
  <si>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</si>
  <si>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</si>
  <si>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</si>
  <si>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</si>
  <si>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</si>
  <si>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</si>
  <si>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</si>
  <si>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</si>
  <si>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</si>
  <si>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</si>
  <si>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</si>
  <si>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</si>
  <si>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</si>
  <si>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</si>
  <si>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</si>
  <si>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</si>
  <si>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</si>
  <si>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</si>
  <si>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</si>
  <si>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</si>
  <si>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</si>
  <si>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</si>
  <si>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</si>
  <si>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</si>
  <si>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</si>
  <si>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</si>
  <si>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</si>
  <si>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</si>
  <si>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</si>
  <si>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</si>
  <si>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</si>
  <si>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</si>
  <si>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</si>
  <si>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</si>
  <si>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</si>
  <si>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</si>
  <si>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</si>
  <si>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</si>
  <si>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</si>
  <si>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</si>
  <si>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</si>
  <si>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</si>
  <si>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</si>
  <si>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</si>
  <si>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</si>
  <si>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</si>
  <si>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</si>
  <si>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</si>
  <si>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</si>
  <si>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</si>
  <si>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</si>
  <si>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</si>
  <si>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</si>
  <si>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</si>
  <si>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</si>
  <si>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</si>
  <si>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</si>
  <si>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</si>
  <si>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</si>
  <si>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</si>
  <si>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</si>
  <si>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</si>
  <si>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</si>
  <si>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</si>
  <si>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</si>
  <si>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</si>
  <si>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</si>
  <si>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</si>
  <si>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</si>
  <si>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</si>
  <si>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</si>
  <si>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</si>
  <si>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</si>
  <si>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</si>
  <si>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</si>
  <si>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</si>
  <si>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</si>
  <si>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</si>
  <si>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</si>
  <si>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</si>
  <si>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</si>
  <si>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</si>
  <si>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</si>
  <si>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</si>
  <si>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</si>
  <si>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</si>
  <si>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</si>
  <si>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</si>
  <si>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</si>
  <si>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</si>
  <si>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</si>
  <si>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</si>
  <si>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</si>
  <si>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</si>
  <si>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</si>
  <si>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</si>
  <si>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</si>
  <si>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</si>
  <si>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</si>
  <si>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</si>
  <si>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</si>
  <si>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</si>
  <si>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</si>
  <si>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</si>
  <si>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</si>
  <si>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</si>
  <si>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</si>
  <si>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</si>
  <si>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</si>
  <si>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</si>
  <si>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</si>
  <si>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</si>
  <si>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</si>
  <si>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</si>
  <si>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</si>
  <si>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</si>
  <si>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</si>
  <si>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</si>
  <si>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</si>
  <si>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</si>
  <si>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</si>
  <si>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</si>
  <si>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</si>
  <si>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</si>
  <si>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</si>
  <si>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</si>
  <si>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</si>
  <si>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</si>
  <si>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</si>
  <si>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</si>
  <si>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</si>
  <si>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</si>
  <si>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</si>
  <si>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</si>
  <si>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</si>
  <si>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</si>
  <si>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</si>
  <si>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</si>
  <si>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</si>
  <si>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</si>
  <si>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</si>
  <si>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</si>
  <si>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</si>
  <si>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</si>
  <si>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</si>
  <si>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</si>
  <si>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</si>
  <si>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</si>
  <si>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</si>
  <si>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</si>
  <si>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</si>
  <si>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</si>
  <si>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</si>
  <si>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</si>
  <si>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</si>
  <si>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</si>
  <si>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</si>
  <si>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</si>
  <si>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</si>
  <si>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</si>
  <si>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</si>
  <si>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</si>
  <si>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</si>
  <si>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</si>
  <si>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</si>
  <si>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</si>
  <si>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</si>
  <si>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</si>
  <si>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</si>
  <si>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</si>
  <si>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</si>
  <si>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</si>
  <si>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</si>
  <si>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</si>
  <si>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</si>
  <si>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</si>
  <si>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</si>
  <si>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</si>
  <si>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</si>
  <si>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</si>
  <si>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</si>
  <si>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</si>
  <si>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</si>
  <si>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</si>
  <si>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</si>
  <si>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</si>
  <si>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</si>
  <si>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</si>
  <si>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</si>
  <si>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</si>
  <si>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</si>
  <si>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</si>
  <si>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</si>
  <si>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</si>
  <si>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</si>
  <si>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</si>
  <si>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</si>
  <si>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</si>
  <si>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</si>
  <si>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</si>
  <si>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</si>
  <si>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</si>
  <si>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</si>
  <si>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</si>
  <si>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</si>
  <si>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</si>
  <si>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</si>
  <si>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</si>
  <si>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</si>
  <si>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</si>
  <si>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</si>
  <si>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</si>
  <si>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</si>
  <si>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</si>
  <si>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</si>
  <si>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</si>
  <si>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</si>
  <si>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</si>
  <si>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</si>
  <si>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</si>
  <si>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</si>
  <si>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</si>
  <si>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</si>
  <si>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</si>
  <si>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</si>
  <si>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</si>
  <si>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</si>
  <si>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</si>
  <si>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</si>
  <si>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</si>
  <si>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</si>
  <si>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</si>
  <si>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</si>
  <si>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</si>
  <si>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</si>
  <si>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</si>
  <si>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</si>
  <si>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</si>
  <si>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</si>
  <si>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</si>
  <si>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</si>
  <si>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</si>
  <si>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</si>
  <si>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</si>
  <si>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</si>
  <si>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</si>
  <si>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</si>
  <si>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</si>
  <si>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</si>
  <si>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</si>
  <si>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</si>
  <si>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</si>
  <si>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</si>
  <si>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</si>
  <si>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</si>
  <si>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</si>
  <si>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</si>
  <si>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</si>
  <si>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</si>
  <si>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</si>
  <si>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</si>
  <si>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</si>
  <si>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</si>
  <si>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</si>
  <si>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</si>
  <si>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</si>
  <si>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</si>
  <si>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</si>
  <si>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</si>
  <si>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</si>
  <si>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</si>
  <si>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</si>
  <si>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</si>
  <si>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</si>
  <si>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</si>
  <si>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</si>
  <si>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</si>
  <si>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</si>
  <si>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</si>
  <si>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</si>
  <si>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</si>
  <si>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</si>
  <si>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</si>
  <si>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</si>
  <si>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</si>
  <si>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</si>
  <si>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</si>
  <si>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</si>
  <si>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</si>
  <si>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</si>
  <si>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</si>
  <si>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</si>
  <si>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</si>
  <si>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</si>
  <si>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</si>
  <si>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</si>
  <si>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</si>
  <si>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</si>
  <si>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</si>
  <si>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</si>
  <si>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</si>
  <si>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</si>
  <si>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</si>
  <si>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</si>
  <si>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</si>
  <si>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</si>
  <si>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</si>
  <si>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</si>
  <si>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</si>
  <si>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</si>
  <si>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</si>
  <si>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</si>
  <si>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</si>
  <si>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</si>
  <si>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</si>
  <si>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</si>
  <si>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</si>
  <si>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</si>
  <si>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</si>
  <si>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</si>
  <si>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</si>
  <si>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</si>
  <si>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</si>
  <si>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</si>
  <si>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</si>
  <si>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</si>
  <si>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</si>
  <si>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</si>
  <si>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</si>
  <si>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</si>
  <si>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</si>
  <si>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</si>
  <si>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</si>
  <si>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</si>
  <si>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</si>
  <si>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</si>
  <si>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</si>
  <si>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</si>
  <si>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</si>
  <si>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</si>
  <si>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</si>
  <si>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</si>
  <si>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</si>
  <si>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</si>
  <si>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</si>
  <si>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</si>
  <si>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</si>
  <si>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</si>
  <si>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</si>
  <si>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</si>
  <si>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</si>
  <si>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</si>
  <si>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</si>
  <si>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</si>
  <si>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</si>
  <si>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</si>
  <si>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</si>
  <si>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</si>
  <si>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</si>
  <si>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</si>
  <si>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</si>
  <si>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</si>
  <si>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</si>
  <si>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</si>
  <si>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</si>
  <si>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</si>
  <si>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</si>
  <si>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</si>
  <si>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</si>
  <si>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</si>
  <si>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</si>
  <si>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</si>
  <si>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</si>
  <si>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</si>
  <si>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</si>
  <si>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</si>
  <si>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</si>
  <si>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</si>
  <si>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</si>
  <si>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</si>
  <si>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</si>
  <si>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</si>
  <si>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</si>
  <si>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</si>
  <si>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</si>
  <si>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</si>
  <si>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</si>
  <si>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</si>
  <si>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</si>
  <si>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</si>
  <si>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</si>
  <si>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</si>
  <si>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</si>
  <si>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</si>
  <si>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</si>
  <si>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</si>
  <si>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</si>
  <si>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</si>
  <si>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</si>
  <si>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</si>
  <si>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</si>
  <si>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</si>
  <si>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</si>
  <si>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</si>
  <si>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</si>
  <si>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</si>
  <si>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</si>
  <si>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</si>
  <si>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</si>
  <si>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</si>
  <si>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</si>
  <si>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</si>
  <si>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</si>
  <si>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</si>
  <si>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</si>
  <si>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</si>
  <si>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</si>
  <si>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</si>
  <si>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</si>
  <si>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</si>
  <si>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</si>
  <si>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</si>
  <si>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</si>
  <si>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</si>
  <si>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</si>
  <si>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</si>
  <si>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</si>
  <si>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</si>
  <si>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</si>
  <si>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</si>
  <si>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</si>
  <si>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</si>
  <si>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</si>
  <si>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</si>
  <si>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</si>
  <si>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</si>
  <si>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</si>
  <si>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</si>
  <si>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</si>
  <si>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</si>
  <si>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</si>
  <si>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</si>
  <si>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</si>
  <si>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</si>
  <si>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</si>
  <si>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</si>
  <si>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</si>
  <si>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</si>
  <si>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</si>
  <si>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</si>
  <si>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</si>
  <si>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</si>
  <si>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</si>
  <si>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</si>
  <si>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</si>
  <si>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</si>
  <si>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</si>
  <si>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</si>
  <si>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</si>
  <si>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</si>
  <si>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</si>
  <si>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</si>
  <si>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</si>
  <si>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</si>
  <si>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</si>
  <si>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</si>
  <si>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</si>
  <si>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</si>
  <si>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</si>
  <si>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</si>
  <si>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</si>
  <si>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</si>
  <si>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</si>
  <si>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</si>
  <si>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</si>
  <si>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</si>
  <si>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</si>
  <si>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</si>
  <si>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</si>
  <si>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</si>
  <si>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</si>
  <si>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</si>
  <si>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</si>
  <si>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</si>
  <si>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</si>
  <si>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</si>
  <si>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</si>
  <si>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</si>
  <si>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</si>
  <si>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</si>
  <si>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</si>
  <si>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</si>
  <si>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</si>
  <si>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</si>
  <si>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</si>
  <si>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</si>
  <si>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</si>
  <si>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</si>
  <si>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</si>
  <si>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</si>
  <si>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</si>
  <si>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</si>
  <si>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</si>
  <si>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</si>
  <si>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</si>
  <si>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</si>
  <si>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</si>
  <si>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</si>
  <si>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</si>
  <si>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</si>
  <si>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</si>
  <si>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</si>
  <si>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</si>
  <si>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</si>
  <si>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</si>
  <si>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</si>
  <si>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</si>
  <si>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</si>
  <si>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</si>
  <si>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</si>
  <si>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</si>
  <si>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</si>
  <si>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</si>
  <si>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</si>
  <si>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</si>
  <si>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</si>
  <si>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</si>
  <si>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</si>
  <si>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</si>
  <si>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</si>
  <si>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</si>
  <si>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</si>
  <si>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</si>
  <si>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</si>
  <si>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</si>
  <si>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</si>
  <si>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</si>
  <si>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</si>
  <si>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</si>
  <si>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</si>
  <si>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</si>
  <si>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</si>
  <si>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</si>
  <si>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</si>
  <si>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</si>
  <si>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</si>
  <si>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</si>
  <si>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</si>
  <si>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</si>
  <si>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</si>
  <si>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</si>
  <si>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</si>
  <si>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</si>
  <si>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</si>
  <si>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</si>
  <si>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</si>
  <si>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</si>
  <si>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</si>
  <si>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</si>
  <si>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</si>
  <si>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</si>
  <si>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</si>
  <si>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</si>
  <si>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</si>
  <si>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</si>
  <si>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</si>
  <si>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</si>
  <si>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</si>
  <si>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</si>
  <si>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</si>
  <si>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</si>
  <si>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</si>
  <si>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</si>
  <si>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</si>
  <si>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</si>
  <si>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</si>
  <si>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</si>
  <si>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</si>
  <si>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</si>
  <si>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</si>
  <si>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</si>
  <si>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</si>
  <si>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</si>
  <si>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</si>
  <si>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</si>
  <si>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</si>
  <si>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</si>
  <si>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</si>
  <si>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</si>
  <si>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</si>
  <si>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</si>
  <si>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</si>
  <si>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</si>
  <si>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</si>
  <si>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</si>
  <si>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</si>
  <si>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</si>
  <si>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</si>
  <si>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</si>
  <si>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</si>
  <si>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</si>
  <si>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</si>
  <si>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</si>
  <si>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</si>
  <si>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</si>
  <si>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</si>
  <si>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</si>
  <si>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</si>
  <si>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</si>
  <si>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</si>
  <si>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</si>
  <si>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</si>
  <si>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</si>
  <si>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</si>
  <si>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</si>
  <si>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</si>
  <si>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</si>
  <si>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</si>
  <si>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</si>
  <si>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</si>
  <si>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</si>
  <si>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</si>
  <si>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</si>
  <si>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</si>
  <si>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</si>
  <si>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</si>
  <si>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</si>
  <si>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</si>
  <si>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</si>
  <si>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</si>
  <si>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</si>
  <si>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</si>
  <si>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</si>
  <si>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</si>
  <si>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</si>
  <si>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</si>
  <si>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</si>
  <si>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</si>
  <si>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</si>
  <si>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</si>
  <si>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</si>
  <si>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</si>
  <si>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</si>
  <si>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</si>
  <si>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</si>
  <si>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</si>
  <si>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</si>
  <si>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</si>
  <si>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</si>
  <si>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</si>
  <si>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</si>
  <si>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</si>
  <si>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</si>
  <si>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</si>
  <si>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</si>
  <si>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</si>
  <si>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</si>
  <si>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</si>
  <si>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</si>
  <si>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</si>
  <si>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</si>
  <si>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</si>
  <si>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</si>
  <si>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</si>
  <si>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</si>
  <si>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</si>
  <si>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</si>
  <si>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</si>
  <si>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</si>
  <si>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</si>
  <si>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</si>
  <si>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</si>
  <si>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</si>
  <si>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</si>
  <si>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</si>
  <si>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</si>
  <si>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</si>
  <si>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</si>
  <si>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</si>
  <si>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</si>
  <si>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</si>
  <si>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</si>
  <si>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</si>
  <si>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</si>
  <si>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</si>
  <si>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</si>
  <si>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</si>
  <si>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</si>
  <si>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</si>
  <si>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</si>
  <si>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</si>
  <si>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</si>
  <si>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</si>
  <si>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</si>
  <si>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</si>
  <si>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</si>
  <si>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</si>
  <si>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</si>
  <si>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</si>
  <si>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</si>
  <si>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</si>
  <si>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</si>
  <si>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</si>
  <si>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</si>
  <si>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</si>
  <si>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</si>
  <si>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</si>
  <si>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</si>
  <si>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</si>
  <si>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</si>
  <si>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</si>
  <si>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</si>
  <si>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</si>
  <si>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</si>
  <si>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</si>
  <si>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</si>
  <si>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</si>
  <si>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</si>
  <si>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</si>
  <si>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</si>
  <si>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</si>
  <si>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</si>
  <si>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</si>
  <si>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</si>
  <si>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</si>
  <si>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</si>
  <si>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</si>
  <si>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</si>
  <si>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</si>
  <si>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</si>
  <si>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</si>
  <si>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</si>
  <si>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</si>
  <si>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</si>
  <si>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</si>
  <si>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</si>
  <si>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</si>
  <si>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</si>
  <si>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</si>
  <si>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</si>
  <si>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</si>
  <si>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</si>
  <si>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</si>
  <si>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</si>
  <si>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</si>
  <si>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</si>
  <si>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</si>
  <si>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</si>
  <si>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</si>
  <si>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</si>
  <si>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</si>
  <si>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</si>
  <si>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</si>
  <si>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</si>
  <si>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</si>
  <si>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</si>
  <si>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</si>
  <si>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</si>
  <si>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</si>
  <si>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</si>
  <si>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</si>
  <si>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</si>
  <si>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</si>
  <si>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</si>
  <si>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</si>
  <si>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</si>
  <si>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</si>
  <si>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</si>
  <si>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</si>
  <si>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</si>
  <si>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</si>
  <si>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</si>
  <si>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</si>
  <si>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</si>
  <si>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</si>
  <si>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</si>
  <si>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</si>
  <si>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</si>
  <si>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</si>
  <si>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</si>
  <si>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</si>
  <si>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</si>
  <si>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</si>
  <si>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</si>
  <si>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</si>
  <si>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</si>
  <si>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</si>
  <si>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</si>
  <si>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</si>
  <si>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</si>
  <si>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</si>
  <si>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</si>
  <si>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</si>
  <si>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</si>
  <si>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</si>
  <si>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</si>
  <si>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</si>
  <si>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</si>
  <si>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</si>
  <si>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</si>
  <si>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</si>
  <si>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</si>
  <si>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</si>
  <si>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</si>
  <si>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</si>
  <si>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</si>
  <si>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</si>
  <si>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</si>
  <si>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</si>
  <si>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</si>
  <si>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</si>
  <si>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</si>
  <si>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</si>
  <si>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</si>
  <si>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</si>
  <si>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</si>
  <si>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</si>
  <si>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</si>
  <si>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</si>
  <si>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</si>
  <si>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</si>
  <si>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</si>
  <si>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</si>
  <si>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</si>
  <si>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</si>
  <si>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</si>
  <si>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</si>
  <si>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</si>
  <si>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</si>
  <si>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</si>
  <si>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</si>
  <si>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</si>
  <si>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</si>
  <si>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</si>
  <si>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</si>
  <si>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</si>
  <si>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</si>
  <si>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</si>
  <si>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</si>
  <si>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</si>
  <si>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</si>
  <si>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</si>
  <si>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</si>
  <si>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</si>
  <si>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</si>
  <si>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</si>
  <si>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</si>
  <si>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</si>
  <si>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</si>
  <si>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</si>
  <si>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</si>
  <si>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</si>
  <si>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</si>
  <si>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</si>
  <si>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</si>
  <si>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</si>
  <si>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</si>
  <si>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</si>
  <si>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</si>
  <si>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</si>
  <si>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</si>
  <si>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</si>
  <si>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</si>
  <si>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</si>
  <si>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</si>
  <si>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</si>
  <si>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</si>
  <si>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</si>
  <si>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</si>
  <si>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</si>
  <si>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</si>
  <si>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</si>
  <si>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</si>
  <si>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</si>
  <si>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</si>
  <si>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</si>
  <si>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</si>
  <si>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</si>
  <si>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</si>
  <si>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</si>
  <si>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</si>
  <si>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</si>
  <si>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</si>
  <si>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</si>
  <si>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</si>
  <si>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</si>
  <si>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</si>
  <si>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</si>
  <si>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</si>
  <si>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</si>
  <si>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</si>
  <si>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</si>
  <si>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</si>
  <si>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</si>
  <si>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</si>
  <si>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</si>
  <si>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</si>
  <si>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</si>
  <si>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</si>
  <si>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</si>
  <si>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</si>
  <si>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</si>
  <si>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</si>
  <si>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</si>
  <si>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</si>
  <si>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</si>
  <si>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</si>
  <si>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</si>
  <si>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</si>
  <si>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</si>
  <si>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</si>
  <si>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</si>
  <si>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</si>
  <si>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</si>
  <si>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</si>
  <si>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</si>
  <si>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</si>
  <si>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</si>
  <si>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</si>
  <si>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</si>
  <si>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</si>
  <si>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</si>
  <si>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</si>
  <si>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</si>
  <si>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</si>
  <si>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</si>
  <si>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</si>
  <si>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</si>
  <si>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</si>
  <si>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</si>
  <si>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</si>
  <si>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</si>
  <si>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</si>
  <si>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</si>
  <si>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</si>
  <si>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</si>
  <si>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</si>
  <si>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</si>
  <si>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</si>
  <si>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</si>
  <si>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</si>
  <si>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</si>
  <si>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</si>
  <si>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</si>
  <si>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</si>
  <si>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</si>
  <si>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</si>
  <si>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</si>
  <si>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</si>
  <si>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</si>
  <si>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</si>
  <si>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</si>
  <si>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</si>
  <si>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</si>
  <si>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</si>
  <si>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</si>
  <si>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</si>
  <si>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</si>
  <si>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</si>
  <si>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</si>
  <si>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</si>
  <si>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</si>
  <si>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</si>
  <si>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</si>
  <si>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</si>
  <si>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</si>
  <si>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</si>
  <si>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</si>
  <si>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</si>
  <si>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</si>
  <si>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</si>
  <si>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</si>
  <si>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</si>
  <si>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</si>
  <si>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</si>
  <si>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</si>
  <si>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</si>
  <si>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</si>
  <si>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</si>
  <si>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</si>
  <si>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</si>
  <si>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</si>
  <si>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</si>
  <si>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</si>
  <si>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</si>
  <si>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</si>
  <si>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</si>
  <si>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</si>
  <si>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</si>
  <si>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</si>
  <si>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</si>
  <si>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</si>
  <si>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</si>
  <si>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</si>
  <si>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</si>
  <si>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</si>
  <si>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</si>
  <si>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</si>
  <si>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</si>
  <si>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</si>
  <si>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</si>
  <si>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</si>
  <si>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</si>
  <si>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</si>
  <si>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</si>
  <si>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</si>
  <si>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</si>
  <si>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</si>
  <si>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</si>
  <si>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</si>
  <si>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</si>
  <si>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</si>
  <si>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</si>
  <si>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</si>
  <si>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</si>
  <si>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</si>
  <si>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</si>
  <si>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</si>
  <si>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</si>
  <si>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</si>
  <si>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</si>
  <si>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</si>
  <si>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</si>
  <si>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</si>
  <si>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</si>
  <si>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</si>
  <si>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</si>
  <si>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</si>
  <si>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</si>
  <si>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</si>
  <si>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</si>
  <si>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</si>
  <si>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</si>
  <si>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</si>
  <si>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</si>
  <si>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</si>
  <si>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</si>
  <si>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</si>
  <si>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</si>
  <si>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</si>
  <si>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</si>
  <si>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</si>
  <si>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</si>
  <si>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</si>
  <si>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</si>
  <si>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</si>
  <si>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</si>
  <si>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</si>
  <si>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</si>
  <si>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</si>
  <si>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</si>
  <si>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</si>
  <si>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</si>
  <si>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</si>
  <si>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</si>
  <si>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</si>
  <si>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</si>
  <si>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</si>
  <si>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</si>
  <si>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</si>
  <si>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</si>
  <si>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</si>
  <si>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</si>
  <si>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</si>
  <si>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</si>
  <si>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</si>
  <si>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</si>
  <si>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</si>
  <si>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</si>
  <si>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</si>
  <si>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</si>
  <si>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</si>
  <si>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</si>
  <si>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</si>
  <si>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</si>
  <si>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</si>
  <si>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</si>
  <si>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</si>
  <si>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</si>
  <si>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</si>
  <si>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</si>
  <si>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</si>
  <si>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</si>
  <si>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</si>
  <si>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</si>
  <si>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</si>
  <si>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</si>
  <si>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</si>
  <si>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</si>
  <si>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</si>
  <si>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</si>
  <si>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</si>
  <si>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</si>
  <si>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</si>
  <si>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</si>
  <si>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</si>
  <si>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</si>
  <si>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</si>
  <si>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</si>
  <si>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</si>
  <si>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</si>
  <si>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</si>
  <si>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</si>
  <si>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</si>
  <si>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</si>
  <si>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</si>
  <si>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</si>
  <si>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</si>
  <si>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</si>
  <si>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</si>
  <si>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</si>
  <si>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</si>
  <si>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</si>
  <si>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</si>
  <si>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</si>
  <si>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</si>
  <si>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</si>
  <si>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</si>
  <si>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</si>
  <si>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</si>
  <si>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</si>
  <si>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</si>
  <si>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</si>
  <si>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</si>
  <si>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</si>
  <si>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</si>
  <si>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</si>
  <si>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</si>
  <si>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</si>
  <si>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</si>
  <si>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</si>
  <si>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</si>
  <si>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</si>
  <si>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</si>
  <si>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</si>
  <si>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</si>
  <si>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</si>
  <si>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</si>
  <si>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</si>
  <si>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</si>
  <si>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</si>
  <si>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</si>
  <si>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</si>
  <si>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</si>
  <si>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</si>
  <si>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</si>
  <si>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</si>
  <si>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</si>
  <si>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</si>
  <si>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</si>
  <si>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</si>
  <si>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</si>
  <si>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</si>
  <si>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</si>
  <si>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</si>
  <si>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</si>
  <si>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</si>
  <si>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</si>
  <si>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</si>
  <si>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</si>
  <si>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</si>
  <si>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</si>
  <si>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</si>
  <si>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</si>
  <si>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</si>
  <si>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</si>
  <si>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</si>
  <si>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</si>
  <si>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</si>
  <si>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</si>
  <si>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</si>
  <si>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</si>
  <si>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</si>
  <si>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</si>
  <si>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</si>
  <si>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</si>
  <si>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</si>
  <si>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</si>
  <si>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</si>
  <si>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</si>
  <si>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</si>
  <si>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</si>
  <si>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</si>
  <si>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</si>
  <si>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</si>
  <si>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</si>
  <si>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</si>
  <si>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</si>
  <si>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</si>
  <si>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</si>
  <si>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</si>
  <si>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</si>
  <si>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</si>
  <si>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</si>
  <si>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</si>
  <si>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</si>
  <si>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</si>
  <si>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</si>
  <si>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</si>
  <si>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</si>
  <si>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</si>
  <si>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</si>
  <si>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</si>
  <si>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</si>
  <si>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</si>
  <si>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</si>
  <si>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</si>
  <si>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</si>
  <si>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</si>
  <si>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</si>
  <si>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</si>
  <si>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</si>
  <si>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</si>
  <si>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</si>
  <si>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</si>
  <si>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</si>
  <si>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</si>
  <si>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</si>
  <si>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</si>
  <si>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</si>
  <si>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</si>
  <si>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</si>
  <si>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</si>
  <si>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</si>
  <si>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</si>
  <si>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</si>
  <si>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</si>
  <si>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</si>
  <si>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</si>
  <si>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</si>
  <si>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</si>
  <si>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</si>
  <si>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</si>
  <si>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</si>
  <si>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</si>
  <si>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</si>
  <si>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</si>
  <si>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</si>
  <si>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</si>
  <si>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</si>
  <si>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</si>
  <si>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</si>
  <si>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Bury: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</si>
  <si>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</si>
  <si>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</si>
  <si>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</si>
  <si>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</si>
  <si>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</si>
  <si>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</si>
  <si>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</si>
  <si>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</si>
  <si>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</si>
  <si>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</si>
  <si>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</si>
  <si>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</si>
  <si>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</si>
  <si>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</si>
  <si>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</si>
  <si>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</si>
  <si>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</si>
  <si>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</si>
  <si>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</si>
  <si>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</si>
  <si>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</si>
  <si>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</si>
  <si>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</si>
  <si>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</si>
  <si>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</si>
  <si>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</si>
  <si>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</si>
  <si>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</si>
  <si>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</si>
  <si>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</si>
  <si>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</si>
  <si>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</si>
  <si>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</si>
  <si>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</si>
  <si>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</si>
  <si>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</si>
  <si>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</si>
  <si>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</si>
  <si>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</si>
  <si>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</si>
  <si>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</si>
  <si>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</si>
  <si>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</si>
  <si>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</si>
  <si>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</si>
  <si>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</si>
  <si>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</si>
  <si>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</si>
  <si>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</si>
  <si>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</si>
  <si>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</si>
  <si>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</si>
  <si>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</si>
  <si>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</si>
  <si>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</si>
  <si>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</si>
  <si>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</si>
  <si>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</si>
  <si>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</si>
  <si>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</si>
  <si>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</si>
  <si>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</si>
  <si>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</si>
  <si>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</si>
  <si>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</si>
  <si>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</si>
  <si>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</si>
  <si>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</si>
  <si>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</si>
  <si>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</si>
  <si>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</si>
  <si>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</si>
  <si>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</si>
  <si>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</si>
  <si>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</si>
  <si>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</si>
  <si>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</si>
  <si>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</si>
  <si>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</si>
  <si>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</si>
  <si>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</si>
  <si>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</si>
  <si>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</si>
  <si>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</si>
  <si>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</si>
  <si>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</si>
  <si>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</si>
  <si>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</si>
  <si>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</si>
  <si>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</si>
  <si>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</si>
  <si>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</si>
  <si>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</si>
  <si>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</si>
  <si>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</si>
  <si>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</si>
  <si>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</si>
  <si>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</si>
  <si>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</si>
  <si>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</si>
  <si>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</si>
  <si>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</si>
  <si>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</si>
  <si>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</si>
  <si>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</si>
  <si>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</si>
  <si>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</si>
  <si>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</si>
  <si>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</si>
  <si>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</si>
  <si>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</si>
  <si>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</si>
  <si>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</si>
  <si>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</si>
  <si>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</si>
  <si>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</si>
  <si>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</si>
  <si>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</si>
  <si>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</si>
  <si>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</si>
  <si>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</si>
  <si>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</si>
  <si>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</si>
  <si>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</si>
  <si>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</si>
  <si>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</si>
  <si>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</si>
  <si>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</si>
  <si>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</si>
  <si>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</si>
  <si>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</si>
  <si>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</si>
  <si>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</si>
  <si>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</si>
  <si>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</si>
  <si>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</si>
  <si>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</si>
  <si>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</si>
  <si>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</si>
  <si>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</si>
  <si>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</si>
  <si>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</si>
  <si>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</si>
  <si>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</si>
  <si>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</si>
  <si>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</si>
  <si>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</si>
  <si>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</si>
  <si>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</si>
  <si>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</si>
  <si>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</si>
  <si>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</si>
  <si>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</si>
  <si>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</si>
  <si>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</si>
  <si>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</si>
  <si>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</si>
  <si>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</si>
  <si>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</si>
  <si>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</si>
  <si>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</si>
  <si>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</si>
  <si>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</si>
  <si>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</si>
  <si>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</si>
  <si>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</si>
  <si>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</si>
  <si>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</si>
  <si>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</si>
  <si>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</si>
  <si>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</si>
  <si>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</si>
  <si>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</si>
  <si>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</si>
  <si>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</si>
  <si>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</si>
  <si>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</si>
  <si>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</si>
  <si>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</si>
  <si>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</si>
  <si>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</si>
  <si>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</si>
  <si>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</si>
  <si>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</si>
  <si>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</si>
  <si>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</si>
  <si>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</si>
  <si>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</si>
  <si>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</si>
  <si>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</si>
  <si>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</si>
  <si>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</si>
  <si>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</si>
  <si>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</si>
  <si>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</si>
  <si>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</si>
  <si>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</si>
  <si>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</si>
  <si>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</si>
  <si>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</si>
  <si>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</si>
  <si>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</si>
  <si>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</si>
  <si>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</si>
  <si>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</si>
  <si>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</si>
  <si>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</si>
  <si>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</si>
  <si>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</si>
  <si>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</si>
  <si>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</si>
  <si>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</si>
  <si>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</si>
  <si>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</si>
  <si>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</si>
  <si>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</si>
  <si>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</si>
  <si>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</si>
  <si>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</si>
  <si>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</si>
  <si>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</si>
  <si>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</si>
  <si>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</si>
  <si>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</si>
  <si>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</si>
  <si>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</si>
  <si>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</si>
  <si>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</si>
  <si>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</si>
  <si>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</si>
  <si>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</si>
  <si>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</si>
  <si>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</si>
  <si>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</si>
  <si>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</si>
  <si>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</si>
  <si>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</si>
  <si>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</si>
  <si>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</si>
  <si>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</si>
  <si>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</si>
  <si>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</si>
  <si>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</si>
  <si>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</si>
  <si>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</si>
  <si>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</si>
  <si>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</si>
  <si>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</si>
  <si>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</si>
  <si>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</si>
  <si>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</si>
  <si>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</si>
  <si>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</si>
  <si>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</si>
  <si>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</si>
  <si>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</si>
  <si>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</si>
  <si>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</si>
  <si>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</si>
  <si>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</si>
  <si>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</si>
  <si>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</si>
  <si>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</si>
  <si>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</si>
  <si>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</si>
  <si>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</si>
  <si>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</si>
  <si>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</si>
  <si>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</si>
  <si>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</si>
  <si>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</si>
  <si>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</si>
  <si>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</si>
  <si>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</si>
  <si>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</si>
  <si>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</si>
  <si>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</si>
  <si>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</si>
  <si>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</si>
  <si>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</si>
  <si>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</si>
  <si>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</si>
  <si>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</si>
  <si>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</si>
  <si>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</si>
  <si>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</si>
  <si>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</si>
  <si>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</si>
  <si>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</si>
  <si>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</si>
  <si>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</si>
  <si>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</si>
  <si>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</si>
  <si>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</si>
  <si>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</si>
  <si>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</si>
  <si>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</si>
  <si>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</si>
  <si>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</si>
  <si>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</si>
  <si>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</si>
  <si>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</si>
  <si>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</si>
  <si>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</si>
  <si>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</si>
  <si>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</si>
  <si>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</si>
  <si>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</si>
  <si>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</si>
  <si>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</si>
  <si>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</si>
  <si>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</si>
  <si>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</si>
  <si>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</si>
  <si>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</si>
  <si>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</si>
  <si>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</si>
  <si>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</si>
  <si>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</si>
  <si>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</si>
  <si>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</si>
  <si>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</si>
  <si>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</si>
  <si>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</si>
  <si>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</si>
  <si>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</si>
  <si>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</si>
  <si>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</si>
  <si>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</si>
  <si>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</si>
  <si>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</si>
  <si>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</si>
  <si>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</si>
  <si>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</si>
  <si>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</si>
  <si>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</si>
  <si>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</si>
  <si>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</si>
  <si>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</si>
  <si>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</si>
  <si>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</si>
  <si>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</si>
  <si>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</si>
  <si>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</si>
  <si>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</si>
  <si>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</si>
  <si>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</si>
  <si>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</si>
  <si>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</si>
  <si>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</si>
  <si>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</si>
  <si>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</si>
  <si>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</si>
  <si>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</si>
  <si>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</si>
  <si>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</si>
  <si>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</si>
  <si>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</si>
  <si>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</si>
  <si>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</si>
  <si>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</si>
  <si>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</si>
  <si>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</si>
  <si>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</si>
  <si>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</si>
  <si>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</si>
  <si>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</si>
  <si>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</si>
  <si>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</si>
  <si>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</si>
  <si>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</si>
  <si>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</si>
  <si>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</si>
  <si>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</si>
  <si>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</si>
  <si>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</si>
  <si>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</si>
  <si>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</si>
  <si>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</si>
  <si>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</si>
  <si>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</si>
  <si>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</si>
  <si>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</si>
  <si>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</si>
  <si>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</si>
  <si>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</si>
  <si>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</si>
  <si>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</si>
  <si>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</si>
  <si>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</si>
  <si>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</si>
  <si>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</si>
  <si>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</si>
  <si>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</si>
  <si>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</si>
  <si>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</si>
  <si>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</si>
  <si>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</si>
  <si>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</si>
  <si>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</si>
  <si>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</si>
  <si>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</si>
  <si>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</si>
  <si>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</si>
  <si>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</si>
  <si>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</si>
  <si>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</si>
  <si>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</si>
  <si>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</si>
  <si>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</si>
  <si>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</si>
  <si>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</si>
  <si>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</si>
  <si>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</si>
  <si>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</si>
  <si>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</si>
  <si>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</si>
  <si>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</si>
  <si>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</si>
  <si>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</si>
  <si>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</si>
  <si>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</si>
  <si>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</si>
  <si>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</si>
  <si>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</si>
  <si>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</si>
  <si>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</si>
  <si>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</si>
  <si>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</si>
  <si>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</si>
  <si>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</si>
  <si>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</si>
  <si>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</si>
  <si>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</si>
  <si>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</si>
  <si>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</si>
  <si>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</si>
  <si>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</si>
  <si>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</si>
  <si>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</si>
  <si>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</si>
  <si>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</si>
  <si>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</si>
  <si>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</si>
  <si>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</si>
  <si>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</si>
  <si>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</si>
  <si>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</si>
  <si>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</si>
  <si>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</si>
  <si>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</si>
  <si>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</si>
  <si>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</si>
  <si>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</si>
  <si>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</si>
  <si>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</si>
  <si>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</si>
  <si>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</si>
  <si>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</si>
  <si>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</si>
  <si>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</si>
  <si>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</si>
  <si>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</si>
  <si>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</si>
  <si>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</si>
  <si>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</si>
  <si>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</si>
  <si>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</si>
  <si>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</si>
  <si>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</si>
  <si>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</si>
  <si>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</si>
  <si>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</si>
  <si>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</si>
  <si>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</si>
  <si>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</si>
  <si>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</si>
  <si>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</si>
  <si>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</si>
  <si>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</si>
  <si>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</si>
  <si>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</si>
  <si>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</si>
  <si>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</si>
  <si>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</si>
  <si>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</si>
  <si>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</si>
  <si>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</si>
  <si>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</si>
  <si>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</si>
  <si>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</si>
  <si>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</si>
  <si>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</si>
  <si>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</si>
  <si>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</si>
  <si>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</si>
  <si>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</si>
  <si>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</si>
  <si>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</si>
  <si>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</si>
  <si>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</si>
  <si>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</si>
  <si>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</si>
  <si>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</si>
  <si>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</si>
  <si>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</si>
  <si>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</si>
  <si>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</si>
  <si>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</si>
  <si>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</si>
  <si>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</si>
  <si>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</si>
  <si>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</si>
  <si>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</si>
  <si>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</si>
  <si>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</si>
  <si>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</si>
  <si>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</si>
  <si>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</si>
  <si>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</si>
  <si>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</si>
  <si>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</si>
  <si>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</si>
  <si>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</si>
  <si>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</si>
  <si>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</si>
  <si>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</si>
  <si>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</si>
  <si>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</si>
  <si>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</si>
  <si>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</si>
  <si>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</si>
  <si>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</si>
  <si>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</si>
  <si>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</si>
  <si>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</si>
  <si>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</si>
  <si>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</si>
  <si>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</si>
  <si>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</si>
  <si>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</si>
  <si>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</si>
  <si>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</si>
  <si>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</si>
  <si>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</si>
  <si>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</si>
  <si>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</si>
  <si>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</si>
  <si>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</si>
  <si>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</si>
  <si>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</si>
  <si>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</si>
  <si>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</si>
  <si>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</si>
  <si>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</si>
  <si>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</si>
  <si>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</si>
  <si>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</si>
  <si>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</si>
  <si>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</si>
  <si>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</si>
  <si>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</si>
  <si>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</si>
  <si>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</si>
  <si>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</si>
  <si>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</si>
  <si>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</si>
  <si>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</si>
  <si>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</si>
  <si>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</si>
  <si>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</si>
  <si>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</si>
  <si>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</si>
  <si>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</si>
  <si>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</si>
  <si>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</si>
  <si>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</si>
  <si>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</si>
  <si>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</si>
  <si>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</si>
  <si>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</si>
  <si>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</si>
  <si>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</si>
  <si>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</si>
  <si>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</si>
  <si>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</si>
  <si>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</si>
  <si>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</si>
  <si>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</si>
  <si>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</si>
  <si>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</si>
  <si>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</si>
  <si>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</si>
  <si>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</si>
  <si>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</si>
  <si>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</si>
  <si>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</si>
  <si>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</si>
  <si>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</si>
  <si>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</si>
  <si>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</si>
  <si>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</si>
  <si>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</si>
  <si>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</si>
  <si>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</si>
  <si>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</si>
  <si>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</si>
  <si>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</si>
  <si>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</si>
  <si>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</si>
  <si>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</si>
  <si>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</si>
  <si>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</si>
  <si>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</si>
  <si>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</si>
  <si>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</si>
  <si>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</si>
  <si>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</si>
  <si>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</si>
  <si>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</si>
  <si>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</si>
  <si>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</si>
  <si>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</si>
  <si>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</si>
  <si>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</si>
  <si>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</si>
  <si>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</si>
  <si>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</si>
  <si>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</si>
  <si>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</si>
  <si>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</si>
  <si>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</si>
  <si>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</si>
  <si>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</si>
  <si>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</si>
  <si>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</si>
  <si>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</si>
  <si>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</si>
  <si>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</si>
  <si>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</si>
  <si>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</si>
  <si>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</si>
  <si>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</si>
  <si>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</si>
  <si>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</si>
  <si>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</si>
  <si>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</si>
  <si>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</si>
  <si>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</si>
  <si>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</si>
  <si>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</si>
  <si>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</si>
  <si>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</si>
  <si>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</si>
  <si>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</si>
  <si>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</si>
  <si>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</si>
  <si>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</si>
  <si>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</si>
  <si>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</si>
  <si>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</si>
  <si>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</si>
  <si>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</si>
  <si>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</si>
  <si>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</si>
  <si>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</si>
  <si>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</si>
  <si>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</si>
  <si>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</si>
  <si>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</si>
  <si>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</si>
  <si>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</si>
  <si>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</si>
  <si>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</si>
  <si>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</si>
  <si>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</si>
  <si>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</si>
  <si>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</si>
  <si>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</si>
  <si>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</si>
  <si>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</si>
  <si>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</si>
  <si>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</si>
  <si>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</si>
  <si>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</si>
  <si>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</si>
  <si>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</si>
  <si>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</si>
  <si>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</si>
  <si>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</si>
  <si>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</si>
  <si>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</si>
  <si>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</si>
  <si>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</si>
  <si>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</si>
  <si>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</si>
  <si>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</si>
  <si>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</si>
  <si>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</si>
  <si>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</si>
  <si>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</si>
  <si>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</si>
  <si>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</si>
  <si>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</si>
  <si>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</si>
  <si>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</si>
  <si>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</si>
  <si>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</si>
  <si>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</si>
  <si>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</si>
  <si>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</si>
  <si>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</si>
  <si>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</si>
  <si>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</si>
  <si>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</si>
  <si>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</si>
  <si>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</si>
  <si>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</si>
  <si>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</si>
  <si>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</si>
  <si>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</si>
  <si>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</si>
  <si>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</si>
  <si>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</si>
  <si>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</si>
  <si>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</si>
  <si>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</si>
  <si>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</si>
  <si>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</si>
  <si>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</si>
  <si>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</si>
  <si>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</si>
  <si>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</si>
  <si>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</si>
  <si>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</si>
  <si>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</si>
  <si>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</si>
  <si>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</si>
  <si>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</si>
  <si>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</si>
  <si>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</si>
  <si>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</si>
  <si>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</si>
  <si>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</si>
  <si>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</si>
  <si>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</si>
  <si>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</si>
  <si>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</si>
  <si>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</si>
  <si>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</si>
  <si>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</si>
  <si>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</si>
  <si>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</si>
  <si>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</si>
  <si>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</si>
  <si>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</si>
  <si>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</si>
  <si>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</si>
  <si>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</si>
  <si>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</si>
  <si>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</si>
  <si>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</si>
  <si>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</si>
  <si>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</si>
  <si>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</si>
  <si>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</si>
  <si>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</si>
  <si>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</si>
  <si>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</si>
  <si>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</si>
  <si>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</si>
  <si>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</si>
  <si>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</si>
  <si>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</si>
  <si>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</si>
  <si>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</si>
  <si>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</si>
  <si>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</si>
  <si>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</si>
  <si>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</si>
  <si>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</si>
  <si>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</si>
  <si>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</si>
  <si>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</si>
  <si>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</si>
  <si>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</si>
  <si>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</si>
  <si>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</si>
  <si>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</si>
  <si>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</si>
  <si>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</si>
  <si>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</si>
  <si>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</si>
  <si>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</si>
  <si>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</si>
  <si>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</si>
  <si>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</si>
  <si>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</si>
  <si>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</si>
  <si>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</si>
  <si>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</si>
  <si>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</si>
  <si>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</si>
  <si>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</si>
  <si>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</si>
  <si>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</si>
  <si>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</si>
  <si>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</si>
  <si>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</si>
  <si>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</si>
  <si>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</si>
  <si>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</si>
  <si>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</si>
  <si>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</si>
  <si>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</si>
  <si>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</si>
  <si>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</si>
  <si>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</si>
  <si>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</si>
  <si>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</si>
  <si>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</si>
  <si>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</si>
  <si>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</si>
  <si>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</si>
  <si>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</si>
  <si>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</si>
  <si>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</si>
  <si>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</si>
  <si>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</si>
  <si>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</si>
  <si>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</si>
  <si>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</si>
  <si>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</si>
  <si>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</si>
  <si>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</si>
  <si>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</si>
  <si>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</si>
  <si>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</si>
  <si>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</si>
  <si>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</si>
  <si>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</si>
  <si>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</si>
  <si>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</si>
  <si>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</si>
  <si>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</si>
  <si>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</si>
  <si>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</si>
  <si>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</si>
  <si>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</si>
  <si>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</si>
  <si>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</si>
  <si>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</si>
  <si>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</si>
  <si>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</si>
  <si>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</si>
  <si>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</si>
  <si>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</si>
  <si>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</si>
  <si>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</si>
  <si>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</si>
  <si>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</si>
  <si>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</si>
  <si>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</si>
  <si>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</si>
  <si>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</si>
  <si>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</si>
  <si>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</si>
  <si>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</si>
  <si>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</si>
  <si>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</si>
  <si>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</si>
  <si>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</si>
  <si>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</si>
  <si>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</si>
  <si>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</si>
  <si>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</si>
  <si>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</si>
  <si>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</si>
  <si>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</si>
  <si>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</si>
  <si>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</si>
  <si>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</si>
  <si>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</si>
  <si>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</si>
  <si>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</si>
  <si>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</si>
  <si>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</si>
  <si>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</si>
  <si>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</si>
  <si>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</si>
  <si>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</si>
  <si>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</si>
  <si>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</si>
  <si>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</si>
  <si>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</si>
  <si>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</si>
  <si>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</si>
  <si>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</si>
  <si>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</si>
  <si>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</si>
  <si>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</si>
  <si>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</si>
  <si>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</si>
  <si>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</si>
  <si>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</si>
  <si>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</si>
  <si>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</si>
  <si>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</si>
  <si>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</si>
  <si>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</si>
  <si>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</si>
  <si>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</si>
  <si>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</si>
  <si>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</si>
  <si>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</si>
  <si>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</si>
  <si>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</si>
  <si>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</si>
  <si>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</si>
  <si>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</si>
  <si>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</si>
  <si>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</si>
  <si>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</si>
  <si>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</si>
  <si>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</si>
  <si>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</si>
  <si>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</si>
  <si>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</si>
  <si>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</si>
  <si>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</si>
  <si>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</si>
  <si>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</si>
  <si>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</si>
  <si>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</si>
  <si>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</si>
  <si>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</si>
  <si>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</si>
  <si>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</si>
  <si>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</si>
  <si>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</si>
  <si>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</si>
  <si>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</si>
  <si>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</si>
  <si>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</si>
  <si>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</si>
  <si>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</si>
  <si>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</si>
  <si>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</si>
  <si>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</si>
  <si>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</si>
  <si>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</si>
  <si>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</si>
  <si>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</si>
  <si>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</si>
  <si>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</si>
  <si>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</si>
  <si>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</si>
  <si>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</si>
  <si>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</si>
  <si>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</si>
  <si>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</si>
  <si>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</si>
  <si>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</si>
  <si>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</si>
  <si>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</si>
  <si>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</si>
  <si>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</si>
  <si>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</si>
  <si>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</si>
  <si>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</si>
  <si>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</si>
  <si>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</si>
  <si>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</si>
  <si>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</si>
  <si>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</si>
  <si>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</si>
  <si>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</si>
  <si>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</si>
  <si>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</si>
  <si>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</si>
  <si>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</si>
  <si>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</si>
  <si>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</si>
  <si>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</si>
  <si>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</si>
  <si>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</si>
  <si>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</si>
  <si>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</si>
  <si>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</si>
  <si>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</si>
  <si>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</si>
  <si>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</si>
  <si>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</si>
  <si>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</si>
  <si>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</si>
  <si>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</si>
  <si>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</si>
  <si>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</si>
  <si>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</si>
  <si>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</si>
  <si>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</si>
  <si>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Serenader</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</si>
  <si>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</si>
  <si>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</si>
  <si>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</si>
  <si>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</si>
  <si>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</si>
  <si>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</si>
  <si>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</si>
  <si>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</si>
  <si>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</si>
  <si>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</si>
  <si>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</si>
  <si>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</si>
  <si>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</si>
  <si>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</si>
  <si>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</si>
  <si>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</si>
  <si>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</si>
  <si>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</si>
  <si>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</si>
  <si>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</si>
  <si>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</si>
  <si>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</si>
  <si>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</si>
  <si>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</si>
  <si>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</si>
  <si>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</si>
  <si>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</si>
  <si>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</si>
  <si>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</si>
  <si>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</si>
  <si>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</si>
  <si>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</si>
  <si>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</si>
  <si>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</si>
  <si>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</si>
  <si>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</si>
  <si>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</si>
  <si>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</si>
  <si>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</si>
  <si>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</si>
  <si>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</si>
  <si>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</si>
  <si>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</si>
  <si>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</si>
  <si>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</si>
  <si>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</si>
  <si>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</si>
  <si>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</si>
  <si>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</si>
  <si>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</si>
  <si>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</si>
  <si>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</si>
  <si>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</si>
  <si>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</si>
  <si>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</si>
  <si>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</si>
  <si>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</si>
  <si>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</si>
  <si>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</si>
  <si>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</si>
  <si>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</si>
  <si>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</si>
  <si>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</si>
  <si>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</si>
  <si>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</si>
  <si>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</si>
  <si>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</si>
  <si>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</si>
  <si>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</si>
  <si>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</si>
  <si>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</si>
  <si>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</si>
  <si>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</si>
  <si>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</si>
  <si>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</si>
  <si>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</si>
  <si>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</si>
  <si>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</si>
  <si>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</si>
  <si>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</si>
  <si>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</si>
  <si>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</si>
  <si>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</si>
  <si>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</si>
  <si>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</si>
  <si>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</si>
  <si>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</si>
  <si>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</si>
  <si>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</si>
  <si>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</si>
  <si>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</si>
  <si>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</si>
  <si>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</si>
  <si>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</si>
  <si>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</si>
  <si>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</si>
  <si>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</si>
  <si>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</si>
  <si>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</si>
  <si>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</si>
  <si>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</si>
  <si>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</si>
  <si>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</si>
  <si>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</si>
  <si>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</si>
  <si>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</si>
  <si>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</si>
  <si>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</si>
  <si>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</si>
  <si>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</si>
  <si>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</si>
  <si>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</si>
  <si>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</si>
  <si>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</si>
  <si>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</si>
  <si>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</si>
  <si>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</si>
  <si>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</si>
  <si>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</si>
  <si>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</si>
  <si>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</si>
  <si>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</si>
  <si>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</si>
  <si>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</si>
  <si>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</si>
  <si>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</si>
  <si>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</si>
  <si>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</si>
  <si>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</si>
  <si>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</si>
  <si>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</si>
  <si>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</si>
  <si>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</si>
  <si>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</si>
  <si>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</si>
  <si>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</si>
  <si>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</si>
  <si>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</si>
  <si>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</si>
  <si>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</si>
  <si>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</si>
  <si>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</si>
  <si>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</si>
  <si>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</si>
  <si>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</si>
  <si>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</si>
  <si>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</si>
  <si>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</si>
  <si>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</si>
  <si>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</si>
  <si>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</si>
  <si>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</si>
  <si>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</si>
  <si>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</si>
  <si>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</si>
  <si>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</si>
  <si>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</si>
  <si>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</si>
  <si>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</si>
  <si>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</si>
  <si>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</si>
  <si>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</si>
  <si>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</si>
  <si>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</si>
  <si>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</si>
  <si>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</si>
  <si>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</si>
  <si>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</si>
  <si>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</si>
  <si>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</si>
  <si>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</si>
  <si>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</si>
  <si>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</si>
  <si>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</si>
  <si>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</si>
  <si>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</si>
  <si>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</si>
  <si>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</si>
  <si>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</si>
  <si>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</si>
  <si>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</si>
  <si>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</si>
  <si>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</si>
  <si>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</si>
  <si>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</si>
  <si>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</si>
  <si>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</si>
  <si>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Intrusive Advisor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</si>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</sst>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56539282"/>
        <c:axId val="1786713834"/>
      </c:barChart>
      <c:catAx>
        <c:axId val="5565392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86713834"/>
      </c:catAx>
      <c:valAx>
        <c:axId val="17867138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653928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3851d550-a918-4f53-b99a-bfc3302de693?index=0"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f1211b88-62fa-426d-8d5c-1600fcd5f5df?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1e1bd9f6-96ea-406f-974f-434655312d3b?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bf521d3a-8081-4e0f-803f-ab3292dfb2cf?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83ca19e2-2e10-4948-8314-32f44a89dd14?index=0"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aa9fce64-251f-4480-9658-e135cc083f2f?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b7288a40-3f0f-413c-b7e7-0bd65060a3f9?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ec0b3c0a-3f13-42a9-8ae5-ccd3a2bde246?index=0" TargetMode="External"/><Relationship Id="rId981" Type="http://schemas.openxmlformats.org/officeDocument/2006/relationships/hyperlink" Target="https://alpha.midjourney.com/jobs/2199afb2-fdf9-42e4-8447-bbcb2272b0ee?index=0" TargetMode="External"/><Relationship Id="rId980" Type="http://schemas.openxmlformats.org/officeDocument/2006/relationships/hyperlink" Target="https://alpha.midjourney.com/jobs/03a2e0f0-0e78-4772-8448-9731440cc43d?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4da0b68d-28af-4dde-a253-1c020edd6335?index=3"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5ffb57a6-694c-47cf-a742-db40c1703c48?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7678ed2-bc5b-40da-a284-57aab18a35b3?index=1"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5e43144d-d6b4-4bd5-94b6-0a6ddeeb751d?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5c573d7-2cdf-43a9-85ba-f42642bf4f47?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85c573d7-2cdf-43a9-85ba-f42642bf4f47?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69af7a08-96cc-4e74-9187-954be8881728?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8adc7c0-5814-4f2a-9b13-b88efe40751e?index=0" TargetMode="External"/><Relationship Id="rId971" Type="http://schemas.openxmlformats.org/officeDocument/2006/relationships/hyperlink" Target="https://www.midjourney.com/jobs/08adc7c0-5814-4f2a-9b13-b88efe40751e?index=3" TargetMode="External"/><Relationship Id="rId970" Type="http://schemas.openxmlformats.org/officeDocument/2006/relationships/hyperlink" Target="https://www.midjourney.com/jobs/f7f509f6-018d-40bc-9607-6413df49cc52?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8bc651f8-5a74-46c8-a338-5e7470e20d29?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dd8db80a-be81-42cd-8117-d370f2fdce6b?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3bce2cc2-7905-4055-a5c5-f61caeece66e?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902f686b-2aa6-427e-aa01-bd0121e13b27?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486584b2-e68e-44a9-a038-0edfd1135259?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83ca19e2-2e10-4948-8314-32f44a89dd14?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56ad7b68-b4aa-44c6-ba28-2093ea5e6556?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c6073419-0b0b-47be-b834-e6de5a6e38db?index=2"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c6073419-0b0b-47be-b834-e6de5a6e38db?index=1" TargetMode="External"/><Relationship Id="rId991" Type="http://schemas.openxmlformats.org/officeDocument/2006/relationships/hyperlink" Target="https://alpha.midjourney.com/jobs/3fd9ed41-930b-449c-a0d8-a582a3a8dc51?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04324003-0364-4d0e-b28e-cb9f4a2554e2?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04324003-0364-4d0e-b28e-cb9f4a2554e2?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d0b52e1f-9803-4fca-8f47-ba7ad90ee845?index=3"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d0b52e1f-9803-4fca-8f47-ba7ad90ee845?index=2" TargetMode="External"/><Relationship Id="rId941" Type="http://schemas.openxmlformats.org/officeDocument/2006/relationships/hyperlink" Target="https://www.midjourney.com/jobs/07eb6c29-8494-4c11-a4e7-b612a9696f60?index=1" TargetMode="External"/><Relationship Id="rId940" Type="http://schemas.openxmlformats.org/officeDocument/2006/relationships/hyperlink" Target="https://www.midjourney.com/jobs/e6b4dd99-8a01-416c-8bfc-b09999257964?index=0"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04324003-0364-4d0e-b28e-cb9f4a2554e2?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6c58f11f-2c5c-4343-bafa-89c85f0d6bab?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79bb5089-1ab6-4752-ac4e-59d397d4af89?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b701efe8-1aeb-4fc1-b2fd-54656d5acc9b?index=2"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46d3e87b-dfdf-4208-b209-43eb59d25124?index=3" TargetMode="External"/><Relationship Id="rId938" Type="http://schemas.openxmlformats.org/officeDocument/2006/relationships/hyperlink" Target="https://www.midjourney.com/jobs/0dc2f6bf-8e60-4443-8ca9-01ae9d2c452f?index=1" TargetMode="External"/><Relationship Id="rId937" Type="http://schemas.openxmlformats.org/officeDocument/2006/relationships/hyperlink" Target="https://www.midjourney.com/jobs/0dc2f6bf-8e60-4443-8ca9-01ae9d2c452f?index=3"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d10de1b7-898f-4645-92ce-e778e24c0c6d?index=3" TargetMode="External"/><Relationship Id="rId931" Type="http://schemas.openxmlformats.org/officeDocument/2006/relationships/hyperlink" Target="https://www.midjourney.com/jobs/518a6ecb-c3fa-47f3-9af1-951f280135b2?index=2" TargetMode="External"/><Relationship Id="rId930" Type="http://schemas.openxmlformats.org/officeDocument/2006/relationships/hyperlink" Target="https://www.midjourney.com/jobs/518a6ecb-c3fa-47f3-9af1-951f280135b2?index=0" TargetMode="External"/><Relationship Id="rId936" Type="http://schemas.openxmlformats.org/officeDocument/2006/relationships/hyperlink" Target="https://www.midjourney.com/jobs/fe64b7e6-2440-4d46-a4c5-1101d3bf5f3d?index=2" TargetMode="External"/><Relationship Id="rId935" Type="http://schemas.openxmlformats.org/officeDocument/2006/relationships/hyperlink" Target="https://www.midjourney.com/jobs/d7dca630-c76d-42db-8c8e-098b170c9f61?index=0" TargetMode="External"/><Relationship Id="rId934" Type="http://schemas.openxmlformats.org/officeDocument/2006/relationships/hyperlink" Target="https://www.midjourney.com/jobs/329c884d-b09a-4e73-aaa6-624bb2faf437?index=0" TargetMode="External"/><Relationship Id="rId933" Type="http://schemas.openxmlformats.org/officeDocument/2006/relationships/hyperlink" Target="https://www.midjourney.com/jobs/ceffc422-8f67-4373-b88f-9001f745346e?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a01f0b5d-1d81-4499-9574-a9009c478114?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a01f0b5d-1d81-4499-9574-a9009c478114?index=2"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f1f51a3a-0295-445c-9c9a-dfd9d9b423b5?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4e5785d-426b-4577-8b6f-9860501a149d?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22ed9dd0-ef61-4a2c-b520-80e30f3a0494?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53604f6e-a5f0-4ffd-8781-191a91af181c?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35b3b0d5-f19b-454b-afb8-1c9e3ca5c237?index=2"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537aae6e-8ea5-477b-af84-e4fd575571d9?index=1"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e5785d-426b-4577-8b6f-9860501a149d?index=1" TargetMode="External"/><Relationship Id="rId960" Type="http://schemas.openxmlformats.org/officeDocument/2006/relationships/hyperlink" Target="https://www.midjourney.com/jobs/54e5785d-426b-4577-8b6f-9860501a149d?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65cffa49-030d-4bf0-8642-4b296917b9f0?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689c4844-d4f2-4395-9092-dc50d63f0541?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9d276849-3be7-4a19-8a23-be0e88fd505b?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9d276849-3be7-4a19-8a23-be0e88fd505b?index=2" TargetMode="External"/><Relationship Id="rId951" Type="http://schemas.openxmlformats.org/officeDocument/2006/relationships/hyperlink" Target="https://www.midjourney.com/jobs/9d276849-3be7-4a19-8a23-be0e88fd505b?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65cffa49-030d-4bf0-8642-4b296917b9f0?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c478fb9-7816-41dd-b67b-2e723d70b95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880ee418-cfc5-4423-92a4-d5c3264c546a?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689c4844-d4f2-4395-9092-dc50d63f0541?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af796306-fa16-40f5-9f28-2a1b84a1f3ab?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3a147f13-6f59-44b7-8b20-2b2f8cbec4e3?index=3" TargetMode="External"/><Relationship Id="rId928" Type="http://schemas.openxmlformats.org/officeDocument/2006/relationships/hyperlink" Target="https://www.midjourney.com/jobs/3432df11-bef6-4eda-b76e-b4eb16b94be1?index=3" TargetMode="External"/><Relationship Id="rId927" Type="http://schemas.openxmlformats.org/officeDocument/2006/relationships/hyperlink" Target="https://www.midjourney.com/jobs/54a955fa-4cf9-4ad7-a49d-3d9d28a206ad?index=1" TargetMode="External"/><Relationship Id="rId926" Type="http://schemas.openxmlformats.org/officeDocument/2006/relationships/hyperlink" Target="https://www.midjourney.com/jobs/83f33e56-5ef0-478d-a89a-26f7c2b2c30c?index=3" TargetMode="External"/><Relationship Id="rId921" Type="http://schemas.openxmlformats.org/officeDocument/2006/relationships/hyperlink" Target="https://www.midjourney.com/jobs/f90f6950-8d45-4b82-98fe-6ad9bb1f3bb3?index=0" TargetMode="External"/><Relationship Id="rId920" Type="http://schemas.openxmlformats.org/officeDocument/2006/relationships/hyperlink" Target="https://www.midjourney.com/jobs/ff03a905-8b47-4bd9-928f-24dcb019a190?index=1" TargetMode="External"/><Relationship Id="rId925" Type="http://schemas.openxmlformats.org/officeDocument/2006/relationships/hyperlink" Target="https://www.midjourney.com/jobs/83f33e56-5ef0-478d-a89a-26f7c2b2c30c?index=0" TargetMode="External"/><Relationship Id="rId924" Type="http://schemas.openxmlformats.org/officeDocument/2006/relationships/hyperlink" Target="https://www.midjourney.com/jobs/88ec9dfa-d82b-4beb-804a-4ec0ac518a50?index=2" TargetMode="External"/><Relationship Id="rId923" Type="http://schemas.openxmlformats.org/officeDocument/2006/relationships/hyperlink" Target="https://www.midjourney.com/jobs/f90f6950-8d45-4b82-98fe-6ad9bb1f3bb3?index=2" TargetMode="External"/><Relationship Id="rId922" Type="http://schemas.openxmlformats.org/officeDocument/2006/relationships/hyperlink" Target="https://www.midjourney.com/jobs/f90f6950-8d45-4b82-98fe-6ad9bb1f3bb3?index=3" TargetMode="External"/><Relationship Id="rId918" Type="http://schemas.openxmlformats.org/officeDocument/2006/relationships/hyperlink" Target="https://www.midjourney.com/jobs/daa5df80-5847-4fa3-b98f-9e5564d261e0?index=3" TargetMode="External"/><Relationship Id="rId917" Type="http://schemas.openxmlformats.org/officeDocument/2006/relationships/hyperlink" Target="https://www.midjourney.com/jobs/daa5df80-5847-4fa3-b98f-9e5564d261e0?index=0"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f2f0d1d5-448c-41c9-aeee-7989cce9f4b1?index=0"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62caf3af-4107-40ab-861f-b8b9f3da8602?index=2" TargetMode="External"/><Relationship Id="rId1016" Type="http://schemas.openxmlformats.org/officeDocument/2006/relationships/hyperlink" Target="https://alpha.midjourney.com/jobs/9f44ec3c-8312-484b-bc3f-b055f211334b?index=1" TargetMode="External"/><Relationship Id="rId1017" Type="http://schemas.openxmlformats.org/officeDocument/2006/relationships/hyperlink" Target="https://alpha.midjourney.com/jobs/cda9e665-f4f8-47ac-8a96-6bb29eb7cff1?index=0" TargetMode="External"/><Relationship Id="rId1018" Type="http://schemas.openxmlformats.org/officeDocument/2006/relationships/hyperlink" Target="https://alpha.midjourney.com/jobs/cda9e665-f4f8-47ac-8a96-6bb29eb7cff1?index=2" TargetMode="External"/><Relationship Id="rId1019" Type="http://schemas.openxmlformats.org/officeDocument/2006/relationships/hyperlink" Target="https://alpha.midjourney.com/jobs/050c77d2-5182-4382-b5bc-db641bf5cec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b66028ef-5e3a-4038-a5ee-304d9808015f?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1f413697-4aa9-4268-8632-34cae7b439c3?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1e429c2b-5a05-49ab-9489-c12018649b91?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73e183ab-cd8f-4e66-b328-a4226a72e32b?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93428f42-6dac-49ed-8e69-43a69015a590?index=0" TargetMode="External"/><Relationship Id="rId1004" Type="http://schemas.openxmlformats.org/officeDocument/2006/relationships/hyperlink" Target="https://alpha.midjourney.com/jobs/20c46836-19bc-4c62-8431-98b2760b75d0?index=3" TargetMode="External"/><Relationship Id="rId1005" Type="http://schemas.openxmlformats.org/officeDocument/2006/relationships/hyperlink" Target="https://alpha.midjourney.com/jobs/20c46836-19bc-4c62-8431-98b2760b75d0?index=2" TargetMode="External"/><Relationship Id="rId1006" Type="http://schemas.openxmlformats.org/officeDocument/2006/relationships/hyperlink" Target="https://alpha.midjourney.com/jobs/149f71d5-4d94-4947-8b64-95192764e495?index=3" TargetMode="External"/><Relationship Id="rId1007" Type="http://schemas.openxmlformats.org/officeDocument/2006/relationships/hyperlink" Target="https://alpha.midjourney.com/jobs/ead00509-22e1-4300-a2f5-37e68b0be839?index=1" TargetMode="External"/><Relationship Id="rId1008" Type="http://schemas.openxmlformats.org/officeDocument/2006/relationships/hyperlink" Target="https://alpha.midjourney.com/jobs/46a0753e-b7f5-4268-a101-deb73939d6be?index=2" TargetMode="External"/><Relationship Id="rId1009" Type="http://schemas.openxmlformats.org/officeDocument/2006/relationships/hyperlink" Target="https://alpha.midjourney.com/jobs/ead00509-22e1-4300-a2f5-37e68b0be83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5303463c-59b3-4fb2-94c4-4a297ae0ad1a?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6c892b4d-9f53-4686-88b5-2ef14a829397?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6c892b4d-9f53-4686-88b5-2ef14a829397?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8ddea716-e1f9-491b-aca2-f52b67ebc68d?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26" Type="http://schemas.openxmlformats.org/officeDocument/2006/relationships/hyperlink" Target="https://alpha.midjourney.com/jobs/0910dc1c-1abc-4850-9805-126bdbab7799?index=2" TargetMode="External"/><Relationship Id="rId1027" Type="http://schemas.openxmlformats.org/officeDocument/2006/relationships/hyperlink" Target="https://alpha.midjourney.com/jobs/e44b464d-8fb8-4785-b44d-30862c9b331d?index=0" TargetMode="External"/><Relationship Id="rId1028" Type="http://schemas.openxmlformats.org/officeDocument/2006/relationships/drawing" Target="../drawings/drawing1.xm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9c28fb54-8e94-4d81-8f7f-af5a9d185ca2?index=2" TargetMode="External"/><Relationship Id="rId1021" Type="http://schemas.openxmlformats.org/officeDocument/2006/relationships/hyperlink" Target="https://alpha.midjourney.com/jobs/d18a97fb-acf3-40be-b0ea-1d03a5d4f718?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e39d57f2-0251-4a7d-83b3-fbf31cdf863d?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ca25e5d3-d262-4f14-9b5c-79a9a9086431?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ec5ac332-b6b1-4b86-8b06-ac7403f17f1b?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ec5ac332-b6b1-4b86-8b06-ac7403f17f1b?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L351" s="13" t="s">
        <v>2286</v>
      </c>
      <c r="M351" s="13" t="s">
        <v>2287</v>
      </c>
      <c r="N351" s="13" t="s">
        <v>2288</v>
      </c>
      <c r="O351" s="13" t="s">
        <v>2289</v>
      </c>
    </row>
    <row r="352">
      <c r="A352" s="22" t="s">
        <v>2290</v>
      </c>
      <c r="B352" s="7" t="s">
        <v>22</v>
      </c>
      <c r="C352" s="7" t="s">
        <v>1888</v>
      </c>
      <c r="D352" s="9">
        <v>1.0</v>
      </c>
      <c r="E352" s="9" t="s">
        <v>2186</v>
      </c>
      <c r="F352" s="7" t="s">
        <v>2291</v>
      </c>
      <c r="G352" s="17" t="s">
        <v>2292</v>
      </c>
      <c r="H352" s="9">
        <v>2.0</v>
      </c>
      <c r="I352" s="9" t="s">
        <v>1915</v>
      </c>
      <c r="J352" s="9" t="s">
        <v>72</v>
      </c>
    </row>
    <row r="353">
      <c r="A353" s="16" t="s">
        <v>2293</v>
      </c>
      <c r="B353" s="7" t="s">
        <v>22</v>
      </c>
      <c r="C353" s="7" t="s">
        <v>1888</v>
      </c>
      <c r="D353" s="9">
        <v>1.0</v>
      </c>
      <c r="E353" s="15" t="s">
        <v>1176</v>
      </c>
      <c r="F353" s="16" t="s">
        <v>2294</v>
      </c>
      <c r="G353" s="17" t="s">
        <v>2295</v>
      </c>
      <c r="H353" s="15">
        <v>2.0</v>
      </c>
      <c r="I353" s="15" t="s">
        <v>1919</v>
      </c>
      <c r="J353" s="15" t="s">
        <v>28</v>
      </c>
    </row>
    <row r="354">
      <c r="A354" s="7" t="s">
        <v>2296</v>
      </c>
      <c r="B354" s="7" t="s">
        <v>22</v>
      </c>
      <c r="C354" s="7" t="s">
        <v>1888</v>
      </c>
      <c r="D354" s="9">
        <v>1.0</v>
      </c>
      <c r="E354" s="15" t="s">
        <v>2297</v>
      </c>
      <c r="F354" s="16" t="s">
        <v>2298</v>
      </c>
      <c r="G354" s="17" t="s">
        <v>2299</v>
      </c>
      <c r="H354" s="15">
        <v>2.0</v>
      </c>
      <c r="I354" s="15" t="s">
        <v>2096</v>
      </c>
      <c r="J354" s="9" t="s">
        <v>72</v>
      </c>
    </row>
    <row r="355">
      <c r="A355" s="7" t="s">
        <v>2300</v>
      </c>
      <c r="B355" s="7" t="s">
        <v>22</v>
      </c>
      <c r="C355" s="7" t="s">
        <v>1888</v>
      </c>
      <c r="D355" s="9">
        <v>1.0</v>
      </c>
      <c r="E355" s="9" t="s">
        <v>337</v>
      </c>
      <c r="F355" s="7" t="s">
        <v>2301</v>
      </c>
      <c r="G355" s="10" t="s">
        <v>2302</v>
      </c>
      <c r="H355" s="9">
        <v>3.0</v>
      </c>
      <c r="I355" s="9" t="s">
        <v>2096</v>
      </c>
      <c r="J355" s="9" t="s">
        <v>72</v>
      </c>
    </row>
    <row r="356">
      <c r="A356" s="7" t="s">
        <v>2303</v>
      </c>
      <c r="B356" s="7" t="s">
        <v>22</v>
      </c>
      <c r="C356" s="7" t="s">
        <v>1888</v>
      </c>
      <c r="D356" s="9">
        <v>1.0</v>
      </c>
      <c r="E356" s="9" t="s">
        <v>1176</v>
      </c>
      <c r="F356" s="16" t="s">
        <v>2304</v>
      </c>
      <c r="G356" s="10" t="s">
        <v>2305</v>
      </c>
      <c r="H356" s="9">
        <v>3.0</v>
      </c>
      <c r="I356" s="9" t="s">
        <v>1915</v>
      </c>
      <c r="J356" s="9" t="s">
        <v>28</v>
      </c>
    </row>
    <row r="357">
      <c r="A357" s="16" t="s">
        <v>2306</v>
      </c>
      <c r="B357" s="7" t="s">
        <v>22</v>
      </c>
      <c r="C357" s="7" t="s">
        <v>1888</v>
      </c>
      <c r="D357" s="9">
        <v>1.0</v>
      </c>
      <c r="E357" s="15" t="s">
        <v>1176</v>
      </c>
      <c r="F357" s="16" t="s">
        <v>2307</v>
      </c>
      <c r="G357" s="17" t="s">
        <v>2308</v>
      </c>
      <c r="H357" s="15">
        <v>3.0</v>
      </c>
      <c r="I357" s="15" t="s">
        <v>1915</v>
      </c>
      <c r="J357" s="15" t="s">
        <v>28</v>
      </c>
    </row>
    <row r="358">
      <c r="A358" s="24" t="s">
        <v>2309</v>
      </c>
      <c r="B358" s="7" t="s">
        <v>22</v>
      </c>
      <c r="C358" s="7" t="s">
        <v>1888</v>
      </c>
      <c r="D358" s="9">
        <v>1.0</v>
      </c>
      <c r="E358" s="21" t="s">
        <v>1912</v>
      </c>
      <c r="F358" s="7" t="s">
        <v>2310</v>
      </c>
      <c r="G358" s="17" t="s">
        <v>2311</v>
      </c>
      <c r="H358" s="9">
        <v>2.0</v>
      </c>
      <c r="I358" s="9" t="s">
        <v>1919</v>
      </c>
      <c r="J358" s="15" t="s">
        <v>28</v>
      </c>
    </row>
    <row r="359">
      <c r="A359" s="7" t="s">
        <v>2312</v>
      </c>
      <c r="B359" s="7" t="s">
        <v>22</v>
      </c>
      <c r="C359" s="7" t="s">
        <v>1888</v>
      </c>
      <c r="D359" s="9">
        <v>1.0</v>
      </c>
      <c r="E359" s="9" t="s">
        <v>1838</v>
      </c>
      <c r="F359" s="7" t="s">
        <v>2313</v>
      </c>
      <c r="G359" s="103" t="s">
        <v>2314</v>
      </c>
      <c r="H359" s="9">
        <v>4.0</v>
      </c>
      <c r="I359" s="9" t="s">
        <v>2096</v>
      </c>
      <c r="J359" s="15" t="s">
        <v>28</v>
      </c>
    </row>
    <row r="360">
      <c r="A360" s="20" t="s">
        <v>2315</v>
      </c>
      <c r="B360" s="7" t="s">
        <v>22</v>
      </c>
      <c r="C360" s="7" t="s">
        <v>1888</v>
      </c>
      <c r="D360" s="9">
        <v>1.0</v>
      </c>
      <c r="E360" s="9" t="s">
        <v>183</v>
      </c>
      <c r="F360" s="7" t="s">
        <v>2316</v>
      </c>
      <c r="G360" s="10" t="s">
        <v>2317</v>
      </c>
      <c r="H360" s="9">
        <v>0.0</v>
      </c>
      <c r="I360" s="9" t="s">
        <v>1915</v>
      </c>
      <c r="J360" s="9" t="s">
        <v>28</v>
      </c>
    </row>
    <row r="361">
      <c r="A361" s="54" t="s">
        <v>2318</v>
      </c>
      <c r="B361" s="7" t="s">
        <v>22</v>
      </c>
      <c r="C361" s="54" t="s">
        <v>1888</v>
      </c>
      <c r="D361" s="53">
        <v>1.0</v>
      </c>
      <c r="E361" s="53" t="s">
        <v>1465</v>
      </c>
      <c r="F361" s="54" t="s">
        <v>2319</v>
      </c>
      <c r="G361" s="55" t="s">
        <v>2320</v>
      </c>
      <c r="H361" s="53">
        <v>4.0</v>
      </c>
      <c r="I361" s="53" t="s">
        <v>1905</v>
      </c>
      <c r="J361" s="53" t="s">
        <v>72</v>
      </c>
    </row>
    <row r="362" hidden="1">
      <c r="A362" s="16" t="s">
        <v>2321</v>
      </c>
      <c r="B362" s="16"/>
      <c r="C362" s="16" t="s">
        <v>23</v>
      </c>
      <c r="D362" s="15">
        <v>3.0</v>
      </c>
      <c r="E362" s="16" t="s">
        <v>2322</v>
      </c>
      <c r="F362" s="16" t="s">
        <v>2323</v>
      </c>
      <c r="H362" s="15">
        <v>4.0</v>
      </c>
      <c r="I362" s="15" t="s">
        <v>173</v>
      </c>
      <c r="J362" s="16" t="s">
        <v>72</v>
      </c>
    </row>
    <row r="363" hidden="1">
      <c r="A363" s="16" t="s">
        <v>2324</v>
      </c>
      <c r="B363" s="16"/>
      <c r="C363" s="16" t="s">
        <v>1888</v>
      </c>
      <c r="D363" s="15">
        <v>3.0</v>
      </c>
      <c r="E363" s="16" t="s">
        <v>2325</v>
      </c>
      <c r="F363" s="16" t="s">
        <v>2326</v>
      </c>
      <c r="H363" s="15">
        <v>3.0</v>
      </c>
      <c r="I363" s="15" t="s">
        <v>2327</v>
      </c>
      <c r="J363" s="16" t="s">
        <v>34</v>
      </c>
    </row>
    <row r="364" hidden="1">
      <c r="A364" s="16" t="s">
        <v>2328</v>
      </c>
      <c r="B364" s="16"/>
      <c r="C364" s="16" t="s">
        <v>1040</v>
      </c>
      <c r="D364" s="15">
        <v>3.0</v>
      </c>
      <c r="E364" s="16" t="s">
        <v>39</v>
      </c>
      <c r="F364" s="16" t="s">
        <v>2329</v>
      </c>
      <c r="H364" s="15">
        <v>1.0</v>
      </c>
      <c r="I364" s="15" t="s">
        <v>1052</v>
      </c>
      <c r="J364" s="16" t="s">
        <v>28</v>
      </c>
    </row>
    <row r="365" hidden="1">
      <c r="A365" s="16" t="s">
        <v>2330</v>
      </c>
      <c r="B365" s="16"/>
      <c r="C365" s="16" t="s">
        <v>420</v>
      </c>
      <c r="D365" s="15">
        <v>3.0</v>
      </c>
      <c r="E365" s="16" t="s">
        <v>633</v>
      </c>
      <c r="F365" s="16" t="s">
        <v>2331</v>
      </c>
      <c r="H365" s="15">
        <v>3.0</v>
      </c>
      <c r="I365" s="15" t="s">
        <v>588</v>
      </c>
      <c r="J365" s="16" t="s">
        <v>28</v>
      </c>
    </row>
    <row r="366" hidden="1">
      <c r="A366" s="16" t="s">
        <v>2332</v>
      </c>
      <c r="B366" s="16"/>
      <c r="C366" s="16" t="s">
        <v>965</v>
      </c>
      <c r="D366" s="15">
        <v>3.0</v>
      </c>
      <c r="E366" s="16" t="s">
        <v>2333</v>
      </c>
      <c r="F366" s="16" t="s">
        <v>2334</v>
      </c>
      <c r="H366" s="15">
        <v>6.0</v>
      </c>
      <c r="I366" s="15" t="s">
        <v>2335</v>
      </c>
      <c r="J366" s="16" t="s">
        <v>72</v>
      </c>
    </row>
    <row r="367" hidden="1">
      <c r="A367" s="16" t="s">
        <v>2336</v>
      </c>
      <c r="B367" s="16"/>
      <c r="C367" s="16" t="s">
        <v>393</v>
      </c>
      <c r="D367" s="15">
        <v>3.0</v>
      </c>
      <c r="E367" s="16" t="s">
        <v>2337</v>
      </c>
      <c r="F367" s="16" t="s">
        <v>2338</v>
      </c>
      <c r="H367" s="15">
        <v>5.0</v>
      </c>
      <c r="I367" s="15" t="s">
        <v>2339</v>
      </c>
      <c r="J367" s="16" t="s">
        <v>34</v>
      </c>
    </row>
    <row r="368" hidden="1">
      <c r="A368" s="16" t="s">
        <v>2340</v>
      </c>
      <c r="B368" s="16"/>
      <c r="C368" s="16" t="s">
        <v>1502</v>
      </c>
      <c r="D368" s="15">
        <v>3.0</v>
      </c>
      <c r="E368" s="16" t="s">
        <v>2341</v>
      </c>
      <c r="F368" s="16" t="s">
        <v>2342</v>
      </c>
      <c r="H368" s="15">
        <v>5.0</v>
      </c>
      <c r="I368" s="15" t="s">
        <v>1536</v>
      </c>
      <c r="J368" s="16" t="s">
        <v>72</v>
      </c>
    </row>
    <row r="369" hidden="1">
      <c r="A369" s="16" t="s">
        <v>2343</v>
      </c>
      <c r="B369" s="16"/>
      <c r="C369" s="16" t="s">
        <v>23</v>
      </c>
      <c r="D369" s="15">
        <v>3.0</v>
      </c>
      <c r="E369" s="16" t="s">
        <v>113</v>
      </c>
      <c r="F369" s="16" t="s">
        <v>2344</v>
      </c>
      <c r="H369" s="15">
        <v>2.0</v>
      </c>
      <c r="I369" s="15" t="s">
        <v>108</v>
      </c>
      <c r="J369" s="16" t="s">
        <v>28</v>
      </c>
    </row>
    <row r="370" hidden="1">
      <c r="A370" s="16" t="s">
        <v>2345</v>
      </c>
      <c r="B370" s="16"/>
      <c r="C370" s="16" t="s">
        <v>420</v>
      </c>
      <c r="D370" s="15">
        <v>3.0</v>
      </c>
      <c r="E370" s="16" t="s">
        <v>2346</v>
      </c>
      <c r="F370" s="16" t="s">
        <v>2347</v>
      </c>
      <c r="H370" s="15">
        <v>3.0</v>
      </c>
      <c r="I370" s="15" t="s">
        <v>423</v>
      </c>
      <c r="J370" s="16" t="s">
        <v>28</v>
      </c>
    </row>
    <row r="371" hidden="1">
      <c r="A371" s="16" t="s">
        <v>2348</v>
      </c>
      <c r="B371" s="16"/>
      <c r="C371" s="16" t="s">
        <v>896</v>
      </c>
      <c r="D371" s="15">
        <v>3.0</v>
      </c>
      <c r="E371" s="16" t="s">
        <v>2349</v>
      </c>
      <c r="F371" s="16" t="s">
        <v>2350</v>
      </c>
      <c r="H371" s="15">
        <v>3.0</v>
      </c>
      <c r="I371" s="15" t="s">
        <v>2351</v>
      </c>
      <c r="J371" s="16" t="s">
        <v>72</v>
      </c>
    </row>
    <row r="372" hidden="1">
      <c r="A372" s="16" t="s">
        <v>2352</v>
      </c>
      <c r="B372" s="16"/>
      <c r="C372" s="16" t="s">
        <v>1888</v>
      </c>
      <c r="D372" s="15">
        <v>3.0</v>
      </c>
      <c r="E372" s="16" t="s">
        <v>2353</v>
      </c>
      <c r="F372" s="16" t="s">
        <v>2354</v>
      </c>
      <c r="H372" s="104"/>
      <c r="I372" s="104"/>
    </row>
    <row r="373" hidden="1">
      <c r="A373" s="16" t="s">
        <v>2355</v>
      </c>
      <c r="B373" s="16"/>
      <c r="C373" s="16" t="s">
        <v>1502</v>
      </c>
      <c r="D373" s="15">
        <v>3.0</v>
      </c>
      <c r="E373" s="16" t="s">
        <v>1398</v>
      </c>
      <c r="F373" s="16" t="s">
        <v>2356</v>
      </c>
      <c r="H373" s="15">
        <v>3.0</v>
      </c>
      <c r="I373" s="15" t="s">
        <v>1531</v>
      </c>
      <c r="J373" s="16" t="s">
        <v>28</v>
      </c>
    </row>
    <row r="374" hidden="1">
      <c r="A374" s="16" t="s">
        <v>2357</v>
      </c>
      <c r="B374" s="16"/>
      <c r="C374" s="16" t="s">
        <v>1888</v>
      </c>
      <c r="D374" s="15">
        <v>3.0</v>
      </c>
      <c r="E374" s="16" t="s">
        <v>2358</v>
      </c>
      <c r="F374" s="16" t="s">
        <v>2359</v>
      </c>
      <c r="H374" s="15">
        <v>4.0</v>
      </c>
      <c r="I374" s="15" t="s">
        <v>2096</v>
      </c>
      <c r="J374" s="16" t="s">
        <v>72</v>
      </c>
    </row>
    <row r="375" hidden="1">
      <c r="A375" s="16" t="s">
        <v>2360</v>
      </c>
      <c r="B375" s="16"/>
      <c r="C375" s="16" t="s">
        <v>2361</v>
      </c>
      <c r="D375" s="15">
        <v>3.0</v>
      </c>
      <c r="E375" s="16" t="s">
        <v>30</v>
      </c>
      <c r="F375" s="16" t="s">
        <v>2362</v>
      </c>
      <c r="H375" s="15">
        <v>3.0</v>
      </c>
      <c r="I375" s="15" t="s">
        <v>2363</v>
      </c>
      <c r="J375" s="16" t="s">
        <v>28</v>
      </c>
    </row>
    <row r="376" hidden="1">
      <c r="A376" s="16" t="s">
        <v>2364</v>
      </c>
      <c r="B376" s="16"/>
      <c r="C376" s="16" t="s">
        <v>420</v>
      </c>
      <c r="D376" s="15">
        <v>3.0</v>
      </c>
      <c r="E376" s="16" t="s">
        <v>2365</v>
      </c>
      <c r="F376" s="16" t="s">
        <v>2366</v>
      </c>
      <c r="H376" s="15">
        <v>5.0</v>
      </c>
      <c r="I376" s="15" t="s">
        <v>528</v>
      </c>
      <c r="J376" s="16" t="s">
        <v>28</v>
      </c>
    </row>
    <row r="377" hidden="1">
      <c r="A377" s="16" t="s">
        <v>2367</v>
      </c>
      <c r="B377" s="16"/>
      <c r="C377" s="14" t="s">
        <v>23</v>
      </c>
      <c r="D377" s="15">
        <v>3.0</v>
      </c>
      <c r="E377" s="15" t="s">
        <v>82</v>
      </c>
      <c r="F377" s="16" t="s">
        <v>2368</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2369</v>
      </c>
      <c r="B378" s="16"/>
      <c r="C378" s="16" t="s">
        <v>420</v>
      </c>
      <c r="D378" s="15">
        <v>3.0</v>
      </c>
      <c r="E378" s="16" t="s">
        <v>2370</v>
      </c>
      <c r="F378" s="16" t="s">
        <v>2371</v>
      </c>
      <c r="H378" s="15">
        <v>2.0</v>
      </c>
      <c r="I378" s="15" t="s">
        <v>588</v>
      </c>
      <c r="J378" s="16" t="s">
        <v>72</v>
      </c>
    </row>
    <row r="379" hidden="1">
      <c r="A379" s="22" t="s">
        <v>2372</v>
      </c>
      <c r="B379" s="22"/>
      <c r="C379" s="88" t="s">
        <v>1502</v>
      </c>
      <c r="D379" s="9">
        <v>3.0</v>
      </c>
      <c r="E379" s="9" t="s">
        <v>82</v>
      </c>
      <c r="F379" s="7" t="s">
        <v>2373</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2296</v>
      </c>
      <c r="B380" s="7"/>
      <c r="C380" s="97" t="s">
        <v>1888</v>
      </c>
      <c r="D380" s="9">
        <v>3.0</v>
      </c>
      <c r="E380" s="15" t="s">
        <v>2374</v>
      </c>
      <c r="F380" s="16" t="s">
        <v>2298</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2375</v>
      </c>
      <c r="B381" s="7"/>
      <c r="C381" s="8" t="s">
        <v>23</v>
      </c>
      <c r="D381" s="9">
        <v>3.0</v>
      </c>
      <c r="E381" s="9" t="s">
        <v>410</v>
      </c>
      <c r="F381" s="7" t="s">
        <v>2376</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2377</v>
      </c>
      <c r="B382" s="28"/>
      <c r="C382" s="105" t="s">
        <v>23</v>
      </c>
      <c r="D382" s="65">
        <v>3.0</v>
      </c>
      <c r="E382" s="67" t="s">
        <v>2378</v>
      </c>
      <c r="F382" s="29" t="s">
        <v>2379</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2380</v>
      </c>
      <c r="B383" s="16"/>
      <c r="C383" s="16" t="s">
        <v>393</v>
      </c>
      <c r="D383" s="15">
        <v>3.0</v>
      </c>
      <c r="E383" s="15" t="s">
        <v>1447</v>
      </c>
      <c r="F383" s="16" t="s">
        <v>2381</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2382</v>
      </c>
      <c r="B384" s="7"/>
      <c r="C384" s="48" t="s">
        <v>420</v>
      </c>
      <c r="D384" s="9">
        <v>3.0</v>
      </c>
      <c r="E384" s="9" t="s">
        <v>435</v>
      </c>
      <c r="F384" s="16" t="s">
        <v>2383</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2384</v>
      </c>
      <c r="B385" s="7"/>
      <c r="C385" s="7" t="s">
        <v>319</v>
      </c>
      <c r="D385" s="9">
        <v>3.0</v>
      </c>
      <c r="E385" s="9" t="s">
        <v>157</v>
      </c>
      <c r="F385" s="7" t="s">
        <v>2385</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2386</v>
      </c>
      <c r="H386" s="104"/>
      <c r="I386" s="104"/>
    </row>
    <row r="387" hidden="1">
      <c r="B387" s="20"/>
      <c r="D387" s="15">
        <v>3.0</v>
      </c>
      <c r="E387" s="16" t="s">
        <v>2008</v>
      </c>
      <c r="H387" s="104"/>
      <c r="I387" s="104"/>
    </row>
    <row r="388" hidden="1">
      <c r="B388" s="20"/>
      <c r="D388" s="15">
        <v>3.0</v>
      </c>
      <c r="F388" s="16" t="s">
        <v>2387</v>
      </c>
      <c r="H388" s="104"/>
      <c r="I388" s="104"/>
    </row>
    <row r="389" hidden="1">
      <c r="A389" s="16" t="s">
        <v>2388</v>
      </c>
      <c r="B389" s="16"/>
      <c r="C389" s="16" t="s">
        <v>1502</v>
      </c>
      <c r="D389" s="15">
        <v>3.0</v>
      </c>
      <c r="E389" s="16" t="s">
        <v>39</v>
      </c>
      <c r="F389" s="16" t="s">
        <v>2389</v>
      </c>
      <c r="H389" s="15">
        <v>1.0</v>
      </c>
      <c r="I389" s="15" t="s">
        <v>1735</v>
      </c>
      <c r="J389" s="16" t="s">
        <v>28</v>
      </c>
    </row>
    <row r="390" hidden="1">
      <c r="B390" s="20"/>
      <c r="D390" s="15">
        <v>3.0</v>
      </c>
      <c r="F390" s="16" t="s">
        <v>2390</v>
      </c>
      <c r="H390" s="104"/>
      <c r="I390" s="104"/>
    </row>
    <row r="391" hidden="1">
      <c r="A391" s="16" t="s">
        <v>2391</v>
      </c>
      <c r="B391" s="16"/>
      <c r="C391" s="16" t="s">
        <v>1040</v>
      </c>
      <c r="D391" s="15">
        <v>3.0</v>
      </c>
      <c r="E391" s="16" t="s">
        <v>699</v>
      </c>
      <c r="F391" s="16" t="s">
        <v>2392</v>
      </c>
      <c r="H391" s="104"/>
      <c r="I391" s="104"/>
    </row>
    <row r="392" hidden="1">
      <c r="A392" s="7" t="s">
        <v>2393</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2394</v>
      </c>
      <c r="B393" s="16"/>
      <c r="D393" s="16">
        <v>3.0</v>
      </c>
      <c r="F393" s="16" t="s">
        <v>2395</v>
      </c>
      <c r="H393" s="104"/>
      <c r="I393" s="104"/>
    </row>
    <row r="394" hidden="1">
      <c r="B394" s="20"/>
      <c r="D394" s="15">
        <v>3.0</v>
      </c>
      <c r="F394" s="16" t="s">
        <v>2396</v>
      </c>
      <c r="H394" s="104"/>
      <c r="I394" s="104"/>
    </row>
    <row r="395" hidden="1">
      <c r="B395" s="20"/>
      <c r="D395" s="15">
        <v>3.0</v>
      </c>
      <c r="F395" s="16" t="s">
        <v>2397</v>
      </c>
      <c r="H395" s="104"/>
      <c r="I395" s="104"/>
    </row>
    <row r="396" hidden="1">
      <c r="B396" s="20"/>
      <c r="D396" s="15">
        <v>3.0</v>
      </c>
      <c r="F396" s="16" t="s">
        <v>2398</v>
      </c>
      <c r="H396" s="104"/>
      <c r="I396" s="104"/>
    </row>
    <row r="397" hidden="1">
      <c r="A397" s="16" t="s">
        <v>2399</v>
      </c>
      <c r="B397" s="16"/>
      <c r="D397" s="15">
        <v>3.0</v>
      </c>
      <c r="E397" s="16" t="s">
        <v>2400</v>
      </c>
      <c r="F397" s="16" t="s">
        <v>2401</v>
      </c>
      <c r="H397" s="104"/>
      <c r="I397" s="104"/>
    </row>
    <row r="398" hidden="1">
      <c r="B398" s="20"/>
      <c r="D398" s="15">
        <v>3.0</v>
      </c>
      <c r="F398" s="106" t="s">
        <v>2402</v>
      </c>
      <c r="H398" s="104"/>
      <c r="I398" s="104"/>
    </row>
    <row r="399" hidden="1">
      <c r="A399" s="16" t="s">
        <v>2403</v>
      </c>
      <c r="B399" s="16"/>
      <c r="D399" s="15">
        <v>3.0</v>
      </c>
      <c r="E399" s="16" t="s">
        <v>2404</v>
      </c>
      <c r="F399" s="16" t="s">
        <v>2405</v>
      </c>
      <c r="H399" s="104"/>
      <c r="I399" s="104"/>
    </row>
    <row r="400" hidden="1">
      <c r="A400" s="16" t="s">
        <v>2406</v>
      </c>
      <c r="B400" s="16"/>
      <c r="D400" s="15">
        <v>3.0</v>
      </c>
      <c r="E400" s="16" t="s">
        <v>2404</v>
      </c>
      <c r="F400" s="16" t="s">
        <v>2407</v>
      </c>
      <c r="H400" s="104"/>
      <c r="I400" s="104"/>
    </row>
    <row r="401" hidden="1">
      <c r="A401" s="16" t="s">
        <v>2408</v>
      </c>
      <c r="B401" s="16"/>
      <c r="D401" s="15">
        <v>3.0</v>
      </c>
      <c r="E401" s="16" t="s">
        <v>2404</v>
      </c>
      <c r="F401" s="16" t="s">
        <v>2409</v>
      </c>
      <c r="H401" s="104"/>
      <c r="I401" s="104"/>
    </row>
    <row r="402" hidden="1">
      <c r="A402" s="16" t="s">
        <v>2410</v>
      </c>
      <c r="B402" s="16"/>
      <c r="D402" s="15">
        <v>3.0</v>
      </c>
      <c r="E402" s="16" t="s">
        <v>2404</v>
      </c>
      <c r="F402" s="16" t="s">
        <v>2411</v>
      </c>
      <c r="H402" s="104"/>
      <c r="I402" s="104"/>
    </row>
    <row r="403" hidden="1">
      <c r="A403" s="16" t="s">
        <v>2412</v>
      </c>
      <c r="B403" s="16"/>
      <c r="D403" s="15">
        <v>3.0</v>
      </c>
      <c r="E403" s="16" t="s">
        <v>2404</v>
      </c>
      <c r="F403" s="16" t="s">
        <v>2413</v>
      </c>
      <c r="H403" s="104"/>
      <c r="I403" s="104"/>
    </row>
    <row r="404" hidden="1">
      <c r="A404" s="16" t="s">
        <v>2414</v>
      </c>
      <c r="B404" s="16"/>
      <c r="C404" s="16" t="s">
        <v>393</v>
      </c>
      <c r="D404" s="15">
        <v>3.0</v>
      </c>
      <c r="F404" s="16" t="s">
        <v>2415</v>
      </c>
      <c r="H404" s="104"/>
      <c r="I404" s="15" t="s">
        <v>477</v>
      </c>
      <c r="J404" s="16" t="s">
        <v>72</v>
      </c>
    </row>
    <row r="405" hidden="1">
      <c r="B405" s="20"/>
      <c r="D405" s="16">
        <v>3.0</v>
      </c>
      <c r="F405" s="16" t="s">
        <v>2416</v>
      </c>
      <c r="H405" s="104"/>
      <c r="I405" s="104"/>
    </row>
    <row r="406" hidden="1">
      <c r="A406" s="16" t="s">
        <v>2417</v>
      </c>
      <c r="B406" s="16"/>
      <c r="C406" s="16" t="s">
        <v>420</v>
      </c>
      <c r="D406" s="15">
        <v>3.0</v>
      </c>
      <c r="F406" s="16" t="s">
        <v>2418</v>
      </c>
      <c r="H406" s="104"/>
      <c r="I406" s="104"/>
    </row>
    <row r="407">
      <c r="A407" s="7" t="s">
        <v>2419</v>
      </c>
      <c r="B407" s="7" t="s">
        <v>22</v>
      </c>
      <c r="C407" s="7" t="s">
        <v>1888</v>
      </c>
      <c r="D407" s="9">
        <v>1.0</v>
      </c>
      <c r="E407" s="9" t="s">
        <v>1843</v>
      </c>
      <c r="F407" s="7" t="s">
        <v>2420</v>
      </c>
      <c r="G407" s="10" t="s">
        <v>2421</v>
      </c>
      <c r="H407" s="9">
        <v>1.0</v>
      </c>
      <c r="I407" s="9" t="s">
        <v>1919</v>
      </c>
      <c r="J407" s="9" t="s">
        <v>28</v>
      </c>
    </row>
    <row r="408">
      <c r="A408" s="24" t="s">
        <v>2422</v>
      </c>
      <c r="B408" s="7" t="s">
        <v>22</v>
      </c>
      <c r="C408" s="7" t="s">
        <v>1888</v>
      </c>
      <c r="D408" s="9">
        <v>1.0</v>
      </c>
      <c r="E408" s="9" t="s">
        <v>980</v>
      </c>
      <c r="F408" s="7" t="s">
        <v>638</v>
      </c>
      <c r="G408" s="17" t="s">
        <v>2423</v>
      </c>
      <c r="H408" s="21">
        <v>3.0</v>
      </c>
      <c r="I408" s="9" t="s">
        <v>1915</v>
      </c>
      <c r="J408" s="21" t="s">
        <v>28</v>
      </c>
    </row>
    <row r="409">
      <c r="A409" s="24" t="s">
        <v>2424</v>
      </c>
      <c r="B409" s="7" t="s">
        <v>22</v>
      </c>
      <c r="C409" s="7" t="s">
        <v>1888</v>
      </c>
      <c r="D409" s="9">
        <v>1.0</v>
      </c>
      <c r="E409" s="9" t="s">
        <v>980</v>
      </c>
      <c r="F409" s="7" t="s">
        <v>2425</v>
      </c>
      <c r="G409" s="17" t="s">
        <v>2426</v>
      </c>
      <c r="H409" s="21">
        <v>4.0</v>
      </c>
      <c r="I409" s="9" t="s">
        <v>1989</v>
      </c>
      <c r="J409" s="21" t="s">
        <v>28</v>
      </c>
    </row>
    <row r="410">
      <c r="A410" s="7" t="s">
        <v>2427</v>
      </c>
      <c r="B410" s="7" t="s">
        <v>22</v>
      </c>
      <c r="C410" s="7" t="s">
        <v>1888</v>
      </c>
      <c r="D410" s="9">
        <v>1.0</v>
      </c>
      <c r="E410" s="9" t="s">
        <v>1902</v>
      </c>
      <c r="F410" s="7" t="s">
        <v>2428</v>
      </c>
      <c r="G410" s="10" t="s">
        <v>2429</v>
      </c>
      <c r="H410" s="9">
        <v>4.0</v>
      </c>
      <c r="I410" s="9" t="s">
        <v>1989</v>
      </c>
      <c r="J410" s="9" t="s">
        <v>28</v>
      </c>
    </row>
    <row r="411">
      <c r="A411" s="22" t="s">
        <v>2430</v>
      </c>
      <c r="B411" s="7" t="s">
        <v>22</v>
      </c>
      <c r="C411" s="7" t="s">
        <v>1888</v>
      </c>
      <c r="D411" s="9">
        <v>1.0</v>
      </c>
      <c r="E411" s="9" t="s">
        <v>203</v>
      </c>
      <c r="F411" s="7" t="s">
        <v>2431</v>
      </c>
      <c r="G411" s="10" t="s">
        <v>2432</v>
      </c>
      <c r="H411" s="9">
        <v>5.0</v>
      </c>
      <c r="I411" s="9" t="s">
        <v>1905</v>
      </c>
      <c r="J411" s="9" t="s">
        <v>72</v>
      </c>
      <c r="L411" s="13" t="s">
        <v>2433</v>
      </c>
    </row>
    <row r="412">
      <c r="A412" s="24" t="s">
        <v>2434</v>
      </c>
      <c r="B412" s="7" t="s">
        <v>22</v>
      </c>
      <c r="C412" s="7" t="s">
        <v>1888</v>
      </c>
      <c r="D412" s="9">
        <v>1.0</v>
      </c>
      <c r="E412" s="9" t="s">
        <v>126</v>
      </c>
      <c r="F412" s="7" t="s">
        <v>2435</v>
      </c>
      <c r="G412" s="10" t="s">
        <v>2436</v>
      </c>
      <c r="H412" s="9">
        <v>1.0</v>
      </c>
      <c r="I412" s="9" t="s">
        <v>1915</v>
      </c>
      <c r="J412" s="21" t="s">
        <v>72</v>
      </c>
      <c r="K412" s="16" t="s">
        <v>2437</v>
      </c>
      <c r="L412" s="13" t="s">
        <v>2438</v>
      </c>
      <c r="M412" s="13" t="s">
        <v>2439</v>
      </c>
      <c r="N412" s="13" t="s">
        <v>2440</v>
      </c>
      <c r="O412" s="13" t="s">
        <v>2441</v>
      </c>
    </row>
    <row r="413">
      <c r="A413" s="22" t="s">
        <v>2442</v>
      </c>
      <c r="B413" s="7" t="s">
        <v>22</v>
      </c>
      <c r="C413" s="7" t="s">
        <v>1888</v>
      </c>
      <c r="D413" s="9">
        <v>1.0</v>
      </c>
      <c r="E413" s="9" t="s">
        <v>2443</v>
      </c>
      <c r="F413" s="7" t="s">
        <v>2444</v>
      </c>
      <c r="G413" s="10" t="s">
        <v>2445</v>
      </c>
      <c r="H413" s="9">
        <v>2.0</v>
      </c>
      <c r="I413" s="9" t="s">
        <v>1919</v>
      </c>
      <c r="J413" s="9" t="s">
        <v>28</v>
      </c>
      <c r="K413" s="16" t="s">
        <v>2446</v>
      </c>
      <c r="L413" s="13" t="s">
        <v>2447</v>
      </c>
      <c r="M413" s="13" t="s">
        <v>2448</v>
      </c>
      <c r="N413" s="13" t="s">
        <v>2449</v>
      </c>
      <c r="O413" s="13" t="s">
        <v>2450</v>
      </c>
      <c r="P413" s="13" t="s">
        <v>2451</v>
      </c>
      <c r="Q413" s="13" t="s">
        <v>2452</v>
      </c>
    </row>
    <row r="414">
      <c r="A414" s="24" t="s">
        <v>2453</v>
      </c>
      <c r="B414" s="7" t="s">
        <v>22</v>
      </c>
      <c r="C414" s="7" t="s">
        <v>1888</v>
      </c>
      <c r="D414" s="9">
        <v>1.0</v>
      </c>
      <c r="E414" s="9" t="s">
        <v>653</v>
      </c>
      <c r="F414" s="7" t="s">
        <v>2454</v>
      </c>
      <c r="G414" s="17" t="s">
        <v>2455</v>
      </c>
      <c r="H414" s="9">
        <v>10.0</v>
      </c>
      <c r="I414" s="9" t="s">
        <v>1989</v>
      </c>
      <c r="J414" s="21" t="s">
        <v>34</v>
      </c>
      <c r="K414" s="16" t="s">
        <v>2456</v>
      </c>
      <c r="L414" s="13" t="s">
        <v>2457</v>
      </c>
      <c r="M414" s="13" t="s">
        <v>2458</v>
      </c>
      <c r="N414" s="13" t="s">
        <v>2459</v>
      </c>
      <c r="O414" s="13" t="s">
        <v>2460</v>
      </c>
      <c r="P414" s="13" t="s">
        <v>2461</v>
      </c>
      <c r="Q414" s="13" t="s">
        <v>2462</v>
      </c>
    </row>
    <row r="415">
      <c r="A415" s="7" t="s">
        <v>2463</v>
      </c>
      <c r="B415" s="7" t="s">
        <v>22</v>
      </c>
      <c r="C415" s="7" t="s">
        <v>1888</v>
      </c>
      <c r="D415" s="9">
        <v>1.0</v>
      </c>
      <c r="E415" s="9" t="s">
        <v>2464</v>
      </c>
      <c r="F415" s="7" t="s">
        <v>2465</v>
      </c>
      <c r="G415" s="10" t="s">
        <v>2466</v>
      </c>
      <c r="H415" s="9">
        <v>6.0</v>
      </c>
      <c r="I415" s="9" t="s">
        <v>1983</v>
      </c>
      <c r="J415" s="9" t="s">
        <v>34</v>
      </c>
      <c r="K415" s="16" t="s">
        <v>2467</v>
      </c>
      <c r="L415" s="13" t="s">
        <v>2468</v>
      </c>
      <c r="M415" s="13" t="s">
        <v>2469</v>
      </c>
      <c r="N415" s="13" t="s">
        <v>2470</v>
      </c>
    </row>
    <row r="416">
      <c r="A416" s="69" t="s">
        <v>2471</v>
      </c>
      <c r="B416" s="7" t="s">
        <v>22</v>
      </c>
      <c r="C416" s="107" t="s">
        <v>1888</v>
      </c>
      <c r="D416" s="71">
        <v>1.0</v>
      </c>
      <c r="E416" s="71" t="s">
        <v>2175</v>
      </c>
      <c r="F416" s="29" t="s">
        <v>2472</v>
      </c>
      <c r="G416" s="69"/>
      <c r="H416" s="71">
        <v>6.0</v>
      </c>
      <c r="I416" s="71" t="s">
        <v>1910</v>
      </c>
      <c r="J416" s="71" t="s">
        <v>34</v>
      </c>
      <c r="K416" s="29" t="s">
        <v>2473</v>
      </c>
      <c r="L416" s="72" t="s">
        <v>2474</v>
      </c>
      <c r="M416" s="72" t="s">
        <v>2475</v>
      </c>
      <c r="N416" s="72" t="s">
        <v>2476</v>
      </c>
      <c r="O416" s="72" t="s">
        <v>2477</v>
      </c>
      <c r="P416" s="72" t="s">
        <v>2478</v>
      </c>
      <c r="Q416" s="72" t="s">
        <v>2479</v>
      </c>
      <c r="R416" s="72" t="s">
        <v>2480</v>
      </c>
      <c r="S416" s="72" t="s">
        <v>2481</v>
      </c>
      <c r="T416" s="28"/>
      <c r="U416" s="28"/>
    </row>
    <row r="417">
      <c r="A417" s="7" t="s">
        <v>2482</v>
      </c>
      <c r="B417" s="7" t="s">
        <v>22</v>
      </c>
      <c r="C417" s="7" t="s">
        <v>1888</v>
      </c>
      <c r="D417" s="9">
        <v>1.0</v>
      </c>
      <c r="E417" s="9" t="s">
        <v>1447</v>
      </c>
      <c r="G417" s="10" t="s">
        <v>2483</v>
      </c>
      <c r="H417" s="9">
        <v>1.0</v>
      </c>
      <c r="I417" s="9" t="s">
        <v>1891</v>
      </c>
      <c r="J417" s="9" t="s">
        <v>28</v>
      </c>
      <c r="K417" s="16" t="s">
        <v>2484</v>
      </c>
      <c r="L417" s="13" t="s">
        <v>2485</v>
      </c>
      <c r="M417" s="13" t="s">
        <v>2486</v>
      </c>
    </row>
    <row r="418">
      <c r="A418" s="16" t="s">
        <v>2487</v>
      </c>
      <c r="B418" s="7" t="s">
        <v>22</v>
      </c>
      <c r="C418" s="16" t="s">
        <v>1888</v>
      </c>
      <c r="D418" s="15">
        <v>1.0</v>
      </c>
      <c r="E418" s="15" t="s">
        <v>1525</v>
      </c>
      <c r="G418" s="34"/>
      <c r="H418" s="15">
        <v>2.0</v>
      </c>
      <c r="I418" s="15" t="s">
        <v>1919</v>
      </c>
      <c r="J418" s="15" t="s">
        <v>28</v>
      </c>
      <c r="K418" s="16" t="s">
        <v>2488</v>
      </c>
      <c r="L418" s="13" t="s">
        <v>2489</v>
      </c>
      <c r="M418" s="13" t="s">
        <v>2490</v>
      </c>
      <c r="N418" s="13" t="s">
        <v>2491</v>
      </c>
      <c r="O418" s="13" t="s">
        <v>2492</v>
      </c>
      <c r="P418" s="13" t="s">
        <v>2493</v>
      </c>
    </row>
    <row r="419">
      <c r="A419" s="24" t="s">
        <v>2494</v>
      </c>
      <c r="B419" s="7" t="s">
        <v>22</v>
      </c>
      <c r="C419" s="7" t="s">
        <v>1888</v>
      </c>
      <c r="D419" s="9">
        <v>1.0</v>
      </c>
      <c r="E419" s="9" t="s">
        <v>2171</v>
      </c>
      <c r="G419" s="10" t="s">
        <v>2495</v>
      </c>
      <c r="H419" s="9">
        <v>5.0</v>
      </c>
      <c r="I419" s="9" t="s">
        <v>1989</v>
      </c>
      <c r="J419" s="21" t="s">
        <v>28</v>
      </c>
      <c r="K419" s="16" t="s">
        <v>2496</v>
      </c>
      <c r="L419" s="13" t="s">
        <v>2497</v>
      </c>
      <c r="M419" s="13" t="s">
        <v>2498</v>
      </c>
      <c r="N419" s="13" t="s">
        <v>2499</v>
      </c>
      <c r="O419" s="13" t="s">
        <v>2500</v>
      </c>
      <c r="P419" s="13" t="s">
        <v>2501</v>
      </c>
      <c r="Q419" s="13" t="s">
        <v>2502</v>
      </c>
      <c r="R419" s="13" t="s">
        <v>2503</v>
      </c>
    </row>
    <row r="420">
      <c r="A420" s="7" t="s">
        <v>2504</v>
      </c>
      <c r="B420" s="7" t="s">
        <v>22</v>
      </c>
      <c r="C420" s="7" t="s">
        <v>1888</v>
      </c>
      <c r="D420" s="9">
        <v>1.0</v>
      </c>
      <c r="E420" s="9" t="s">
        <v>1907</v>
      </c>
      <c r="G420" s="10" t="s">
        <v>2505</v>
      </c>
      <c r="H420" s="9">
        <v>6.0</v>
      </c>
      <c r="I420" s="50" t="s">
        <v>1905</v>
      </c>
      <c r="J420" s="9" t="s">
        <v>28</v>
      </c>
      <c r="K420" s="16" t="s">
        <v>2506</v>
      </c>
      <c r="L420" s="13" t="s">
        <v>2507</v>
      </c>
      <c r="M420" s="13" t="s">
        <v>2508</v>
      </c>
      <c r="N420" s="13" t="s">
        <v>2509</v>
      </c>
      <c r="O420" s="13" t="s">
        <v>2510</v>
      </c>
      <c r="P420" s="13" t="s">
        <v>2511</v>
      </c>
      <c r="Q420" s="13" t="s">
        <v>2512</v>
      </c>
      <c r="R420" s="13" t="s">
        <v>2513</v>
      </c>
      <c r="S420" s="13" t="s">
        <v>2514</v>
      </c>
    </row>
    <row r="421">
      <c r="A421" s="16" t="s">
        <v>2515</v>
      </c>
      <c r="B421" s="7" t="s">
        <v>22</v>
      </c>
      <c r="C421" s="16" t="s">
        <v>1888</v>
      </c>
      <c r="D421" s="15">
        <v>1.0</v>
      </c>
      <c r="E421" s="15" t="s">
        <v>268</v>
      </c>
      <c r="G421" s="17" t="s">
        <v>2516</v>
      </c>
      <c r="H421" s="15">
        <v>4.0</v>
      </c>
      <c r="I421" s="15" t="s">
        <v>2096</v>
      </c>
      <c r="J421" s="15" t="s">
        <v>28</v>
      </c>
      <c r="K421" s="16" t="s">
        <v>2517</v>
      </c>
      <c r="L421" s="13" t="s">
        <v>2518</v>
      </c>
      <c r="N421" s="13" t="s">
        <v>2519</v>
      </c>
      <c r="O421" s="13" t="s">
        <v>2520</v>
      </c>
      <c r="P421" s="13" t="s">
        <v>2521</v>
      </c>
      <c r="Q421" s="13" t="s">
        <v>2522</v>
      </c>
    </row>
    <row r="422">
      <c r="A422" s="16" t="s">
        <v>2523</v>
      </c>
      <c r="B422" s="7" t="s">
        <v>22</v>
      </c>
      <c r="C422" s="16" t="s">
        <v>1888</v>
      </c>
      <c r="D422" s="15">
        <v>1.0</v>
      </c>
      <c r="E422" s="15" t="s">
        <v>304</v>
      </c>
      <c r="G422" s="34"/>
      <c r="H422" s="15">
        <v>3.0</v>
      </c>
      <c r="I422" s="9" t="s">
        <v>1915</v>
      </c>
      <c r="J422" s="15" t="s">
        <v>28</v>
      </c>
      <c r="K422" s="16" t="s">
        <v>2524</v>
      </c>
      <c r="L422" s="13" t="s">
        <v>2525</v>
      </c>
      <c r="M422" s="13" t="s">
        <v>2526</v>
      </c>
      <c r="N422" s="13" t="s">
        <v>2527</v>
      </c>
      <c r="O422" s="13" t="s">
        <v>2528</v>
      </c>
    </row>
    <row r="423">
      <c r="A423" s="16" t="s">
        <v>2529</v>
      </c>
      <c r="B423" s="7" t="s">
        <v>22</v>
      </c>
      <c r="C423" s="16" t="s">
        <v>1888</v>
      </c>
      <c r="D423" s="15">
        <v>1.0</v>
      </c>
      <c r="E423" s="15" t="s">
        <v>2530</v>
      </c>
      <c r="F423" s="16" t="s">
        <v>62</v>
      </c>
      <c r="G423" s="34"/>
      <c r="H423" s="15">
        <v>5.0</v>
      </c>
      <c r="I423" s="9" t="s">
        <v>2531</v>
      </c>
      <c r="J423" s="15" t="s">
        <v>28</v>
      </c>
      <c r="K423" s="16" t="s">
        <v>2532</v>
      </c>
      <c r="L423" s="13" t="s">
        <v>2533</v>
      </c>
      <c r="M423" s="13" t="s">
        <v>2534</v>
      </c>
      <c r="N423" s="13" t="s">
        <v>2535</v>
      </c>
    </row>
    <row r="424">
      <c r="A424" s="31" t="s">
        <v>2536</v>
      </c>
      <c r="B424" s="7" t="s">
        <v>22</v>
      </c>
      <c r="C424" s="16" t="s">
        <v>1888</v>
      </c>
      <c r="D424" s="15">
        <v>1.0</v>
      </c>
      <c r="E424" s="15" t="s">
        <v>815</v>
      </c>
      <c r="F424" s="31" t="s">
        <v>2537</v>
      </c>
      <c r="G424" s="34"/>
      <c r="H424" s="15">
        <v>3.0</v>
      </c>
      <c r="I424" s="16" t="s">
        <v>1905</v>
      </c>
      <c r="J424" s="9" t="s">
        <v>72</v>
      </c>
      <c r="K424" s="16" t="s">
        <v>2538</v>
      </c>
      <c r="L424" s="13" t="s">
        <v>2539</v>
      </c>
      <c r="M424" s="13" t="s">
        <v>2540</v>
      </c>
      <c r="N424" s="13" t="s">
        <v>2541</v>
      </c>
      <c r="O424" s="13" t="s">
        <v>2542</v>
      </c>
    </row>
    <row r="425">
      <c r="A425" s="16" t="s">
        <v>2543</v>
      </c>
      <c r="B425" s="7" t="s">
        <v>22</v>
      </c>
      <c r="C425" s="16" t="s">
        <v>1888</v>
      </c>
      <c r="D425" s="15">
        <v>1.0</v>
      </c>
      <c r="E425" s="15" t="s">
        <v>1843</v>
      </c>
      <c r="F425" s="16" t="s">
        <v>2544</v>
      </c>
      <c r="G425" s="34"/>
      <c r="H425" s="15">
        <v>3.0</v>
      </c>
      <c r="I425" s="15" t="s">
        <v>2280</v>
      </c>
      <c r="J425" s="9" t="s">
        <v>72</v>
      </c>
      <c r="K425" s="16" t="s">
        <v>2545</v>
      </c>
      <c r="L425" s="13" t="s">
        <v>2546</v>
      </c>
      <c r="M425" s="13" t="s">
        <v>2547</v>
      </c>
      <c r="N425" s="13" t="s">
        <v>2548</v>
      </c>
    </row>
    <row r="426">
      <c r="A426" s="79" t="s">
        <v>2549</v>
      </c>
      <c r="B426" s="7" t="s">
        <v>22</v>
      </c>
      <c r="C426" s="7" t="s">
        <v>1888</v>
      </c>
      <c r="D426" s="9">
        <v>1.0</v>
      </c>
      <c r="E426" s="9" t="s">
        <v>2186</v>
      </c>
      <c r="F426" s="16" t="s">
        <v>2550</v>
      </c>
      <c r="G426" s="10" t="s">
        <v>2551</v>
      </c>
      <c r="H426" s="9">
        <v>3.0</v>
      </c>
      <c r="I426" s="9" t="s">
        <v>1931</v>
      </c>
      <c r="J426" s="9" t="s">
        <v>34</v>
      </c>
      <c r="K426" s="16" t="s">
        <v>2552</v>
      </c>
      <c r="L426" s="13" t="s">
        <v>2553</v>
      </c>
      <c r="M426" s="13" t="s">
        <v>2554</v>
      </c>
      <c r="N426" s="13" t="s">
        <v>2555</v>
      </c>
    </row>
    <row r="427">
      <c r="A427" s="31" t="s">
        <v>2556</v>
      </c>
      <c r="B427" s="7" t="s">
        <v>22</v>
      </c>
      <c r="C427" s="16" t="s">
        <v>1888</v>
      </c>
      <c r="D427" s="15">
        <v>1.0</v>
      </c>
      <c r="E427" s="15" t="s">
        <v>1366</v>
      </c>
      <c r="F427" s="16" t="s">
        <v>2557</v>
      </c>
      <c r="G427" s="34"/>
      <c r="H427" s="15">
        <v>4.0</v>
      </c>
      <c r="I427" s="9" t="s">
        <v>2096</v>
      </c>
      <c r="J427" s="9" t="s">
        <v>34</v>
      </c>
      <c r="K427" s="16" t="s">
        <v>2558</v>
      </c>
      <c r="L427" s="13" t="s">
        <v>2559</v>
      </c>
      <c r="M427" s="13" t="s">
        <v>2560</v>
      </c>
      <c r="N427" s="13" t="s">
        <v>2561</v>
      </c>
      <c r="O427" s="13" t="s">
        <v>2562</v>
      </c>
    </row>
    <row r="428">
      <c r="A428" s="31" t="s">
        <v>2563</v>
      </c>
      <c r="B428" s="7" t="s">
        <v>22</v>
      </c>
      <c r="C428" s="16" t="s">
        <v>1888</v>
      </c>
      <c r="D428" s="15">
        <v>1.0</v>
      </c>
      <c r="E428" s="15" t="s">
        <v>362</v>
      </c>
      <c r="F428" s="16" t="s">
        <v>2564</v>
      </c>
      <c r="G428" s="17" t="s">
        <v>2565</v>
      </c>
      <c r="H428" s="15">
        <v>3.0</v>
      </c>
      <c r="I428" s="15" t="s">
        <v>1919</v>
      </c>
      <c r="J428" s="15" t="s">
        <v>34</v>
      </c>
      <c r="K428" s="16" t="s">
        <v>2566</v>
      </c>
      <c r="L428" s="13" t="s">
        <v>2567</v>
      </c>
      <c r="M428" s="13" t="s">
        <v>2568</v>
      </c>
      <c r="N428" s="13" t="s">
        <v>2569</v>
      </c>
    </row>
    <row r="429">
      <c r="A429" s="16" t="s">
        <v>2570</v>
      </c>
      <c r="B429" s="7" t="s">
        <v>22</v>
      </c>
      <c r="C429" s="16" t="s">
        <v>1888</v>
      </c>
      <c r="D429" s="15">
        <v>1.0</v>
      </c>
      <c r="E429" s="15" t="s">
        <v>1838</v>
      </c>
      <c r="F429" s="16" t="s">
        <v>2571</v>
      </c>
      <c r="G429" s="34"/>
      <c r="H429" s="15">
        <v>2.0</v>
      </c>
      <c r="I429" s="15" t="s">
        <v>2280</v>
      </c>
      <c r="J429" s="15" t="s">
        <v>34</v>
      </c>
      <c r="K429" s="16" t="s">
        <v>2572</v>
      </c>
      <c r="L429" s="13" t="s">
        <v>2573</v>
      </c>
      <c r="M429" s="13" t="s">
        <v>2574</v>
      </c>
      <c r="N429" s="13" t="s">
        <v>2575</v>
      </c>
      <c r="O429" s="13" t="s">
        <v>2576</v>
      </c>
    </row>
    <row r="430">
      <c r="A430" s="16" t="s">
        <v>2577</v>
      </c>
      <c r="B430" s="7" t="s">
        <v>22</v>
      </c>
      <c r="C430" s="91" t="s">
        <v>1888</v>
      </c>
      <c r="D430" s="15">
        <v>1.0</v>
      </c>
      <c r="E430" s="15" t="s">
        <v>653</v>
      </c>
      <c r="F430" s="16" t="s">
        <v>2578</v>
      </c>
      <c r="G430" s="17" t="s">
        <v>2579</v>
      </c>
      <c r="H430" s="15">
        <v>3.0</v>
      </c>
      <c r="I430" s="9" t="s">
        <v>1915</v>
      </c>
      <c r="J430" s="15" t="s">
        <v>34</v>
      </c>
      <c r="K430" s="16" t="s">
        <v>2580</v>
      </c>
      <c r="L430" s="13" t="s">
        <v>2581</v>
      </c>
      <c r="M430" s="13" t="s">
        <v>2582</v>
      </c>
      <c r="N430" s="13" t="s">
        <v>2583</v>
      </c>
      <c r="O430" s="13" t="s">
        <v>2584</v>
      </c>
      <c r="P430" s="13" t="s">
        <v>2585</v>
      </c>
      <c r="Q430" s="13" t="s">
        <v>2586</v>
      </c>
      <c r="R430" s="13" t="s">
        <v>2587</v>
      </c>
      <c r="S430" s="13" t="s">
        <v>2588</v>
      </c>
    </row>
    <row r="431">
      <c r="A431" s="108" t="s">
        <v>2589</v>
      </c>
      <c r="B431" s="7" t="s">
        <v>22</v>
      </c>
      <c r="C431" s="7"/>
      <c r="D431" s="9">
        <v>1.0</v>
      </c>
      <c r="E431" s="21" t="s">
        <v>82</v>
      </c>
      <c r="G431" s="10" t="s">
        <v>2590</v>
      </c>
      <c r="H431" s="9">
        <v>3.0</v>
      </c>
      <c r="I431" s="9" t="s">
        <v>2219</v>
      </c>
      <c r="J431" s="21" t="s">
        <v>28</v>
      </c>
      <c r="K431" s="16" t="s">
        <v>2591</v>
      </c>
      <c r="L431" s="13" t="s">
        <v>2592</v>
      </c>
      <c r="M431" s="13" t="s">
        <v>2593</v>
      </c>
      <c r="N431" s="13" t="s">
        <v>2594</v>
      </c>
    </row>
    <row r="432">
      <c r="A432" s="7" t="s">
        <v>2595</v>
      </c>
      <c r="B432" s="7" t="s">
        <v>22</v>
      </c>
      <c r="C432" s="7"/>
      <c r="D432" s="9">
        <v>1.0</v>
      </c>
      <c r="E432" s="9" t="s">
        <v>61</v>
      </c>
      <c r="G432" s="10" t="s">
        <v>2596</v>
      </c>
      <c r="H432" s="9">
        <v>6.0</v>
      </c>
      <c r="I432" s="9" t="s">
        <v>2597</v>
      </c>
      <c r="J432" s="9" t="s">
        <v>28</v>
      </c>
      <c r="K432" s="16" t="s">
        <v>2598</v>
      </c>
      <c r="L432" s="13" t="s">
        <v>2599</v>
      </c>
      <c r="M432" s="13" t="s">
        <v>2600</v>
      </c>
    </row>
    <row r="433">
      <c r="A433" s="54" t="s">
        <v>2601</v>
      </c>
      <c r="B433" s="7" t="s">
        <v>22</v>
      </c>
      <c r="C433" s="7" t="s">
        <v>23</v>
      </c>
      <c r="D433" s="9">
        <v>1.0</v>
      </c>
      <c r="E433" s="9" t="s">
        <v>244</v>
      </c>
      <c r="F433" s="16" t="s">
        <v>2602</v>
      </c>
      <c r="G433" s="10"/>
      <c r="H433" s="9">
        <v>4.0</v>
      </c>
      <c r="I433" s="9" t="s">
        <v>270</v>
      </c>
      <c r="J433" s="9" t="s">
        <v>28</v>
      </c>
      <c r="K433" s="16" t="s">
        <v>2603</v>
      </c>
      <c r="L433" s="13" t="s">
        <v>2604</v>
      </c>
      <c r="M433" s="13" t="s">
        <v>2605</v>
      </c>
      <c r="N433" s="13" t="s">
        <v>2606</v>
      </c>
      <c r="O433" s="13" t="s">
        <v>2607</v>
      </c>
      <c r="P433" s="13" t="s">
        <v>2608</v>
      </c>
      <c r="Q433" s="13" t="s">
        <v>2609</v>
      </c>
      <c r="R433" s="13" t="s">
        <v>2610</v>
      </c>
      <c r="S433" s="13" t="s">
        <v>2611</v>
      </c>
    </row>
    <row r="434">
      <c r="A434" s="16" t="s">
        <v>2612</v>
      </c>
      <c r="B434" s="7" t="s">
        <v>22</v>
      </c>
      <c r="C434" s="7"/>
      <c r="D434" s="9">
        <v>1.0</v>
      </c>
      <c r="E434" s="15" t="s">
        <v>113</v>
      </c>
      <c r="F434" s="7" t="s">
        <v>2613</v>
      </c>
      <c r="G434" s="10" t="s">
        <v>2614</v>
      </c>
      <c r="H434" s="9">
        <v>3.0</v>
      </c>
      <c r="I434" s="9" t="s">
        <v>2219</v>
      </c>
      <c r="J434" s="9" t="s">
        <v>34</v>
      </c>
      <c r="K434" s="16" t="s">
        <v>2615</v>
      </c>
      <c r="L434" s="13" t="s">
        <v>2616</v>
      </c>
      <c r="M434" s="13" t="s">
        <v>2617</v>
      </c>
    </row>
    <row r="435">
      <c r="A435" s="7" t="s">
        <v>2618</v>
      </c>
      <c r="B435" s="7" t="s">
        <v>22</v>
      </c>
      <c r="C435" s="7"/>
      <c r="D435" s="15">
        <v>1.0</v>
      </c>
      <c r="E435" s="9"/>
      <c r="F435" s="7" t="s">
        <v>2619</v>
      </c>
      <c r="G435" s="10" t="s">
        <v>2620</v>
      </c>
      <c r="H435" s="9">
        <v>2.0</v>
      </c>
      <c r="I435" s="9" t="s">
        <v>2621</v>
      </c>
      <c r="J435" s="9" t="s">
        <v>34</v>
      </c>
      <c r="K435" s="16" t="s">
        <v>2622</v>
      </c>
      <c r="L435" s="13" t="s">
        <v>2623</v>
      </c>
      <c r="M435" s="13" t="s">
        <v>2624</v>
      </c>
    </row>
    <row r="436">
      <c r="A436" s="7" t="s">
        <v>2625</v>
      </c>
      <c r="B436" s="7" t="s">
        <v>22</v>
      </c>
      <c r="C436" s="16"/>
      <c r="D436" s="15">
        <v>1.0</v>
      </c>
      <c r="E436" s="9"/>
      <c r="F436" s="7" t="s">
        <v>2626</v>
      </c>
      <c r="G436" s="10" t="s">
        <v>2627</v>
      </c>
      <c r="H436" s="9">
        <v>2.0</v>
      </c>
      <c r="I436" s="9" t="s">
        <v>2621</v>
      </c>
      <c r="J436" s="9" t="s">
        <v>34</v>
      </c>
      <c r="K436" s="16" t="s">
        <v>2628</v>
      </c>
      <c r="L436" s="13" t="s">
        <v>2629</v>
      </c>
      <c r="M436" s="13" t="s">
        <v>2630</v>
      </c>
      <c r="N436" s="13" t="s">
        <v>2631</v>
      </c>
      <c r="O436" s="13" t="s">
        <v>2632</v>
      </c>
    </row>
    <row r="437" hidden="1">
      <c r="A437" s="16" t="s">
        <v>2633</v>
      </c>
      <c r="B437" s="7" t="s">
        <v>22</v>
      </c>
      <c r="C437" s="16" t="s">
        <v>1502</v>
      </c>
      <c r="D437" s="15">
        <v>0.0</v>
      </c>
      <c r="E437" s="15" t="s">
        <v>389</v>
      </c>
      <c r="F437" s="16" t="s">
        <v>2634</v>
      </c>
      <c r="G437" s="34"/>
      <c r="H437" s="15">
        <v>6.0</v>
      </c>
      <c r="I437" s="15" t="s">
        <v>1536</v>
      </c>
      <c r="J437" s="15" t="s">
        <v>34</v>
      </c>
    </row>
    <row r="438" hidden="1">
      <c r="A438" s="16" t="s">
        <v>2635</v>
      </c>
      <c r="B438" s="7" t="s">
        <v>22</v>
      </c>
      <c r="C438" s="16" t="s">
        <v>1502</v>
      </c>
      <c r="D438" s="15">
        <v>0.0</v>
      </c>
      <c r="E438" s="15" t="s">
        <v>389</v>
      </c>
      <c r="F438" s="16" t="s">
        <v>2636</v>
      </c>
      <c r="G438" s="34"/>
      <c r="H438" s="15">
        <v>4.0</v>
      </c>
      <c r="I438" s="15" t="s">
        <v>1705</v>
      </c>
      <c r="J438" s="15" t="s">
        <v>72</v>
      </c>
    </row>
    <row r="439">
      <c r="A439" s="16" t="s">
        <v>2637</v>
      </c>
      <c r="B439" s="16" t="s">
        <v>2638</v>
      </c>
      <c r="D439" s="15">
        <v>1.0</v>
      </c>
      <c r="E439" s="104"/>
      <c r="G439" s="34"/>
      <c r="H439" s="104"/>
      <c r="I439" s="104"/>
      <c r="J439" s="15" t="s">
        <v>2638</v>
      </c>
    </row>
    <row r="440">
      <c r="A440" s="16" t="s">
        <v>2639</v>
      </c>
      <c r="B440" s="16" t="s">
        <v>2638</v>
      </c>
      <c r="D440" s="15">
        <v>1.0</v>
      </c>
      <c r="E440" s="104"/>
      <c r="G440" s="34"/>
      <c r="H440" s="104"/>
      <c r="I440" s="104"/>
      <c r="J440" s="15" t="s">
        <v>2638</v>
      </c>
    </row>
    <row r="441">
      <c r="A441" s="16" t="s">
        <v>2640</v>
      </c>
      <c r="B441" s="16" t="s">
        <v>2638</v>
      </c>
      <c r="D441" s="15">
        <v>1.0</v>
      </c>
      <c r="E441" s="104"/>
      <c r="F441" s="16" t="s">
        <v>2641</v>
      </c>
      <c r="G441" s="34"/>
      <c r="H441" s="104"/>
      <c r="I441" s="104"/>
      <c r="J441" s="15" t="s">
        <v>2638</v>
      </c>
    </row>
    <row r="442">
      <c r="A442" s="16" t="s">
        <v>2642</v>
      </c>
      <c r="B442" s="16" t="s">
        <v>2638</v>
      </c>
      <c r="D442" s="15">
        <v>1.0</v>
      </c>
      <c r="E442" s="104"/>
      <c r="F442" s="16" t="s">
        <v>2643</v>
      </c>
      <c r="G442" s="34"/>
      <c r="H442" s="104"/>
      <c r="I442" s="104"/>
      <c r="J442" s="15" t="s">
        <v>2638</v>
      </c>
    </row>
    <row r="443">
      <c r="A443" s="16" t="s">
        <v>2644</v>
      </c>
      <c r="B443" s="16" t="s">
        <v>2638</v>
      </c>
      <c r="D443" s="15">
        <v>1.0</v>
      </c>
      <c r="E443" s="104"/>
      <c r="F443" s="16" t="s">
        <v>2645</v>
      </c>
      <c r="G443" s="34"/>
      <c r="H443" s="104"/>
      <c r="I443" s="104"/>
      <c r="J443" s="15" t="s">
        <v>2638</v>
      </c>
    </row>
    <row r="444">
      <c r="A444" s="16" t="s">
        <v>2646</v>
      </c>
      <c r="B444" s="16" t="s">
        <v>2638</v>
      </c>
      <c r="D444" s="15">
        <v>1.0</v>
      </c>
      <c r="E444" s="104"/>
      <c r="F444" s="16" t="s">
        <v>2647</v>
      </c>
      <c r="G444" s="34"/>
      <c r="H444" s="104"/>
      <c r="I444" s="104"/>
      <c r="J444" s="15" t="s">
        <v>2638</v>
      </c>
    </row>
    <row r="445">
      <c r="A445" s="16" t="s">
        <v>2648</v>
      </c>
      <c r="B445" s="16" t="s">
        <v>2638</v>
      </c>
      <c r="D445" s="15">
        <v>1.0</v>
      </c>
      <c r="E445" s="104"/>
      <c r="F445" s="16" t="s">
        <v>2643</v>
      </c>
      <c r="G445" s="34"/>
      <c r="H445" s="104"/>
      <c r="I445" s="104"/>
      <c r="J445" s="15" t="s">
        <v>2638</v>
      </c>
    </row>
    <row r="446">
      <c r="A446" s="16" t="s">
        <v>2649</v>
      </c>
      <c r="B446" s="16" t="s">
        <v>2638</v>
      </c>
      <c r="D446" s="15">
        <v>1.0</v>
      </c>
      <c r="E446" s="104"/>
      <c r="F446" s="16" t="s">
        <v>2650</v>
      </c>
      <c r="G446" s="34"/>
      <c r="H446" s="104"/>
      <c r="I446" s="104"/>
      <c r="J446" s="15" t="s">
        <v>2638</v>
      </c>
    </row>
    <row r="447">
      <c r="A447" s="16" t="s">
        <v>2651</v>
      </c>
      <c r="B447" s="16" t="s">
        <v>2638</v>
      </c>
      <c r="D447" s="15">
        <v>1.0</v>
      </c>
      <c r="E447" s="104"/>
      <c r="F447" s="16" t="s">
        <v>2652</v>
      </c>
      <c r="G447" s="34"/>
      <c r="H447" s="104"/>
      <c r="I447" s="104"/>
      <c r="J447" s="15" t="s">
        <v>2638</v>
      </c>
    </row>
    <row r="448">
      <c r="A448" s="16" t="s">
        <v>2653</v>
      </c>
      <c r="B448" s="16" t="s">
        <v>2638</v>
      </c>
      <c r="D448" s="15">
        <v>1.0</v>
      </c>
      <c r="E448" s="104"/>
      <c r="F448" s="16" t="s">
        <v>2654</v>
      </c>
      <c r="G448" s="34"/>
      <c r="H448" s="104"/>
      <c r="I448" s="104"/>
      <c r="J448" s="15" t="s">
        <v>2638</v>
      </c>
    </row>
    <row r="449">
      <c r="A449" s="16" t="s">
        <v>2655</v>
      </c>
      <c r="B449" s="16" t="s">
        <v>2638</v>
      </c>
      <c r="D449" s="15">
        <v>1.0</v>
      </c>
      <c r="E449" s="104"/>
      <c r="G449" s="34"/>
      <c r="H449" s="104"/>
      <c r="I449" s="104"/>
      <c r="J449" s="15" t="s">
        <v>2638</v>
      </c>
    </row>
    <row r="450">
      <c r="A450" s="16" t="s">
        <v>2656</v>
      </c>
      <c r="B450" s="16" t="s">
        <v>2638</v>
      </c>
      <c r="D450" s="15">
        <v>1.0</v>
      </c>
      <c r="E450" s="104"/>
      <c r="F450" s="16" t="s">
        <v>2657</v>
      </c>
      <c r="G450" s="34"/>
      <c r="H450" s="104"/>
      <c r="I450" s="104"/>
      <c r="J450" s="15" t="s">
        <v>2638</v>
      </c>
    </row>
    <row r="451">
      <c r="A451" s="16" t="s">
        <v>2658</v>
      </c>
      <c r="B451" s="16" t="s">
        <v>2638</v>
      </c>
      <c r="D451" s="15">
        <v>1.0</v>
      </c>
      <c r="E451" s="104"/>
      <c r="F451" s="16" t="s">
        <v>2659</v>
      </c>
      <c r="G451" s="34"/>
      <c r="H451" s="104"/>
      <c r="I451" s="104"/>
      <c r="J451" s="15" t="s">
        <v>2638</v>
      </c>
    </row>
    <row r="452">
      <c r="A452" s="16" t="s">
        <v>2660</v>
      </c>
      <c r="B452" s="16" t="s">
        <v>2638</v>
      </c>
      <c r="D452" s="15">
        <v>1.0</v>
      </c>
      <c r="E452" s="104"/>
      <c r="F452" s="16" t="s">
        <v>2661</v>
      </c>
      <c r="G452" s="34"/>
      <c r="H452" s="104"/>
      <c r="I452" s="104"/>
      <c r="J452" s="15" t="s">
        <v>2638</v>
      </c>
    </row>
    <row r="453">
      <c r="A453" s="16" t="s">
        <v>2662</v>
      </c>
      <c r="B453" s="16" t="s">
        <v>2638</v>
      </c>
      <c r="D453" s="15">
        <v>1.0</v>
      </c>
      <c r="E453" s="104"/>
      <c r="G453" s="34"/>
      <c r="H453" s="104"/>
      <c r="I453" s="104"/>
      <c r="J453" s="15" t="s">
        <v>2638</v>
      </c>
    </row>
    <row r="454">
      <c r="A454" s="16" t="s">
        <v>2663</v>
      </c>
      <c r="B454" s="16" t="s">
        <v>2638</v>
      </c>
      <c r="D454" s="15">
        <v>1.0</v>
      </c>
      <c r="E454" s="104"/>
      <c r="G454" s="34"/>
      <c r="H454" s="104"/>
      <c r="I454" s="104"/>
      <c r="J454" s="15" t="s">
        <v>2638</v>
      </c>
    </row>
    <row r="455">
      <c r="A455" s="16" t="s">
        <v>2664</v>
      </c>
      <c r="B455" s="16" t="s">
        <v>2638</v>
      </c>
      <c r="D455" s="15">
        <v>1.0</v>
      </c>
      <c r="E455" s="104"/>
      <c r="G455" s="34"/>
      <c r="H455" s="104"/>
      <c r="I455" s="104"/>
      <c r="J455" s="15" t="s">
        <v>2638</v>
      </c>
    </row>
    <row r="456">
      <c r="A456" s="16" t="s">
        <v>2665</v>
      </c>
      <c r="B456" s="16" t="s">
        <v>2638</v>
      </c>
      <c r="D456" s="15">
        <v>1.0</v>
      </c>
      <c r="E456" s="104"/>
      <c r="G456" s="34"/>
      <c r="H456" s="104"/>
      <c r="I456" s="104"/>
      <c r="J456" s="15" t="s">
        <v>2638</v>
      </c>
    </row>
    <row r="457">
      <c r="A457" s="16" t="s">
        <v>2666</v>
      </c>
      <c r="B457" s="16" t="s">
        <v>2638</v>
      </c>
      <c r="D457" s="15">
        <v>1.0</v>
      </c>
      <c r="E457" s="104"/>
      <c r="G457" s="34"/>
      <c r="H457" s="104"/>
      <c r="I457" s="104"/>
      <c r="J457" s="15" t="s">
        <v>2638</v>
      </c>
    </row>
    <row r="458">
      <c r="A458" s="16" t="s">
        <v>2667</v>
      </c>
      <c r="B458" s="16" t="s">
        <v>2638</v>
      </c>
      <c r="D458" s="15">
        <v>1.0</v>
      </c>
      <c r="E458" s="104"/>
      <c r="G458" s="34"/>
      <c r="H458" s="104"/>
      <c r="I458" s="104"/>
      <c r="J458" s="15" t="s">
        <v>2638</v>
      </c>
    </row>
    <row r="459">
      <c r="A459" s="16" t="s">
        <v>2668</v>
      </c>
      <c r="B459" s="16" t="s">
        <v>2638</v>
      </c>
      <c r="D459" s="15">
        <v>1.0</v>
      </c>
      <c r="E459" s="104"/>
      <c r="G459" s="34"/>
      <c r="H459" s="104"/>
      <c r="I459" s="104"/>
      <c r="J459" s="15" t="s">
        <v>2638</v>
      </c>
    </row>
    <row r="460">
      <c r="A460" s="16" t="s">
        <v>2669</v>
      </c>
      <c r="B460" s="16" t="s">
        <v>2638</v>
      </c>
      <c r="D460" s="15">
        <v>1.0</v>
      </c>
      <c r="E460" s="104"/>
      <c r="G460" s="34"/>
      <c r="H460" s="104"/>
      <c r="I460" s="104"/>
      <c r="J460" s="15" t="s">
        <v>2638</v>
      </c>
    </row>
    <row r="461">
      <c r="A461" s="16" t="s">
        <v>2670</v>
      </c>
      <c r="B461" s="16" t="s">
        <v>2638</v>
      </c>
      <c r="D461" s="15">
        <v>1.0</v>
      </c>
      <c r="E461" s="104"/>
      <c r="G461" s="34"/>
      <c r="H461" s="104"/>
      <c r="I461" s="104"/>
      <c r="J461" s="15" t="s">
        <v>2638</v>
      </c>
    </row>
    <row r="462">
      <c r="A462" s="16" t="s">
        <v>2671</v>
      </c>
      <c r="B462" s="16" t="s">
        <v>2638</v>
      </c>
      <c r="D462" s="15">
        <v>1.0</v>
      </c>
      <c r="E462" s="104"/>
      <c r="F462" s="16" t="s">
        <v>2672</v>
      </c>
      <c r="G462" s="34"/>
      <c r="H462" s="104"/>
      <c r="I462" s="104"/>
      <c r="J462" s="15" t="s">
        <v>2638</v>
      </c>
    </row>
    <row r="463">
      <c r="A463" s="16" t="s">
        <v>2673</v>
      </c>
      <c r="B463" s="16" t="s">
        <v>2638</v>
      </c>
      <c r="D463" s="15">
        <v>1.0</v>
      </c>
      <c r="E463" s="104"/>
      <c r="F463" s="16" t="s">
        <v>2674</v>
      </c>
      <c r="G463" s="34"/>
      <c r="H463" s="104"/>
      <c r="I463" s="104"/>
      <c r="J463" s="15" t="s">
        <v>2638</v>
      </c>
    </row>
    <row r="464">
      <c r="A464" s="16" t="s">
        <v>2675</v>
      </c>
      <c r="B464" s="16" t="s">
        <v>22</v>
      </c>
      <c r="C464" s="91" t="s">
        <v>1040</v>
      </c>
      <c r="D464" s="15">
        <v>1.0</v>
      </c>
      <c r="E464" s="104"/>
      <c r="F464" s="16" t="s">
        <v>2676</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2"/>
    <hyperlink r:id="rId918" ref="M412"/>
    <hyperlink r:id="rId919" ref="N412"/>
    <hyperlink r:id="rId920" ref="O412"/>
    <hyperlink r:id="rId921" ref="L413"/>
    <hyperlink r:id="rId922" ref="M413"/>
    <hyperlink r:id="rId923" ref="N413"/>
    <hyperlink r:id="rId924" ref="O413"/>
    <hyperlink r:id="rId925" ref="P413"/>
    <hyperlink r:id="rId926" ref="Q413"/>
    <hyperlink r:id="rId927" ref="L414"/>
    <hyperlink r:id="rId928" ref="M414"/>
    <hyperlink r:id="rId929" ref="N414"/>
    <hyperlink r:id="rId930" ref="O414"/>
    <hyperlink r:id="rId931" ref="P414"/>
    <hyperlink r:id="rId932" ref="Q414"/>
    <hyperlink r:id="rId933" ref="L415"/>
    <hyperlink r:id="rId934" ref="M415"/>
    <hyperlink r:id="rId935" ref="N415"/>
    <hyperlink r:id="rId936" ref="L416"/>
    <hyperlink r:id="rId937" ref="M416"/>
    <hyperlink r:id="rId938" ref="N416"/>
    <hyperlink r:id="rId939" ref="O416"/>
    <hyperlink r:id="rId940" ref="P416"/>
    <hyperlink r:id="rId941" ref="Q416"/>
    <hyperlink r:id="rId942" ref="R416"/>
    <hyperlink r:id="rId943" ref="S416"/>
    <hyperlink r:id="rId944" ref="L417"/>
    <hyperlink r:id="rId945" ref="M417"/>
    <hyperlink r:id="rId946" ref="L418"/>
    <hyperlink r:id="rId947" ref="M418"/>
    <hyperlink r:id="rId948" ref="N418"/>
    <hyperlink r:id="rId949" ref="O418"/>
    <hyperlink r:id="rId950" ref="P418"/>
    <hyperlink r:id="rId951" ref="L419"/>
    <hyperlink r:id="rId952" ref="M419"/>
    <hyperlink r:id="rId953" ref="N419"/>
    <hyperlink r:id="rId954" ref="O419"/>
    <hyperlink r:id="rId955" ref="P419"/>
    <hyperlink r:id="rId956" ref="Q419"/>
    <hyperlink r:id="rId957" ref="R419"/>
    <hyperlink r:id="rId958" ref="L420"/>
    <hyperlink r:id="rId959" ref="M420"/>
    <hyperlink r:id="rId960" ref="N420"/>
    <hyperlink r:id="rId961" ref="O420"/>
    <hyperlink r:id="rId962" ref="P420"/>
    <hyperlink r:id="rId963" ref="Q420"/>
    <hyperlink r:id="rId964" ref="R420"/>
    <hyperlink r:id="rId965" ref="S420"/>
    <hyperlink r:id="rId966" ref="L421"/>
    <hyperlink r:id="rId967" ref="N421"/>
    <hyperlink r:id="rId968" ref="O421"/>
    <hyperlink r:id="rId969" ref="P421"/>
    <hyperlink r:id="rId970" ref="Q421"/>
    <hyperlink r:id="rId971" ref="L422"/>
    <hyperlink r:id="rId972" ref="M422"/>
    <hyperlink r:id="rId973" ref="N422"/>
    <hyperlink r:id="rId974" ref="O422"/>
    <hyperlink r:id="rId975" ref="L423"/>
    <hyperlink r:id="rId976" ref="M423"/>
    <hyperlink r:id="rId977" ref="N423"/>
    <hyperlink r:id="rId978" ref="L424"/>
    <hyperlink r:id="rId979" ref="M424"/>
    <hyperlink r:id="rId980" ref="N424"/>
    <hyperlink r:id="rId981" ref="O424"/>
    <hyperlink r:id="rId982" ref="L425"/>
    <hyperlink r:id="rId983" ref="M425"/>
    <hyperlink r:id="rId984" ref="N425"/>
    <hyperlink r:id="rId985" ref="L426"/>
    <hyperlink r:id="rId986" ref="M426"/>
    <hyperlink r:id="rId987" ref="N426"/>
    <hyperlink r:id="rId988" ref="L427"/>
    <hyperlink r:id="rId989" ref="M427"/>
    <hyperlink r:id="rId990" ref="N427"/>
    <hyperlink r:id="rId991" ref="O427"/>
    <hyperlink r:id="rId992" ref="L428"/>
    <hyperlink r:id="rId993" ref="M428"/>
    <hyperlink r:id="rId994" ref="N428"/>
    <hyperlink r:id="rId995" ref="L429"/>
    <hyperlink r:id="rId996" ref="M429"/>
    <hyperlink r:id="rId997" ref="N429"/>
    <hyperlink r:id="rId998" ref="O429"/>
    <hyperlink r:id="rId999" ref="L430"/>
    <hyperlink r:id="rId1000" ref="M430"/>
    <hyperlink r:id="rId1001" ref="N430"/>
    <hyperlink r:id="rId1002" ref="O430"/>
    <hyperlink r:id="rId1003" ref="P430"/>
    <hyperlink r:id="rId1004" ref="Q430"/>
    <hyperlink r:id="rId1005" ref="R430"/>
    <hyperlink r:id="rId1006" ref="S430"/>
    <hyperlink r:id="rId1007" ref="L431"/>
    <hyperlink r:id="rId1008" ref="M431"/>
    <hyperlink r:id="rId1009" ref="N431"/>
    <hyperlink r:id="rId1010" ref="L432"/>
    <hyperlink r:id="rId1011" ref="M432"/>
    <hyperlink r:id="rId1012" ref="L433"/>
    <hyperlink r:id="rId1013" ref="M433"/>
    <hyperlink r:id="rId1014" ref="N433"/>
    <hyperlink r:id="rId1015" ref="O433"/>
    <hyperlink r:id="rId1016" ref="P433"/>
    <hyperlink r:id="rId1017" ref="Q433"/>
    <hyperlink r:id="rId1018" ref="R433"/>
    <hyperlink r:id="rId1019" ref="S433"/>
    <hyperlink r:id="rId1020" ref="L434"/>
    <hyperlink r:id="rId1021" ref="M434"/>
    <hyperlink r:id="rId1022" ref="L435"/>
    <hyperlink r:id="rId1023" ref="M435"/>
    <hyperlink r:id="rId1024" ref="L436"/>
    <hyperlink r:id="rId1025" ref="M436"/>
    <hyperlink r:id="rId1026" ref="N436"/>
    <hyperlink r:id="rId1027" ref="O436"/>
  </hyperlinks>
  <drawing r:id="rId10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2677</v>
      </c>
    </row>
    <row r="2">
      <c r="A2" s="16" t="s">
        <v>2678</v>
      </c>
      <c r="B2" s="16" t="s">
        <v>2679</v>
      </c>
    </row>
    <row r="3">
      <c r="A3" s="16" t="s">
        <v>2680</v>
      </c>
      <c r="B3" s="16" t="s">
        <v>2681</v>
      </c>
    </row>
    <row r="4">
      <c r="A4" s="16" t="s">
        <v>2682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2683</v>
      </c>
      <c r="B1" s="112"/>
      <c r="C1" s="113" t="s">
        <v>2684</v>
      </c>
      <c r="D1" s="114" t="s">
        <v>2685</v>
      </c>
      <c r="E1" s="114" t="s">
        <v>28</v>
      </c>
      <c r="F1" s="114" t="s">
        <v>72</v>
      </c>
      <c r="G1" s="115" t="s">
        <v>34</v>
      </c>
      <c r="H1" s="28"/>
      <c r="I1" s="116" t="s">
        <v>2686</v>
      </c>
      <c r="J1" s="116" t="s">
        <v>2687</v>
      </c>
      <c r="K1" s="116" t="s">
        <v>2688</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2689</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2690</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2691</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2692</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2693</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2694</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2695</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2696</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2697</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2698</v>
      </c>
      <c r="J13" s="137">
        <f>ROUND(AVERAGE('Extended Card Stats'!H:H),2)</f>
        <v>3.23</v>
      </c>
      <c r="K13" s="137">
        <f>ROUND(AVERAGE('Extended Card Stats'!K:K),2)</f>
        <v>2.84</v>
      </c>
    </row>
    <row r="14">
      <c r="B14" s="132" t="s">
        <v>2699</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2700</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2701</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2702</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2703</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2704</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2705</v>
      </c>
      <c r="K20" s="146" t="s">
        <v>2706</v>
      </c>
      <c r="L20" s="147" t="s">
        <v>2707</v>
      </c>
      <c r="M20" s="148" t="s">
        <v>2708</v>
      </c>
      <c r="N20" s="149" t="s">
        <v>2709</v>
      </c>
      <c r="O20" s="150" t="s">
        <v>2710</v>
      </c>
      <c r="Q20" s="142" t="s">
        <v>2711</v>
      </c>
      <c r="R20" s="151" t="s">
        <v>28</v>
      </c>
      <c r="S20" s="151" t="s">
        <v>72</v>
      </c>
      <c r="T20" s="151" t="s">
        <v>34</v>
      </c>
      <c r="U20" s="152" t="s">
        <v>2712</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2713</v>
      </c>
      <c r="C24" s="151" t="s">
        <v>28</v>
      </c>
      <c r="D24" s="151" t="s">
        <v>72</v>
      </c>
      <c r="E24" s="151" t="s">
        <v>34</v>
      </c>
      <c r="F24" s="152" t="s">
        <v>2712</v>
      </c>
      <c r="G24" s="166" t="s">
        <v>2714</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2715</v>
      </c>
      <c r="B45" s="142" t="s">
        <v>2716</v>
      </c>
      <c r="C45" s="181" t="s">
        <v>2717</v>
      </c>
      <c r="D45" s="151" t="s">
        <v>28</v>
      </c>
      <c r="E45" s="151" t="s">
        <v>72</v>
      </c>
      <c r="F45" s="151" t="s">
        <v>34</v>
      </c>
      <c r="G45" s="151" t="s">
        <v>2712</v>
      </c>
      <c r="H45" s="166" t="s">
        <v>2714</v>
      </c>
    </row>
    <row r="46">
      <c r="A46" s="16" t="s">
        <v>2718</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2719</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2720</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2721</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2722</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2723</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2724</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2725</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2726</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2727</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2728</v>
      </c>
      <c r="B1" s="185" t="s">
        <v>2729</v>
      </c>
      <c r="C1" s="185" t="s">
        <v>2730</v>
      </c>
      <c r="D1" s="186" t="s">
        <v>2731</v>
      </c>
      <c r="E1" s="186" t="s">
        <v>2730</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2732</v>
      </c>
      <c r="E3" s="20">
        <v>30.0</v>
      </c>
    </row>
    <row r="4">
      <c r="A4" s="182"/>
      <c r="B4" s="187" t="str">
        <f>IFERROR(__xludf.DUMMYFUNCTION("""COMPUTED_VALUE"""),"Alabaster")</f>
        <v>Alabaster</v>
      </c>
      <c r="C4" s="187">
        <f t="shared" si="1"/>
        <v>1</v>
      </c>
      <c r="D4" s="20" t="s">
        <v>2733</v>
      </c>
      <c r="E4" s="20">
        <v>30.0</v>
      </c>
    </row>
    <row r="5">
      <c r="A5" s="182"/>
      <c r="B5" s="187" t="str">
        <f>IFERROR(__xludf.DUMMYFUNCTION("""COMPUTED_VALUE"""),"Exarch")</f>
        <v>Exarch</v>
      </c>
      <c r="C5" s="187">
        <f t="shared" si="1"/>
        <v>1</v>
      </c>
      <c r="D5" s="20" t="s">
        <v>2638</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2695</v>
      </c>
      <c r="E8" s="20">
        <v>5.0</v>
      </c>
    </row>
    <row r="9">
      <c r="A9" s="182"/>
      <c r="B9" s="187" t="str">
        <f>IFERROR(__xludf.DUMMYFUNCTION("""COMPUTED_VALUE"""),"Force")</f>
        <v>Force</v>
      </c>
      <c r="C9" s="187">
        <f t="shared" si="1"/>
        <v>1</v>
      </c>
      <c r="D9" s="20" t="s">
        <v>2703</v>
      </c>
      <c r="E9" s="20">
        <v>5.0</v>
      </c>
    </row>
    <row r="10">
      <c r="A10" s="182"/>
      <c r="B10" s="187" t="str">
        <f>IFERROR(__xludf.DUMMYFUNCTION("""COMPUTED_VALUE"""),"Baby")</f>
        <v>Baby</v>
      </c>
      <c r="C10" s="187">
        <f t="shared" si="1"/>
        <v>1</v>
      </c>
      <c r="D10" s="20" t="s">
        <v>2734</v>
      </c>
      <c r="E10" s="20">
        <v>5.0</v>
      </c>
    </row>
    <row r="11">
      <c r="A11" s="182"/>
      <c r="B11" s="187" t="str">
        <f>IFERROR(__xludf.DUMMYFUNCTION("""COMPUTED_VALUE"""),"Lamassu")</f>
        <v>Lamassu</v>
      </c>
      <c r="C11" s="187">
        <f t="shared" si="1"/>
        <v>1</v>
      </c>
      <c r="D11" s="20" t="s">
        <v>2735</v>
      </c>
      <c r="E11" s="20">
        <v>4.0</v>
      </c>
    </row>
    <row r="12">
      <c r="A12" s="182" t="str">
        <f>IFERROR(__xludf.DUMMYFUNCTION("""COMPUTED_VALUE"""),"Ascendant")</f>
        <v>Ascendant</v>
      </c>
      <c r="B12" s="187" t="str">
        <f>IFERROR(__xludf.DUMMYFUNCTION("""COMPUTED_VALUE"""),"Blackmarble")</f>
        <v>Blackmarble</v>
      </c>
      <c r="C12" s="187">
        <f t="shared" si="1"/>
        <v>1</v>
      </c>
      <c r="D12" s="20" t="s">
        <v>2736</v>
      </c>
      <c r="E12" s="20">
        <v>4.0</v>
      </c>
    </row>
    <row r="13">
      <c r="A13" s="182" t="str">
        <f>IFERROR(__xludf.DUMMYFUNCTION("""COMPUTED_VALUE"""),"Faithweaver")</f>
        <v>Faithweaver</v>
      </c>
      <c r="B13" s="187" t="str">
        <f>IFERROR(__xludf.DUMMYFUNCTION("""COMPUTED_VALUE"""),"Gargoyle")</f>
        <v>Gargoyle</v>
      </c>
      <c r="C13" s="187">
        <f t="shared" si="1"/>
        <v>1</v>
      </c>
      <c r="D13" s="20" t="s">
        <v>2693</v>
      </c>
      <c r="E13" s="20">
        <v>4.0</v>
      </c>
    </row>
    <row r="14">
      <c r="A14" s="182"/>
      <c r="B14" s="187" t="str">
        <f>IFERROR(__xludf.DUMMYFUNCTION("""COMPUTED_VALUE"""),"Chronosand")</f>
        <v>Chronosand</v>
      </c>
      <c r="C14" s="187">
        <f t="shared" si="1"/>
        <v>1</v>
      </c>
      <c r="D14" s="20" t="s">
        <v>2737</v>
      </c>
      <c r="E14" s="20">
        <v>4.0</v>
      </c>
    </row>
    <row r="15">
      <c r="A15" s="182"/>
      <c r="B15" s="187" t="str">
        <f>IFERROR(__xludf.DUMMYFUNCTION("""COMPUTED_VALUE"""),"Sphinx")</f>
        <v>Sphinx</v>
      </c>
      <c r="C15" s="187">
        <f t="shared" si="1"/>
        <v>2</v>
      </c>
      <c r="D15" s="20" t="s">
        <v>2700</v>
      </c>
      <c r="E15" s="20">
        <v>4.0</v>
      </c>
    </row>
    <row r="16">
      <c r="A16" s="182"/>
      <c r="B16" s="187" t="str">
        <f>IFERROR(__xludf.DUMMYFUNCTION("""COMPUTED_VALUE"""),"Crusader")</f>
        <v>Crusader</v>
      </c>
      <c r="C16" s="187">
        <f t="shared" si="1"/>
        <v>7</v>
      </c>
      <c r="D16" s="20" t="s">
        <v>2699</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2738</v>
      </c>
      <c r="E18" s="20">
        <v>3.0</v>
      </c>
    </row>
    <row r="19">
      <c r="A19" s="182"/>
      <c r="B19" s="187" t="str">
        <f>IFERROR(__xludf.DUMMYFUNCTION("""COMPUTED_VALUE"""),"Desert")</f>
        <v>Desert</v>
      </c>
      <c r="C19" s="187">
        <f t="shared" si="1"/>
        <v>2</v>
      </c>
      <c r="D19" s="20" t="s">
        <v>2739</v>
      </c>
      <c r="E19" s="20">
        <v>3.0</v>
      </c>
    </row>
    <row r="20">
      <c r="A20" s="182"/>
      <c r="B20" s="187" t="str">
        <f>IFERROR(__xludf.DUMMYFUNCTION("""COMPUTED_VALUE"""),"Winds")</f>
        <v>Winds</v>
      </c>
      <c r="C20" s="187">
        <f t="shared" si="1"/>
        <v>1</v>
      </c>
      <c r="D20" s="20" t="s">
        <v>2740</v>
      </c>
      <c r="E20" s="20">
        <v>3.0</v>
      </c>
    </row>
    <row r="21">
      <c r="A21" s="182"/>
      <c r="B21" s="187" t="str">
        <f>IFERROR(__xludf.DUMMYFUNCTION("""COMPUTED_VALUE"""),"Cryptosphinx")</f>
        <v>Cryptosphinx</v>
      </c>
      <c r="C21" s="187">
        <f t="shared" si="1"/>
        <v>1</v>
      </c>
      <c r="D21" s="20" t="s">
        <v>2741</v>
      </c>
      <c r="E21" s="20">
        <v>3.0</v>
      </c>
    </row>
    <row r="22">
      <c r="A22" s="182" t="str">
        <f>IFERROR(__xludf.DUMMYFUNCTION("""COMPUTED_VALUE"""),"Baby")</f>
        <v>Baby</v>
      </c>
      <c r="B22" s="187" t="str">
        <f>IFERROR(__xludf.DUMMYFUNCTION("""COMPUTED_VALUE"""),"Damaged")</f>
        <v>Damaged</v>
      </c>
      <c r="C22" s="187">
        <f t="shared" si="1"/>
        <v>1</v>
      </c>
      <c r="D22" s="20" t="s">
        <v>2742</v>
      </c>
      <c r="E22" s="20">
        <v>3.0</v>
      </c>
    </row>
    <row r="23">
      <c r="A23" s="182" t="str">
        <f>IFERROR(__xludf.DUMMYFUNCTION("""COMPUTED_VALUE"""),"Lamassu")</f>
        <v>Lamassu</v>
      </c>
      <c r="B23" s="187" t="str">
        <f>IFERROR(__xludf.DUMMYFUNCTION("""COMPUTED_VALUE"""),"Automaton")</f>
        <v>Automaton</v>
      </c>
      <c r="C23" s="187">
        <f t="shared" si="1"/>
        <v>2</v>
      </c>
      <c r="D23" s="20" t="s">
        <v>2743</v>
      </c>
      <c r="E23" s="20">
        <v>3.0</v>
      </c>
    </row>
    <row r="24">
      <c r="A24" s="182"/>
      <c r="B24" s="187" t="str">
        <f>IFERROR(__xludf.DUMMYFUNCTION("""COMPUTED_VALUE"""),"Diviner")</f>
        <v>Diviner</v>
      </c>
      <c r="C24" s="187">
        <f t="shared" si="1"/>
        <v>2</v>
      </c>
      <c r="D24" s="20" t="s">
        <v>2744</v>
      </c>
      <c r="E24" s="20">
        <v>3.0</v>
      </c>
    </row>
    <row r="25">
      <c r="A25" s="182"/>
      <c r="B25" s="187" t="str">
        <f>IFERROR(__xludf.DUMMYFUNCTION("""COMPUTED_VALUE"""),"Fates")</f>
        <v>Fates</v>
      </c>
      <c r="C25" s="187">
        <f t="shared" si="1"/>
        <v>1</v>
      </c>
      <c r="D25" s="20" t="s">
        <v>2702</v>
      </c>
      <c r="E25" s="20">
        <v>3.0</v>
      </c>
    </row>
    <row r="26">
      <c r="A26" s="182"/>
      <c r="B26" s="187" t="str">
        <f>IFERROR(__xludf.DUMMYFUNCTION("""COMPUTED_VALUE"""),"Doma")</f>
        <v>Doma</v>
      </c>
      <c r="C26" s="187">
        <f t="shared" si="1"/>
        <v>1</v>
      </c>
      <c r="D26" s="20" t="s">
        <v>2745</v>
      </c>
      <c r="E26" s="20">
        <v>3.0</v>
      </c>
    </row>
    <row r="27">
      <c r="A27" s="182" t="str">
        <f>IFERROR(__xludf.DUMMYFUNCTION("""COMPUTED_VALUE"""),"Blackmarble")</f>
        <v>Blackmarble</v>
      </c>
      <c r="B27" s="187" t="str">
        <f>IFERROR(__xludf.DUMMYFUNCTION("""COMPUTED_VALUE"""),"Angel")</f>
        <v>Angel</v>
      </c>
      <c r="C27" s="187">
        <f t="shared" si="1"/>
        <v>3</v>
      </c>
      <c r="D27" s="20" t="s">
        <v>2746</v>
      </c>
      <c r="E27" s="20">
        <v>3.0</v>
      </c>
    </row>
    <row r="28">
      <c r="A28" s="182" t="str">
        <f>IFERROR(__xludf.DUMMYFUNCTION("""COMPUTED_VALUE"""),"Gargoyle")</f>
        <v>Gargoyle</v>
      </c>
      <c r="B28" s="187" t="str">
        <f>IFERROR(__xludf.DUMMYFUNCTION("""COMPUTED_VALUE"""),"Dove")</f>
        <v>Dove</v>
      </c>
      <c r="C28" s="187">
        <f t="shared" si="1"/>
        <v>1</v>
      </c>
      <c r="D28" s="20" t="s">
        <v>2747</v>
      </c>
      <c r="E28" s="20">
        <v>3.0</v>
      </c>
    </row>
    <row r="29">
      <c r="A29" s="182"/>
      <c r="B29" s="187" t="str">
        <f>IFERROR(__xludf.DUMMYFUNCTION("""COMPUTED_VALUE"""),"Serenity")</f>
        <v>Serenity</v>
      </c>
      <c r="C29" s="187">
        <f t="shared" si="1"/>
        <v>1</v>
      </c>
      <c r="D29" s="20" t="s">
        <v>2748</v>
      </c>
      <c r="E29" s="20">
        <v>3.0</v>
      </c>
    </row>
    <row r="30">
      <c r="A30" s="182"/>
      <c r="B30" s="187" t="str">
        <f>IFERROR(__xludf.DUMMYFUNCTION("""COMPUTED_VALUE"""),"Dream")</f>
        <v>Dream</v>
      </c>
      <c r="C30" s="187">
        <f t="shared" si="1"/>
        <v>1</v>
      </c>
      <c r="D30" s="20" t="s">
        <v>2749</v>
      </c>
      <c r="E30" s="20">
        <v>3.0</v>
      </c>
    </row>
    <row r="31">
      <c r="A31" s="182"/>
      <c r="B31" s="187" t="str">
        <f>IFERROR(__xludf.DUMMYFUNCTION("""COMPUTED_VALUE"""),"Traveler")</f>
        <v>Traveler</v>
      </c>
      <c r="C31" s="187">
        <f t="shared" si="1"/>
        <v>1</v>
      </c>
      <c r="D31" s="20" t="s">
        <v>2750</v>
      </c>
      <c r="E31" s="20">
        <v>2.0</v>
      </c>
    </row>
    <row r="32">
      <c r="A32" s="182" t="str">
        <f>IFERROR(__xludf.DUMMYFUNCTION("""COMPUTED_VALUE"""),"Chronosand")</f>
        <v>Chronosand</v>
      </c>
      <c r="B32" s="187" t="str">
        <f>IFERROR(__xludf.DUMMYFUNCTION("""COMPUTED_VALUE"""),"Embalmed")</f>
        <v>Embalmed</v>
      </c>
      <c r="C32" s="187">
        <f t="shared" si="1"/>
        <v>1</v>
      </c>
      <c r="D32" s="20" t="s">
        <v>2751</v>
      </c>
      <c r="E32" s="20">
        <v>2.0</v>
      </c>
    </row>
    <row r="33">
      <c r="A33" s="182" t="str">
        <f>IFERROR(__xludf.DUMMYFUNCTION("""COMPUTED_VALUE"""),"Sphinx")</f>
        <v>Sphinx</v>
      </c>
      <c r="B33" s="187" t="str">
        <f>IFERROR(__xludf.DUMMYFUNCTION("""COMPUTED_VALUE"""),"Apophis")</f>
        <v>Apophis</v>
      </c>
      <c r="C33" s="187">
        <f t="shared" si="1"/>
        <v>1</v>
      </c>
      <c r="D33" s="20" t="s">
        <v>2752</v>
      </c>
      <c r="E33" s="20">
        <v>2.0</v>
      </c>
    </row>
    <row r="34">
      <c r="A34" s="182"/>
      <c r="B34" s="187" t="str">
        <f>IFERROR(__xludf.DUMMYFUNCTION("""COMPUTED_VALUE"""),"Feline")</f>
        <v>Feline</v>
      </c>
      <c r="C34" s="187">
        <f t="shared" si="1"/>
        <v>1</v>
      </c>
      <c r="D34" s="20" t="s">
        <v>2753</v>
      </c>
      <c r="E34" s="20">
        <v>2.0</v>
      </c>
    </row>
    <row r="35">
      <c r="A35" s="182"/>
      <c r="B35" s="187" t="str">
        <f>IFERROR(__xludf.DUMMYFUNCTION("""COMPUTED_VALUE"""),"Ushabti")</f>
        <v>Ushabti</v>
      </c>
      <c r="C35" s="187">
        <f t="shared" si="1"/>
        <v>4</v>
      </c>
      <c r="D35" s="20" t="s">
        <v>2754</v>
      </c>
      <c r="E35" s="20">
        <v>2.0</v>
      </c>
    </row>
    <row r="36">
      <c r="A36" s="182"/>
      <c r="B36" s="187" t="str">
        <f>IFERROR(__xludf.DUMMYFUNCTION("""COMPUTED_VALUE"""),"Guardian")</f>
        <v>Guardian</v>
      </c>
      <c r="C36" s="187">
        <f t="shared" si="1"/>
        <v>4</v>
      </c>
      <c r="D36" s="20" t="s">
        <v>2755</v>
      </c>
      <c r="E36" s="20">
        <v>2.0</v>
      </c>
    </row>
    <row r="37">
      <c r="A37" s="182" t="str">
        <f>IFERROR(__xludf.DUMMYFUNCTION("""COMPUTED_VALUE"""),"Crusader")</f>
        <v>Crusader</v>
      </c>
      <c r="B37" s="187" t="str">
        <f>IFERROR(__xludf.DUMMYFUNCTION("""COMPUTED_VALUE"""),"Gates")</f>
        <v>Gates</v>
      </c>
      <c r="C37" s="187">
        <f t="shared" si="1"/>
        <v>1</v>
      </c>
      <c r="D37" s="20" t="s">
        <v>2756</v>
      </c>
      <c r="E37" s="20">
        <v>2.0</v>
      </c>
    </row>
    <row r="38">
      <c r="A38" s="182" t="str">
        <f>IFERROR(__xludf.DUMMYFUNCTION("""COMPUTED_VALUE"""),"of")</f>
        <v>of</v>
      </c>
      <c r="B38" s="187" t="str">
        <f>IFERROR(__xludf.DUMMYFUNCTION("""COMPUTED_VALUE"""),"Hallowed")</f>
        <v>Hallowed</v>
      </c>
      <c r="C38" s="187">
        <f t="shared" si="1"/>
        <v>1</v>
      </c>
      <c r="D38" s="20" t="s">
        <v>2757</v>
      </c>
      <c r="E38" s="20">
        <v>2.0</v>
      </c>
    </row>
    <row r="39">
      <c r="A39" s="182" t="str">
        <f>IFERROR(__xludf.DUMMYFUNCTION("""COMPUTED_VALUE"""),"the")</f>
        <v>the</v>
      </c>
      <c r="B39" s="187" t="str">
        <f>IFERROR(__xludf.DUMMYFUNCTION("""COMPUTED_VALUE"""),"Exorcist")</f>
        <v>Exorcist</v>
      </c>
      <c r="C39" s="187">
        <f t="shared" si="1"/>
        <v>1</v>
      </c>
      <c r="D39" s="20" t="s">
        <v>2758</v>
      </c>
      <c r="E39" s="20">
        <v>2.0</v>
      </c>
    </row>
    <row r="40">
      <c r="A40" s="182" t="str">
        <f>IFERROR(__xludf.DUMMYFUNCTION("""COMPUTED_VALUE"""),"Desert")</f>
        <v>Desert</v>
      </c>
      <c r="B40" s="187" t="str">
        <f>IFERROR(__xludf.DUMMYFUNCTION("""COMPUTED_VALUE"""),"Harmonic")</f>
        <v>Harmonic</v>
      </c>
      <c r="C40" s="187">
        <f t="shared" si="1"/>
        <v>1</v>
      </c>
      <c r="D40" s="20" t="s">
        <v>2343</v>
      </c>
      <c r="E40" s="20">
        <v>2.0</v>
      </c>
    </row>
    <row r="41">
      <c r="A41" s="182" t="str">
        <f>IFERROR(__xludf.DUMMYFUNCTION("""COMPUTED_VALUE"""),"Winds")</f>
        <v>Winds</v>
      </c>
      <c r="B41" s="187" t="str">
        <f>IFERROR(__xludf.DUMMYFUNCTION("""COMPUTED_VALUE"""),"Echo")</f>
        <v>Echo</v>
      </c>
      <c r="C41" s="187">
        <f t="shared" si="1"/>
        <v>2</v>
      </c>
      <c r="D41" s="20" t="s">
        <v>2759</v>
      </c>
      <c r="E41" s="20">
        <v>2.0</v>
      </c>
    </row>
    <row r="42">
      <c r="A42" s="182" t="str">
        <f>IFERROR(__xludf.DUMMYFUNCTION("""COMPUTED_VALUE"""),"Cryptosphinx")</f>
        <v>Cryptosphinx</v>
      </c>
      <c r="B42" s="187" t="str">
        <f>IFERROR(__xludf.DUMMYFUNCTION("""COMPUTED_VALUE"""),"Ibis")</f>
        <v>Ibis</v>
      </c>
      <c r="C42" s="187">
        <f t="shared" si="1"/>
        <v>1</v>
      </c>
      <c r="D42" s="20" t="s">
        <v>2760</v>
      </c>
      <c r="E42" s="20">
        <v>2.0</v>
      </c>
    </row>
    <row r="43">
      <c r="A43" s="182"/>
      <c r="B43" s="187" t="str">
        <f>IFERROR(__xludf.DUMMYFUNCTION("""COMPUTED_VALUE"""),"Herald")</f>
        <v>Herald</v>
      </c>
      <c r="C43" s="187">
        <f t="shared" si="1"/>
        <v>1</v>
      </c>
      <c r="D43" s="20" t="s">
        <v>2761</v>
      </c>
      <c r="E43" s="20">
        <v>2.0</v>
      </c>
    </row>
    <row r="44">
      <c r="A44" s="182"/>
      <c r="B44" s="187" t="str">
        <f>IFERROR(__xludf.DUMMYFUNCTION("""COMPUTED_VALUE"""),"Eternal")</f>
        <v>Eternal</v>
      </c>
      <c r="C44" s="187">
        <f t="shared" si="1"/>
        <v>1</v>
      </c>
      <c r="D44" s="20" t="s">
        <v>2762</v>
      </c>
      <c r="E44" s="20">
        <v>2.0</v>
      </c>
    </row>
    <row r="45">
      <c r="A45" s="182"/>
      <c r="B45" s="187" t="str">
        <f>IFERROR(__xludf.DUMMYFUNCTION("""COMPUTED_VALUE"""),"Grace")</f>
        <v>Grace</v>
      </c>
      <c r="C45" s="187">
        <f t="shared" si="1"/>
        <v>1</v>
      </c>
      <c r="D45" s="20" t="s">
        <v>2763</v>
      </c>
      <c r="E45" s="20">
        <v>2.0</v>
      </c>
    </row>
    <row r="46">
      <c r="A46" s="182"/>
      <c r="B46" s="187" t="str">
        <f>IFERROR(__xludf.DUMMYFUNCTION("""COMPUTED_VALUE"""),"Maze")</f>
        <v>Maze</v>
      </c>
      <c r="C46" s="187">
        <f t="shared" si="1"/>
        <v>1</v>
      </c>
      <c r="D46" s="20" t="s">
        <v>2764</v>
      </c>
      <c r="E46" s="20">
        <v>2.0</v>
      </c>
    </row>
    <row r="47">
      <c r="A47" s="182" t="str">
        <f>IFERROR(__xludf.DUMMYFUNCTION("""COMPUTED_VALUE"""),"Damaged")</f>
        <v>Damaged</v>
      </c>
      <c r="B47" s="187" t="str">
        <f>IFERROR(__xludf.DUMMYFUNCTION("""COMPUTED_VALUE"""),"Master")</f>
        <v>Master</v>
      </c>
      <c r="C47" s="187">
        <f t="shared" si="1"/>
        <v>3</v>
      </c>
      <c r="D47" s="20" t="s">
        <v>2765</v>
      </c>
      <c r="E47" s="20">
        <v>2.0</v>
      </c>
    </row>
    <row r="48">
      <c r="A48" s="182" t="str">
        <f>IFERROR(__xludf.DUMMYFUNCTION("""COMPUTED_VALUE"""),"Automaton")</f>
        <v>Automaton</v>
      </c>
      <c r="B48" s="187" t="str">
        <f>IFERROR(__xludf.DUMMYFUNCTION("""COMPUTED_VALUE"""),"Ivoryscar")</f>
        <v>Ivoryscar</v>
      </c>
      <c r="C48" s="187">
        <f t="shared" si="1"/>
        <v>4</v>
      </c>
      <c r="D48" s="20" t="s">
        <v>2766</v>
      </c>
      <c r="E48" s="20">
        <v>2.0</v>
      </c>
    </row>
    <row r="49">
      <c r="A49" s="182"/>
      <c r="B49" s="187" t="str">
        <f>IFERROR(__xludf.DUMMYFUNCTION("""COMPUTED_VALUE"""),"Cursewing")</f>
        <v>Cursewing</v>
      </c>
      <c r="C49" s="187">
        <f t="shared" si="1"/>
        <v>1</v>
      </c>
      <c r="D49" s="20" t="s">
        <v>2767</v>
      </c>
      <c r="E49" s="20">
        <v>2.0</v>
      </c>
    </row>
    <row r="50">
      <c r="A50" s="182"/>
      <c r="B50" s="187" t="str">
        <f>IFERROR(__xludf.DUMMYFUNCTION("""COMPUTED_VALUE"""),"Magistrate")</f>
        <v>Magistrate</v>
      </c>
      <c r="C50" s="187">
        <f t="shared" si="1"/>
        <v>1</v>
      </c>
      <c r="D50" s="20" t="s">
        <v>2768</v>
      </c>
      <c r="E50" s="20">
        <v>2.0</v>
      </c>
    </row>
    <row r="51">
      <c r="A51" s="182"/>
      <c r="B51" s="187" t="str">
        <f>IFERROR(__xludf.DUMMYFUNCTION("""COMPUTED_VALUE"""),"Kylix")</f>
        <v>Kylix</v>
      </c>
      <c r="C51" s="187">
        <f t="shared" si="1"/>
        <v>1</v>
      </c>
      <c r="D51" s="20" t="s">
        <v>2769</v>
      </c>
      <c r="E51" s="20">
        <v>2.0</v>
      </c>
    </row>
    <row r="52">
      <c r="A52" s="182" t="str">
        <f>IFERROR(__xludf.DUMMYFUNCTION("""COMPUTED_VALUE"""),"Diviner")</f>
        <v>Diviner</v>
      </c>
      <c r="B52" s="187" t="str">
        <f>IFERROR(__xludf.DUMMYFUNCTION("""COMPUTED_VALUE"""),"Excess")</f>
        <v>Excess</v>
      </c>
      <c r="C52" s="187">
        <f t="shared" si="1"/>
        <v>1</v>
      </c>
      <c r="D52" s="20" t="s">
        <v>2770</v>
      </c>
      <c r="E52" s="20">
        <v>2.0</v>
      </c>
    </row>
    <row r="53">
      <c r="A53" s="182" t="str">
        <f>IFERROR(__xludf.DUMMYFUNCTION("""COMPUTED_VALUE"""),"of")</f>
        <v>of</v>
      </c>
      <c r="B53" s="187" t="str">
        <f>IFERROR(__xludf.DUMMYFUNCTION("""COMPUTED_VALUE"""),"Mystic")</f>
        <v>Mystic</v>
      </c>
      <c r="C53" s="187">
        <f t="shared" si="1"/>
        <v>1</v>
      </c>
      <c r="D53" s="20" t="s">
        <v>2771</v>
      </c>
      <c r="E53" s="20">
        <v>2.0</v>
      </c>
    </row>
    <row r="54">
      <c r="A54" s="182" t="str">
        <f>IFERROR(__xludf.DUMMYFUNCTION("""COMPUTED_VALUE"""),"Fates")</f>
        <v>Fates</v>
      </c>
      <c r="B54" s="187" t="str">
        <f>IFERROR(__xludf.DUMMYFUNCTION("""COMPUTED_VALUE"""),"Puzzle")</f>
        <v>Puzzle</v>
      </c>
      <c r="C54" s="187">
        <f t="shared" si="1"/>
        <v>1</v>
      </c>
      <c r="D54" s="20" t="s">
        <v>2772</v>
      </c>
      <c r="E54" s="20">
        <v>2.0</v>
      </c>
    </row>
    <row r="55">
      <c r="A55" s="182"/>
      <c r="B55" s="187" t="str">
        <f>IFERROR(__xludf.DUMMYFUNCTION("""COMPUTED_VALUE"""),"Box")</f>
        <v>Box</v>
      </c>
      <c r="C55" s="187">
        <f t="shared" si="1"/>
        <v>1</v>
      </c>
      <c r="D55" s="20" t="s">
        <v>2773</v>
      </c>
      <c r="E55" s="20">
        <v>2.0</v>
      </c>
    </row>
    <row r="56">
      <c r="A56" s="182"/>
      <c r="B56" s="187" t="str">
        <f>IFERROR(__xludf.DUMMYFUNCTION("""COMPUTED_VALUE"""),"Monolith")</f>
        <v>Monolith</v>
      </c>
      <c r="C56" s="187">
        <f t="shared" si="1"/>
        <v>1</v>
      </c>
      <c r="D56" s="20" t="s">
        <v>2774</v>
      </c>
      <c r="E56" s="20">
        <v>2.0</v>
      </c>
    </row>
    <row r="57">
      <c r="A57" s="182" t="str">
        <f>IFERROR(__xludf.DUMMYFUNCTION("""COMPUTED_VALUE"""),"Doma")</f>
        <v>Doma</v>
      </c>
      <c r="B57" s="187" t="str">
        <f>IFERROR(__xludf.DUMMYFUNCTION("""COMPUTED_VALUE"""),"Meditation")</f>
        <v>Meditation</v>
      </c>
      <c r="C57" s="187">
        <f t="shared" si="1"/>
        <v>1</v>
      </c>
      <c r="D57" s="20" t="s">
        <v>2775</v>
      </c>
      <c r="E57" s="20">
        <v>2.0</v>
      </c>
    </row>
    <row r="58">
      <c r="A58" s="182" t="str">
        <f>IFERROR(__xludf.DUMMYFUNCTION("""COMPUTED_VALUE"""),"Angel")</f>
        <v>Angel</v>
      </c>
      <c r="B58" s="187" t="str">
        <f>IFERROR(__xludf.DUMMYFUNCTION("""COMPUTED_VALUE"""),"Oasis")</f>
        <v>Oasis</v>
      </c>
      <c r="C58" s="187">
        <f t="shared" si="1"/>
        <v>1</v>
      </c>
      <c r="D58" s="20" t="s">
        <v>2697</v>
      </c>
      <c r="E58" s="20">
        <v>2.0</v>
      </c>
    </row>
    <row r="59">
      <c r="A59" s="182"/>
      <c r="B59" s="187" t="str">
        <f>IFERROR(__xludf.DUMMYFUNCTION("""COMPUTED_VALUE"""),"Sprite")</f>
        <v>Sprite</v>
      </c>
      <c r="C59" s="187">
        <f t="shared" si="1"/>
        <v>4</v>
      </c>
      <c r="D59" s="20" t="s">
        <v>2776</v>
      </c>
      <c r="E59" s="20">
        <v>2.0</v>
      </c>
    </row>
    <row r="60">
      <c r="A60" s="182"/>
      <c r="B60" s="187" t="str">
        <f>IFERROR(__xludf.DUMMYFUNCTION("""COMPUTED_VALUE"""),"Pharaoh's")</f>
        <v>Pharaoh's</v>
      </c>
      <c r="C60" s="187">
        <f t="shared" si="1"/>
        <v>1</v>
      </c>
      <c r="D60" s="20" t="s">
        <v>2777</v>
      </c>
      <c r="E60" s="20">
        <v>2.0</v>
      </c>
    </row>
    <row r="61">
      <c r="A61" s="182"/>
      <c r="B61" s="187" t="str">
        <f>IFERROR(__xludf.DUMMYFUNCTION("""COMPUTED_VALUE"""),"Bodyguard")</f>
        <v>Bodyguard</v>
      </c>
      <c r="C61" s="187">
        <f t="shared" si="1"/>
        <v>1</v>
      </c>
      <c r="D61" s="20" t="s">
        <v>2778</v>
      </c>
      <c r="E61" s="20">
        <v>2.0</v>
      </c>
    </row>
    <row r="62">
      <c r="A62" s="182" t="str">
        <f>IFERROR(__xludf.DUMMYFUNCTION("""COMPUTED_VALUE"""),"Dove")</f>
        <v>Dove</v>
      </c>
      <c r="B62" s="187" t="str">
        <f>IFERROR(__xludf.DUMMYFUNCTION("""COMPUTED_VALUE"""),"Scripture")</f>
        <v>Scripture</v>
      </c>
      <c r="C62" s="187">
        <f t="shared" si="1"/>
        <v>1</v>
      </c>
      <c r="D62" s="20" t="s">
        <v>2779</v>
      </c>
      <c r="E62" s="20">
        <v>2.0</v>
      </c>
    </row>
    <row r="63">
      <c r="A63" s="182" t="str">
        <f>IFERROR(__xludf.DUMMYFUNCTION("""COMPUTED_VALUE"""),"of")</f>
        <v>of</v>
      </c>
      <c r="B63" s="187" t="str">
        <f>IFERROR(__xludf.DUMMYFUNCTION("""COMPUTED_VALUE"""),"Monkey")</f>
        <v>Monkey</v>
      </c>
      <c r="C63" s="187">
        <f t="shared" si="1"/>
        <v>1</v>
      </c>
      <c r="D63" s="20" t="s">
        <v>2780</v>
      </c>
      <c r="E63" s="20">
        <v>2.0</v>
      </c>
    </row>
    <row r="64">
      <c r="A64" s="182" t="str">
        <f>IFERROR(__xludf.DUMMYFUNCTION("""COMPUTED_VALUE"""),"Serenity")</f>
        <v>Serenity</v>
      </c>
      <c r="B64" s="187" t="str">
        <f>IFERROR(__xludf.DUMMYFUNCTION("""COMPUTED_VALUE"""),"Pyramidion")</f>
        <v>Pyramidion</v>
      </c>
      <c r="C64" s="187">
        <f t="shared" si="1"/>
        <v>1</v>
      </c>
      <c r="D64" s="20" t="s">
        <v>2701</v>
      </c>
      <c r="E64" s="20">
        <v>2.0</v>
      </c>
    </row>
    <row r="65">
      <c r="A65" s="182"/>
      <c r="B65" s="187" t="str">
        <f>IFERROR(__xludf.DUMMYFUNCTION("""COMPUTED_VALUE"""),"Sekhem")</f>
        <v>Sekhem</v>
      </c>
      <c r="C65" s="187">
        <f t="shared" si="1"/>
        <v>1</v>
      </c>
      <c r="D65" s="20" t="s">
        <v>2781</v>
      </c>
      <c r="E65" s="20">
        <v>2.0</v>
      </c>
    </row>
    <row r="66">
      <c r="A66" s="182"/>
      <c r="B66" s="187" t="str">
        <f>IFERROR(__xludf.DUMMYFUNCTION("""COMPUTED_VALUE"""),"Chariot")</f>
        <v>Chariot</v>
      </c>
      <c r="C66" s="187">
        <f t="shared" si="1"/>
        <v>1</v>
      </c>
      <c r="D66" s="20" t="s">
        <v>2782</v>
      </c>
      <c r="E66" s="20">
        <v>2.0</v>
      </c>
    </row>
    <row r="67">
      <c r="A67" s="182" t="str">
        <f>IFERROR(__xludf.DUMMYFUNCTION("""COMPUTED_VALUE"""),"Dream")</f>
        <v>Dream</v>
      </c>
      <c r="B67" s="187" t="str">
        <f>IFERROR(__xludf.DUMMYFUNCTION("""COMPUTED_VALUE"""),"Obsidian")</f>
        <v>Obsidian</v>
      </c>
      <c r="C67" s="187">
        <f t="shared" si="1"/>
        <v>1</v>
      </c>
      <c r="D67" s="20" t="s">
        <v>2783</v>
      </c>
      <c r="E67" s="20">
        <v>2.0</v>
      </c>
    </row>
    <row r="68">
      <c r="A68" s="182" t="str">
        <f>IFERROR(__xludf.DUMMYFUNCTION("""COMPUTED_VALUE"""),"Traveler")</f>
        <v>Traveler</v>
      </c>
      <c r="B68" s="187" t="str">
        <f>IFERROR(__xludf.DUMMYFUNCTION("""COMPUTED_VALUE"""),"Scarab")</f>
        <v>Scarab</v>
      </c>
      <c r="C68" s="187">
        <f t="shared" si="1"/>
        <v>2</v>
      </c>
      <c r="D68" s="20" t="s">
        <v>2784</v>
      </c>
      <c r="E68" s="20">
        <v>2.0</v>
      </c>
    </row>
    <row r="69">
      <c r="A69" s="182"/>
      <c r="B69" s="187" t="str">
        <f>IFERROR(__xludf.DUMMYFUNCTION("""COMPUTED_VALUE"""),"Solarsteel")</f>
        <v>Solarsteel</v>
      </c>
      <c r="C69" s="187">
        <f t="shared" si="1"/>
        <v>1</v>
      </c>
      <c r="D69" s="20" t="s">
        <v>2785</v>
      </c>
      <c r="E69" s="20">
        <v>2.0</v>
      </c>
    </row>
    <row r="70">
      <c r="A70" s="182"/>
      <c r="B70" s="187" t="str">
        <f>IFERROR(__xludf.DUMMYFUNCTION("""COMPUTED_VALUE"""),"Prodigy")</f>
        <v>Prodigy</v>
      </c>
      <c r="C70" s="187">
        <f t="shared" si="1"/>
        <v>1</v>
      </c>
      <c r="D70" s="20" t="s">
        <v>2786</v>
      </c>
      <c r="E70" s="20">
        <v>2.0</v>
      </c>
    </row>
    <row r="71">
      <c r="A71" s="182"/>
      <c r="B71" s="187" t="str">
        <f>IFERROR(__xludf.DUMMYFUNCTION("""COMPUTED_VALUE"""),"Starforger")</f>
        <v>Starforger</v>
      </c>
      <c r="C71" s="187">
        <f t="shared" si="1"/>
        <v>1</v>
      </c>
      <c r="D71" s="20" t="s">
        <v>2787</v>
      </c>
      <c r="E71" s="20">
        <v>2.0</v>
      </c>
    </row>
    <row r="72">
      <c r="A72" s="182" t="str">
        <f>IFERROR(__xludf.DUMMYFUNCTION("""COMPUTED_VALUE"""),"Embalmed")</f>
        <v>Embalmed</v>
      </c>
      <c r="B72" s="187" t="str">
        <f>IFERROR(__xludf.DUMMYFUNCTION("""COMPUTED_VALUE"""),"Swiftblade")</f>
        <v>Swiftblade</v>
      </c>
      <c r="C72" s="187">
        <f t="shared" si="1"/>
        <v>1</v>
      </c>
      <c r="D72" s="20" t="s">
        <v>2788</v>
      </c>
      <c r="E72" s="20">
        <v>2.0</v>
      </c>
    </row>
    <row r="73">
      <c r="A73" s="182" t="str">
        <f>IFERROR(__xludf.DUMMYFUNCTION("""COMPUTED_VALUE"""),"Apophis")</f>
        <v>Apophis</v>
      </c>
      <c r="B73" s="187" t="str">
        <f>IFERROR(__xludf.DUMMYFUNCTION("""COMPUTED_VALUE"""),"Revenger")</f>
        <v>Revenger</v>
      </c>
      <c r="C73" s="187">
        <f t="shared" si="1"/>
        <v>1</v>
      </c>
      <c r="D73" s="20" t="s">
        <v>2789</v>
      </c>
      <c r="E73" s="20">
        <v>2.0</v>
      </c>
    </row>
    <row r="74">
      <c r="A74" s="182"/>
      <c r="B74" s="187" t="str">
        <f>IFERROR(__xludf.DUMMYFUNCTION("""COMPUTED_VALUE"""),"The")</f>
        <v>The</v>
      </c>
      <c r="C74" s="187">
        <f t="shared" si="1"/>
        <v>30</v>
      </c>
      <c r="D74" s="20" t="s">
        <v>2790</v>
      </c>
      <c r="E74" s="20">
        <v>2.0</v>
      </c>
    </row>
    <row r="75">
      <c r="A75" s="182"/>
      <c r="B75" s="187" t="str">
        <f>IFERROR(__xludf.DUMMYFUNCTION("""COMPUTED_VALUE"""),"Kitty")</f>
        <v>Kitty</v>
      </c>
      <c r="C75" s="187">
        <f t="shared" si="1"/>
        <v>1</v>
      </c>
      <c r="D75" s="20" t="s">
        <v>2791</v>
      </c>
      <c r="E75" s="20">
        <v>2.0</v>
      </c>
    </row>
    <row r="76">
      <c r="A76" s="182"/>
      <c r="B76" s="187" t="str">
        <f>IFERROR(__xludf.DUMMYFUNCTION("""COMPUTED_VALUE"""),"Thamiel")</f>
        <v>Thamiel</v>
      </c>
      <c r="C76" s="187">
        <f t="shared" si="1"/>
        <v>1</v>
      </c>
      <c r="D76" s="20" t="s">
        <v>2792</v>
      </c>
      <c r="E76" s="20">
        <v>2.0</v>
      </c>
    </row>
    <row r="77">
      <c r="A77" s="182" t="str">
        <f>IFERROR(__xludf.DUMMYFUNCTION("""COMPUTED_VALUE"""),"Feline")</f>
        <v>Feline</v>
      </c>
      <c r="B77" s="187" t="str">
        <f>IFERROR(__xludf.DUMMYFUNCTION("""COMPUTED_VALUE"""),"Thunderswarm")</f>
        <v>Thunderswarm</v>
      </c>
      <c r="C77" s="187">
        <f t="shared" si="1"/>
        <v>4</v>
      </c>
      <c r="D77" s="20" t="s">
        <v>2793</v>
      </c>
      <c r="E77" s="20">
        <v>2.0</v>
      </c>
    </row>
    <row r="78">
      <c r="A78" s="182" t="str">
        <f>IFERROR(__xludf.DUMMYFUNCTION("""COMPUTED_VALUE"""),"Ushabti")</f>
        <v>Ushabti</v>
      </c>
      <c r="B78" s="187" t="str">
        <f>IFERROR(__xludf.DUMMYFUNCTION("""COMPUTED_VALUE"""),"Skirmisher")</f>
        <v>Skirmisher</v>
      </c>
      <c r="C78" s="187">
        <f t="shared" si="1"/>
        <v>1</v>
      </c>
      <c r="D78" s="20" t="s">
        <v>2794</v>
      </c>
      <c r="E78" s="20">
        <v>2.0</v>
      </c>
    </row>
    <row r="79">
      <c r="A79" s="182"/>
      <c r="B79" s="187" t="str">
        <f>IFERROR(__xludf.DUMMYFUNCTION("""COMPUTED_VALUE"""),"Tranquil")</f>
        <v>Tranquil</v>
      </c>
      <c r="C79" s="187">
        <f t="shared" si="1"/>
        <v>3</v>
      </c>
      <c r="D79" s="20" t="s">
        <v>2795</v>
      </c>
      <c r="E79" s="20">
        <v>2.0</v>
      </c>
    </row>
    <row r="80">
      <c r="A80" s="182"/>
      <c r="B80" s="187" t="str">
        <f>IFERROR(__xludf.DUMMYFUNCTION("""COMPUTED_VALUE"""),"Herd")</f>
        <v>Herd</v>
      </c>
      <c r="C80" s="187">
        <f t="shared" si="1"/>
        <v>3</v>
      </c>
      <c r="D80" s="20" t="s">
        <v>2796</v>
      </c>
      <c r="E80" s="20">
        <v>2.0</v>
      </c>
    </row>
    <row r="81">
      <c r="A81" s="182"/>
      <c r="B81" s="187" t="str">
        <f>IFERROR(__xludf.DUMMYFUNCTION("""COMPUTED_VALUE"""),"Gem")</f>
        <v>Gem</v>
      </c>
      <c r="C81" s="187">
        <f t="shared" si="1"/>
        <v>2</v>
      </c>
      <c r="D81" s="20" t="s">
        <v>2797</v>
      </c>
      <c r="E81" s="20">
        <v>2.0</v>
      </c>
    </row>
    <row r="82">
      <c r="A82" s="182" t="str">
        <f>IFERROR(__xludf.DUMMYFUNCTION("""COMPUTED_VALUE"""),"Guardian")</f>
        <v>Guardian</v>
      </c>
      <c r="B82" s="187" t="str">
        <f>IFERROR(__xludf.DUMMYFUNCTION("""COMPUTED_VALUE"""),"Titan")</f>
        <v>Titan</v>
      </c>
      <c r="C82" s="187">
        <f t="shared" si="1"/>
        <v>2</v>
      </c>
      <c r="D82" s="20" t="s">
        <v>2798</v>
      </c>
      <c r="E82" s="20">
        <v>2.0</v>
      </c>
    </row>
    <row r="83">
      <c r="A83" s="182" t="str">
        <f>IFERROR(__xludf.DUMMYFUNCTION("""COMPUTED_VALUE"""),"of")</f>
        <v>of</v>
      </c>
      <c r="B83" s="187" t="str">
        <f>IFERROR(__xludf.DUMMYFUNCTION("""COMPUTED_VALUE"""),"Towering")</f>
        <v>Towering</v>
      </c>
      <c r="C83" s="187">
        <f t="shared" si="1"/>
        <v>1</v>
      </c>
      <c r="D83" s="20" t="s">
        <v>2799</v>
      </c>
      <c r="E83" s="20">
        <v>2.0</v>
      </c>
    </row>
    <row r="84">
      <c r="A84" s="182" t="str">
        <f>IFERROR(__xludf.DUMMYFUNCTION("""COMPUTED_VALUE"""),"the")</f>
        <v>the</v>
      </c>
      <c r="B84" s="187" t="str">
        <f>IFERROR(__xludf.DUMMYFUNCTION("""COMPUTED_VALUE"""),"Obelisk")</f>
        <v>Obelisk</v>
      </c>
      <c r="C84" s="187">
        <f t="shared" si="1"/>
        <v>2</v>
      </c>
      <c r="D84" s="20" t="s">
        <v>2800</v>
      </c>
      <c r="E84" s="20">
        <v>2.0</v>
      </c>
    </row>
    <row r="85">
      <c r="A85" s="182" t="str">
        <f>IFERROR(__xludf.DUMMYFUNCTION("""COMPUTED_VALUE"""),"Gates")</f>
        <v>Gates</v>
      </c>
      <c r="B85" s="187" t="str">
        <f>IFERROR(__xludf.DUMMYFUNCTION("""COMPUTED_VALUE"""),"Xi")</f>
        <v>Xi</v>
      </c>
      <c r="C85" s="187">
        <f t="shared" si="1"/>
        <v>1</v>
      </c>
      <c r="D85" s="20" t="s">
        <v>2801</v>
      </c>
      <c r="E85" s="20">
        <v>2.0</v>
      </c>
    </row>
    <row r="86">
      <c r="A86" s="182"/>
      <c r="B86" s="187" t="str">
        <f>IFERROR(__xludf.DUMMYFUNCTION("""COMPUTED_VALUE"""),"Pegasus")</f>
        <v>Pegasus</v>
      </c>
      <c r="C86" s="187">
        <f t="shared" si="1"/>
        <v>2</v>
      </c>
      <c r="D86" s="20" t="s">
        <v>2802</v>
      </c>
      <c r="E86" s="20">
        <v>2.0</v>
      </c>
    </row>
    <row r="87">
      <c r="A87" s="182" t="str">
        <f>IFERROR(__xludf.DUMMYFUNCTION("""COMPUTED_VALUE"""),"Guardian")</f>
        <v>Guardian</v>
      </c>
      <c r="B87" s="187" t="str">
        <f>IFERROR(__xludf.DUMMYFUNCTION("""COMPUTED_VALUE"""),"Winged")</f>
        <v>Winged</v>
      </c>
      <c r="C87" s="187">
        <f t="shared" si="1"/>
        <v>1</v>
      </c>
      <c r="D87" s="20" t="s">
        <v>2803</v>
      </c>
      <c r="E87" s="20">
        <v>2.0</v>
      </c>
    </row>
    <row r="88">
      <c r="A88" s="182" t="str">
        <f>IFERROR(__xludf.DUMMYFUNCTION("""COMPUTED_VALUE"""),"Angel")</f>
        <v>Angel</v>
      </c>
      <c r="B88" s="187" t="str">
        <f>IFERROR(__xludf.DUMMYFUNCTION("""COMPUTED_VALUE"""),"Ghostfire")</f>
        <v>Ghostfire</v>
      </c>
      <c r="C88" s="187">
        <f t="shared" si="1"/>
        <v>1</v>
      </c>
      <c r="D88" s="20" t="s">
        <v>2804</v>
      </c>
      <c r="E88" s="20">
        <v>2.0</v>
      </c>
    </row>
    <row r="89">
      <c r="A89" s="182"/>
      <c r="B89" s="187" t="str">
        <f>IFERROR(__xludf.DUMMYFUNCTION("""COMPUTED_VALUE"""),"Basilisk")</f>
        <v>Basilisk</v>
      </c>
      <c r="C89" s="187">
        <f t="shared" si="1"/>
        <v>2</v>
      </c>
      <c r="D89" s="20" t="s">
        <v>2805</v>
      </c>
      <c r="E89" s="20">
        <v>2.0</v>
      </c>
    </row>
    <row r="90">
      <c r="A90" s="182"/>
      <c r="B90" s="187" t="str">
        <f>IFERROR(__xludf.DUMMYFUNCTION("""COMPUTED_VALUE"""),"Yellow")</f>
        <v>Yellow</v>
      </c>
      <c r="C90" s="187">
        <f t="shared" si="1"/>
        <v>2</v>
      </c>
      <c r="D90" s="20" t="s">
        <v>2806</v>
      </c>
      <c r="E90" s="20">
        <v>2.0</v>
      </c>
    </row>
    <row r="91">
      <c r="A91" s="182"/>
      <c r="B91" s="187" t="str">
        <f>IFERROR(__xludf.DUMMYFUNCTION("""COMPUTED_VALUE"""),"Young")</f>
        <v>Young</v>
      </c>
      <c r="C91" s="187">
        <f t="shared" si="1"/>
        <v>2</v>
      </c>
      <c r="D91" s="20" t="s">
        <v>2807</v>
      </c>
      <c r="E91" s="20">
        <v>2.0</v>
      </c>
    </row>
    <row r="92">
      <c r="A92" s="182" t="str">
        <f>IFERROR(__xludf.DUMMYFUNCTION("""COMPUTED_VALUE"""),"Hallowed")</f>
        <v>Hallowed</v>
      </c>
      <c r="B92" s="187" t="str">
        <f>IFERROR(__xludf.DUMMYFUNCTION("""COMPUTED_VALUE"""),"Monk")</f>
        <v>Monk</v>
      </c>
      <c r="C92" s="187">
        <f t="shared" si="1"/>
        <v>1</v>
      </c>
      <c r="D92" s="20" t="s">
        <v>2808</v>
      </c>
      <c r="E92" s="20">
        <v>2.0</v>
      </c>
    </row>
    <row r="93">
      <c r="A93" s="182" t="str">
        <f>IFERROR(__xludf.DUMMYFUNCTION("""COMPUTED_VALUE"""),"Exorcist")</f>
        <v>Exorcist</v>
      </c>
      <c r="B93" s="187" t="str">
        <f>IFERROR(__xludf.DUMMYFUNCTION("""COMPUTED_VALUE"""),"Cartouche")</f>
        <v>Cartouche</v>
      </c>
      <c r="C93" s="187">
        <f t="shared" si="1"/>
        <v>1</v>
      </c>
      <c r="D93" s="20" t="s">
        <v>2809</v>
      </c>
      <c r="E93" s="20">
        <v>2.0</v>
      </c>
    </row>
    <row r="94">
      <c r="A94" s="182"/>
      <c r="B94" s="187" t="str">
        <f>IFERROR(__xludf.DUMMYFUNCTION("""COMPUTED_VALUE"""),"Luster")</f>
        <v>Luster</v>
      </c>
      <c r="C94" s="187">
        <f t="shared" si="1"/>
        <v>1</v>
      </c>
      <c r="D94" s="20" t="s">
        <v>2810</v>
      </c>
      <c r="E94" s="20">
        <v>2.0</v>
      </c>
    </row>
    <row r="95">
      <c r="A95" s="182"/>
      <c r="B95" s="187" t="str">
        <f>IFERROR(__xludf.DUMMYFUNCTION("""COMPUTED_VALUE"""),"Golden")</f>
        <v>Golden</v>
      </c>
      <c r="C95" s="187">
        <f t="shared" si="1"/>
        <v>1</v>
      </c>
      <c r="D95" s="20" t="s">
        <v>2811</v>
      </c>
      <c r="E95" s="20">
        <v>2.0</v>
      </c>
    </row>
    <row r="96">
      <c r="A96" s="182"/>
      <c r="B96" s="187" t="str">
        <f>IFERROR(__xludf.DUMMYFUNCTION("""COMPUTED_VALUE"""),"Phoenix")</f>
        <v>Phoenix</v>
      </c>
      <c r="C96" s="187">
        <f t="shared" si="1"/>
        <v>1</v>
      </c>
      <c r="D96" s="20" t="s">
        <v>2640</v>
      </c>
      <c r="E96" s="20">
        <v>2.0</v>
      </c>
    </row>
    <row r="97">
      <c r="A97" s="182" t="str">
        <f>IFERROR(__xludf.DUMMYFUNCTION("""COMPUTED_VALUE"""),"Harmonic")</f>
        <v>Harmonic</v>
      </c>
      <c r="B97" s="187" t="str">
        <f>IFERROR(__xludf.DUMMYFUNCTION("""COMPUTED_VALUE"""),"Hailstorm")</f>
        <v>Hailstorm</v>
      </c>
      <c r="C97" s="187">
        <f t="shared" si="1"/>
        <v>1</v>
      </c>
      <c r="D97" s="20" t="s">
        <v>2812</v>
      </c>
      <c r="E97" s="20">
        <v>2.0</v>
      </c>
    </row>
    <row r="98">
      <c r="A98" s="182" t="str">
        <f>IFERROR(__xludf.DUMMYFUNCTION("""COMPUTED_VALUE"""),"Echo")</f>
        <v>Echo</v>
      </c>
      <c r="B98" s="187" t="str">
        <f>IFERROR(__xludf.DUMMYFUNCTION("""COMPUTED_VALUE"""),"Seraph")</f>
        <v>Seraph</v>
      </c>
      <c r="C98" s="187">
        <f t="shared" si="1"/>
        <v>1</v>
      </c>
      <c r="D98" s="20" t="s">
        <v>2813</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2814</v>
      </c>
      <c r="E100" s="20">
        <v>1.0</v>
      </c>
    </row>
    <row r="101">
      <c r="A101" s="182"/>
      <c r="B101" s="187" t="str">
        <f>IFERROR(__xludf.DUMMYFUNCTION("""COMPUTED_VALUE"""),"Wrath")</f>
        <v>Wrath</v>
      </c>
      <c r="C101" s="187">
        <f t="shared" si="1"/>
        <v>1</v>
      </c>
      <c r="D101" s="20" t="s">
        <v>2815</v>
      </c>
      <c r="E101" s="20">
        <v>1.0</v>
      </c>
    </row>
    <row r="102">
      <c r="A102" s="182" t="str">
        <f>IFERROR(__xludf.DUMMYFUNCTION("""COMPUTED_VALUE"""),"Ibis")</f>
        <v>Ibis</v>
      </c>
      <c r="B102" s="187" t="str">
        <f>IFERROR(__xludf.DUMMYFUNCTION("""COMPUTED_VALUE"""),"Pharaoh")</f>
        <v>Pharaoh</v>
      </c>
      <c r="C102" s="187">
        <f t="shared" si="1"/>
        <v>1</v>
      </c>
      <c r="D102" s="20" t="s">
        <v>2816</v>
      </c>
      <c r="E102" s="20">
        <v>1.0</v>
      </c>
    </row>
    <row r="103">
      <c r="A103" s="182" t="str">
        <f>IFERROR(__xludf.DUMMYFUNCTION("""COMPUTED_VALUE"""),"Ushabti")</f>
        <v>Ushabti</v>
      </c>
      <c r="B103" s="187" t="str">
        <f>IFERROR(__xludf.DUMMYFUNCTION("""COMPUTED_VALUE"""),"Bringer")</f>
        <v>Bringer</v>
      </c>
      <c r="C103" s="187">
        <f t="shared" si="1"/>
        <v>3</v>
      </c>
      <c r="D103" s="20" t="s">
        <v>2817</v>
      </c>
      <c r="E103" s="20">
        <v>1.0</v>
      </c>
    </row>
    <row r="104">
      <c r="A104" s="182"/>
      <c r="B104" s="187" t="str">
        <f>IFERROR(__xludf.DUMMYFUNCTION("""COMPUTED_VALUE"""),"Good")</f>
        <v>Good</v>
      </c>
      <c r="C104" s="187">
        <f t="shared" si="1"/>
        <v>1</v>
      </c>
      <c r="D104" s="20" t="s">
        <v>2818</v>
      </c>
      <c r="E104" s="20">
        <v>1.0</v>
      </c>
    </row>
    <row r="105">
      <c r="A105" s="182"/>
      <c r="B105" s="187" t="str">
        <f>IFERROR(__xludf.DUMMYFUNCTION("""COMPUTED_VALUE"""),"News")</f>
        <v>News</v>
      </c>
      <c r="C105" s="187">
        <f t="shared" si="1"/>
        <v>1</v>
      </c>
      <c r="D105" s="20" t="s">
        <v>2819</v>
      </c>
      <c r="E105" s="20">
        <v>1.0</v>
      </c>
    </row>
    <row r="106">
      <c r="A106" s="182"/>
      <c r="B106" s="187" t="str">
        <f>IFERROR(__xludf.DUMMYFUNCTION("""COMPUTED_VALUE"""),"Lightning")</f>
        <v>Lightning</v>
      </c>
      <c r="C106" s="187">
        <f t="shared" si="1"/>
        <v>2</v>
      </c>
      <c r="D106" s="20" t="s">
        <v>2820</v>
      </c>
      <c r="E106" s="20">
        <v>1.0</v>
      </c>
    </row>
    <row r="107">
      <c r="A107" s="182" t="str">
        <f>IFERROR(__xludf.DUMMYFUNCTION("""COMPUTED_VALUE"""),"Herald")</f>
        <v>Herald</v>
      </c>
      <c r="B107" s="187" t="str">
        <f>IFERROR(__xludf.DUMMYFUNCTION("""COMPUTED_VALUE"""),"Rider")</f>
        <v>Rider</v>
      </c>
      <c r="C107" s="187">
        <f t="shared" si="1"/>
        <v>2</v>
      </c>
      <c r="D107" s="20" t="s">
        <v>2821</v>
      </c>
      <c r="E107" s="20">
        <v>1.0</v>
      </c>
    </row>
    <row r="108">
      <c r="A108" s="182" t="str">
        <f>IFERROR(__xludf.DUMMYFUNCTION("""COMPUTED_VALUE"""),"of")</f>
        <v>of</v>
      </c>
      <c r="B108" s="187" t="str">
        <f>IFERROR(__xludf.DUMMYFUNCTION("""COMPUTED_VALUE"""),"Desertwind")</f>
        <v>Desertwind</v>
      </c>
      <c r="C108" s="187">
        <f t="shared" si="1"/>
        <v>1</v>
      </c>
      <c r="D108" s="20" t="s">
        <v>2822</v>
      </c>
      <c r="E108" s="20">
        <v>1.0</v>
      </c>
    </row>
    <row r="109">
      <c r="A109" s="182" t="str">
        <f>IFERROR(__xludf.DUMMYFUNCTION("""COMPUTED_VALUE"""),"Eternal")</f>
        <v>Eternal</v>
      </c>
      <c r="B109" s="187" t="str">
        <f>IFERROR(__xludf.DUMMYFUNCTION("""COMPUTED_VALUE"""),"Relic")</f>
        <v>Relic</v>
      </c>
      <c r="C109" s="187">
        <f t="shared" si="1"/>
        <v>1</v>
      </c>
      <c r="D109" s="20" t="s">
        <v>2823</v>
      </c>
      <c r="E109" s="20">
        <v>1.0</v>
      </c>
    </row>
    <row r="110">
      <c r="A110" s="182" t="str">
        <f>IFERROR(__xludf.DUMMYFUNCTION("""COMPUTED_VALUE"""),"Grace")</f>
        <v>Grace</v>
      </c>
      <c r="B110" s="187" t="str">
        <f>IFERROR(__xludf.DUMMYFUNCTION("""COMPUTED_VALUE"""),"Hunter")</f>
        <v>Hunter</v>
      </c>
      <c r="C110" s="187">
        <f t="shared" si="1"/>
        <v>1</v>
      </c>
      <c r="D110" s="20" t="s">
        <v>2824</v>
      </c>
      <c r="E110" s="20">
        <v>1.0</v>
      </c>
    </row>
    <row r="111">
      <c r="A111" s="182"/>
      <c r="B111" s="187" t="str">
        <f>IFERROR(__xludf.DUMMYFUNCTION("""COMPUTED_VALUE"""),"Exemplar")</f>
        <v>Exemplar</v>
      </c>
      <c r="C111" s="187">
        <f t="shared" si="1"/>
        <v>1</v>
      </c>
      <c r="D111" s="20" t="s">
        <v>2825</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2826</v>
      </c>
      <c r="E113" s="20">
        <v>1.0</v>
      </c>
    </row>
    <row r="114">
      <c r="A114" s="182" t="str">
        <f>IFERROR(__xludf.DUMMYFUNCTION("""COMPUTED_VALUE"""),"Sphinx")</f>
        <v>Sphinx</v>
      </c>
      <c r="B114" s="187" t="str">
        <f>IFERROR(__xludf.DUMMYFUNCTION("""COMPUTED_VALUE"""),"Pomegrake")</f>
        <v>Pomegrake</v>
      </c>
      <c r="C114" s="187">
        <f t="shared" si="1"/>
        <v>1</v>
      </c>
      <c r="D114" s="20" t="s">
        <v>2827</v>
      </c>
      <c r="E114" s="20">
        <v>1.0</v>
      </c>
    </row>
    <row r="115">
      <c r="A115" s="182"/>
      <c r="B115" s="187" t="str">
        <f>IFERROR(__xludf.DUMMYFUNCTION("""COMPUTED_VALUE"""),"Embalmer")</f>
        <v>Embalmer</v>
      </c>
      <c r="C115" s="187">
        <f t="shared" si="1"/>
        <v>1</v>
      </c>
      <c r="D115" s="20" t="s">
        <v>2828</v>
      </c>
      <c r="E115" s="20">
        <v>1.0</v>
      </c>
    </row>
    <row r="116">
      <c r="A116" s="182"/>
      <c r="B116" s="187" t="str">
        <f>IFERROR(__xludf.DUMMYFUNCTION("""COMPUTED_VALUE"""),"Carver")</f>
        <v>Carver</v>
      </c>
      <c r="C116" s="187">
        <f t="shared" si="1"/>
        <v>2</v>
      </c>
      <c r="D116" s="20" t="s">
        <v>2829</v>
      </c>
      <c r="E116" s="20">
        <v>1.0</v>
      </c>
    </row>
    <row r="117">
      <c r="A117" s="182" t="str">
        <f>IFERROR(__xludf.DUMMYFUNCTION("""COMPUTED_VALUE"""),"Ivoryscar")</f>
        <v>Ivoryscar</v>
      </c>
      <c r="B117" s="187" t="str">
        <f>IFERROR(__xludf.DUMMYFUNCTION("""COMPUTED_VALUE"""),"Shattercrown")</f>
        <v>Shattercrown</v>
      </c>
      <c r="C117" s="187">
        <f t="shared" si="1"/>
        <v>1</v>
      </c>
      <c r="D117" s="20" t="s">
        <v>2830</v>
      </c>
      <c r="E117" s="20">
        <v>1.0</v>
      </c>
    </row>
    <row r="118">
      <c r="A118" s="182" t="str">
        <f>IFERROR(__xludf.DUMMYFUNCTION("""COMPUTED_VALUE"""),"Cursewing")</f>
        <v>Cursewing</v>
      </c>
      <c r="B118" s="187" t="str">
        <f>IFERROR(__xludf.DUMMYFUNCTION("""COMPUTED_VALUE"""),"Luminary")</f>
        <v>Luminary</v>
      </c>
      <c r="C118" s="187">
        <f t="shared" si="1"/>
        <v>1</v>
      </c>
      <c r="D118" s="20" t="s">
        <v>2831</v>
      </c>
      <c r="E118" s="20">
        <v>1.0</v>
      </c>
    </row>
    <row r="119">
      <c r="A119" s="182"/>
      <c r="B119" s="187" t="str">
        <f>IFERROR(__xludf.DUMMYFUNCTION("""COMPUTED_VALUE"""),"Shepard")</f>
        <v>Shepard</v>
      </c>
      <c r="C119" s="187">
        <f t="shared" si="1"/>
        <v>1</v>
      </c>
      <c r="D119" s="20" t="s">
        <v>2832</v>
      </c>
      <c r="E119" s="20">
        <v>1.0</v>
      </c>
    </row>
    <row r="120">
      <c r="A120" s="182"/>
      <c r="B120" s="187" t="str">
        <f>IFERROR(__xludf.DUMMYFUNCTION("""COMPUTED_VALUE"""),"Morning")</f>
        <v>Morning</v>
      </c>
      <c r="C120" s="187">
        <f t="shared" si="1"/>
        <v>1</v>
      </c>
      <c r="D120" s="20" t="s">
        <v>2833</v>
      </c>
      <c r="E120" s="20">
        <v>1.0</v>
      </c>
    </row>
    <row r="121">
      <c r="A121" s="182"/>
      <c r="B121" s="187" t="str">
        <f>IFERROR(__xludf.DUMMYFUNCTION("""COMPUTED_VALUE"""),"Dew")</f>
        <v>Dew</v>
      </c>
      <c r="C121" s="187">
        <f t="shared" si="1"/>
        <v>1</v>
      </c>
      <c r="D121" s="20" t="s">
        <v>2834</v>
      </c>
      <c r="E121" s="20">
        <v>1.0</v>
      </c>
    </row>
    <row r="122">
      <c r="A122" s="182" t="str">
        <f>IFERROR(__xludf.DUMMYFUNCTION("""COMPUTED_VALUE"""),"Ivoryscar")</f>
        <v>Ivoryscar</v>
      </c>
      <c r="B122" s="187" t="str">
        <f>IFERROR(__xludf.DUMMYFUNCTION("""COMPUTED_VALUE"""),"Arboreal")</f>
        <v>Arboreal</v>
      </c>
      <c r="C122" s="187">
        <f t="shared" si="1"/>
        <v>1</v>
      </c>
      <c r="D122" s="20" t="s">
        <v>2835</v>
      </c>
      <c r="E122" s="20">
        <v>1.0</v>
      </c>
    </row>
    <row r="123">
      <c r="A123" s="182" t="str">
        <f>IFERROR(__xludf.DUMMYFUNCTION("""COMPUTED_VALUE"""),"Magistrate")</f>
        <v>Magistrate</v>
      </c>
      <c r="B123" s="187" t="str">
        <f>IFERROR(__xludf.DUMMYFUNCTION("""COMPUTED_VALUE"""),"Messenger")</f>
        <v>Messenger</v>
      </c>
      <c r="C123" s="187">
        <f t="shared" si="1"/>
        <v>1</v>
      </c>
      <c r="D123" s="20" t="s">
        <v>2836</v>
      </c>
      <c r="E123" s="20">
        <v>1.0</v>
      </c>
    </row>
    <row r="124">
      <c r="A124" s="182"/>
      <c r="B124" s="187" t="str">
        <f>IFERROR(__xludf.DUMMYFUNCTION("""COMPUTED_VALUE"""),"Auric")</f>
        <v>Auric</v>
      </c>
      <c r="C124" s="187">
        <f t="shared" si="1"/>
        <v>1</v>
      </c>
      <c r="D124" s="20" t="s">
        <v>2837</v>
      </c>
      <c r="E124" s="20">
        <v>1.0</v>
      </c>
    </row>
    <row r="125">
      <c r="A125" s="182"/>
      <c r="B125" s="187" t="str">
        <f>IFERROR(__xludf.DUMMYFUNCTION("""COMPUTED_VALUE"""),"Ant")</f>
        <v>Ant</v>
      </c>
      <c r="C125" s="187">
        <f t="shared" si="1"/>
        <v>2</v>
      </c>
      <c r="D125" s="20" t="s">
        <v>2838</v>
      </c>
      <c r="E125" s="20">
        <v>1.0</v>
      </c>
    </row>
    <row r="126">
      <c r="A126" s="182"/>
      <c r="B126" s="187" t="str">
        <f>IFERROR(__xludf.DUMMYFUNCTION("""COMPUTED_VALUE"""),"Regent")</f>
        <v>Regent</v>
      </c>
      <c r="C126" s="187">
        <f t="shared" si="1"/>
        <v>1</v>
      </c>
      <c r="D126" s="20" t="s">
        <v>2839</v>
      </c>
      <c r="E126" s="20">
        <v>1.0</v>
      </c>
    </row>
    <row r="127">
      <c r="A127" s="182" t="str">
        <f>IFERROR(__xludf.DUMMYFUNCTION("""COMPUTED_VALUE"""),"Kylix")</f>
        <v>Kylix</v>
      </c>
      <c r="B127" s="187" t="str">
        <f>IFERROR(__xludf.DUMMYFUNCTION("""COMPUTED_VALUE"""),"Blessing")</f>
        <v>Blessing</v>
      </c>
      <c r="C127" s="187">
        <f t="shared" si="1"/>
        <v>1</v>
      </c>
      <c r="D127" s="20" t="s">
        <v>2840</v>
      </c>
      <c r="E127" s="20">
        <v>1.0</v>
      </c>
    </row>
    <row r="128">
      <c r="A128" s="182" t="str">
        <f>IFERROR(__xludf.DUMMYFUNCTION("""COMPUTED_VALUE"""),"of")</f>
        <v>of</v>
      </c>
      <c r="B128" s="187" t="str">
        <f>IFERROR(__xludf.DUMMYFUNCTION("""COMPUTED_VALUE"""),"Bestower")</f>
        <v>Bestower</v>
      </c>
      <c r="C128" s="187">
        <f t="shared" si="1"/>
        <v>1</v>
      </c>
      <c r="D128" s="20" t="s">
        <v>2841</v>
      </c>
      <c r="E128" s="20">
        <v>1.0</v>
      </c>
    </row>
    <row r="129">
      <c r="A129" s="182" t="str">
        <f>IFERROR(__xludf.DUMMYFUNCTION("""COMPUTED_VALUE"""),"Excess")</f>
        <v>Excess</v>
      </c>
      <c r="B129" s="187" t="str">
        <f>IFERROR(__xludf.DUMMYFUNCTION("""COMPUTED_VALUE"""),"Waypost")</f>
        <v>Waypost</v>
      </c>
      <c r="C129" s="187">
        <f t="shared" si="1"/>
        <v>1</v>
      </c>
      <c r="D129" s="20" t="s">
        <v>2842</v>
      </c>
      <c r="E129" s="20">
        <v>1.0</v>
      </c>
    </row>
    <row r="130">
      <c r="A130" s="182"/>
      <c r="B130" s="187" t="str">
        <f>IFERROR(__xludf.DUMMYFUNCTION("""COMPUTED_VALUE"""),"Crimson")</f>
        <v>Crimson</v>
      </c>
      <c r="C130" s="187">
        <f t="shared" si="1"/>
        <v>1</v>
      </c>
      <c r="D130" s="20" t="s">
        <v>2843</v>
      </c>
      <c r="E130" s="20">
        <v>1.0</v>
      </c>
    </row>
    <row r="131">
      <c r="A131" s="182"/>
      <c r="B131" s="187" t="str">
        <f>IFERROR(__xludf.DUMMYFUNCTION("""COMPUTED_VALUE"""),"Flamechick")</f>
        <v>Flamechick</v>
      </c>
      <c r="C131" s="187">
        <f t="shared" si="1"/>
        <v>1</v>
      </c>
      <c r="D131" s="20" t="s">
        <v>2844</v>
      </c>
      <c r="E131" s="20">
        <v>1.0</v>
      </c>
    </row>
    <row r="132">
      <c r="A132" s="182" t="str">
        <f>IFERROR(__xludf.DUMMYFUNCTION("""COMPUTED_VALUE"""),"Mystic")</f>
        <v>Mystic</v>
      </c>
      <c r="B132" s="187" t="str">
        <f>IFERROR(__xludf.DUMMYFUNCTION("""COMPUTED_VALUE"""),"Ascended")</f>
        <v>Ascended</v>
      </c>
      <c r="C132" s="187">
        <f t="shared" si="1"/>
        <v>1</v>
      </c>
      <c r="D132" s="20" t="s">
        <v>2845</v>
      </c>
      <c r="E132" s="20">
        <v>1.0</v>
      </c>
    </row>
    <row r="133">
      <c r="A133" s="182" t="str">
        <f>IFERROR(__xludf.DUMMYFUNCTION("""COMPUTED_VALUE"""),"Puzzle")</f>
        <v>Puzzle</v>
      </c>
      <c r="B133" s="187" t="str">
        <f>IFERROR(__xludf.DUMMYFUNCTION("""COMPUTED_VALUE"""),"One")</f>
        <v>One</v>
      </c>
      <c r="C133" s="187">
        <f t="shared" si="1"/>
        <v>2</v>
      </c>
      <c r="D133" s="20" t="s">
        <v>2846</v>
      </c>
      <c r="E133" s="20">
        <v>1.0</v>
      </c>
    </row>
    <row r="134">
      <c r="A134" s="182" t="str">
        <f>IFERROR(__xludf.DUMMYFUNCTION("""COMPUTED_VALUE"""),"Box")</f>
        <v>Box</v>
      </c>
      <c r="B134" s="187" t="str">
        <f>IFERROR(__xludf.DUMMYFUNCTION("""COMPUTED_VALUE"""),"Rubyskull")</f>
        <v>Rubyskull</v>
      </c>
      <c r="C134" s="187">
        <f t="shared" si="1"/>
        <v>1</v>
      </c>
      <c r="D134" s="20" t="s">
        <v>2847</v>
      </c>
      <c r="E134" s="20">
        <v>1.0</v>
      </c>
    </row>
    <row r="135">
      <c r="A135" s="182"/>
      <c r="B135" s="187" t="str">
        <f>IFERROR(__xludf.DUMMYFUNCTION("""COMPUTED_VALUE"""),"Blackwing")</f>
        <v>Blackwing</v>
      </c>
      <c r="C135" s="187">
        <f t="shared" si="1"/>
        <v>1</v>
      </c>
      <c r="D135" s="20" t="s">
        <v>2848</v>
      </c>
      <c r="E135" s="20">
        <v>1.0</v>
      </c>
    </row>
    <row r="136">
      <c r="A136" s="182"/>
      <c r="B136" s="187" t="str">
        <f>IFERROR(__xludf.DUMMYFUNCTION("""COMPUTED_VALUE"""),"Usurper")</f>
        <v>Usurper</v>
      </c>
      <c r="C136" s="187">
        <f t="shared" si="1"/>
        <v>1</v>
      </c>
      <c r="D136" s="20" t="s">
        <v>2849</v>
      </c>
      <c r="E136" s="20">
        <v>1.0</v>
      </c>
    </row>
    <row r="137">
      <c r="A137" s="182" t="str">
        <f>IFERROR(__xludf.DUMMYFUNCTION("""COMPUTED_VALUE"""),"Monolith")</f>
        <v>Monolith</v>
      </c>
      <c r="B137" s="187" t="str">
        <f>IFERROR(__xludf.DUMMYFUNCTION("""COMPUTED_VALUE"""),"Celestial")</f>
        <v>Celestial</v>
      </c>
      <c r="C137" s="187">
        <f t="shared" si="1"/>
        <v>1</v>
      </c>
      <c r="D137" s="20" t="s">
        <v>2850</v>
      </c>
      <c r="E137" s="20">
        <v>1.0</v>
      </c>
    </row>
    <row r="138">
      <c r="A138" s="182" t="str">
        <f>IFERROR(__xludf.DUMMYFUNCTION("""COMPUTED_VALUE"""),"of")</f>
        <v>of</v>
      </c>
      <c r="B138" s="187" t="str">
        <f>IFERROR(__xludf.DUMMYFUNCTION("""COMPUTED_VALUE"""),"Second")</f>
        <v>Second</v>
      </c>
      <c r="C138" s="187">
        <f t="shared" si="1"/>
        <v>1</v>
      </c>
      <c r="D138" s="20" t="s">
        <v>2851</v>
      </c>
      <c r="E138" s="20">
        <v>1.0</v>
      </c>
    </row>
    <row r="139">
      <c r="A139" s="182" t="str">
        <f>IFERROR(__xludf.DUMMYFUNCTION("""COMPUTED_VALUE"""),"Meditation")</f>
        <v>Meditation</v>
      </c>
      <c r="B139" s="187" t="str">
        <f>IFERROR(__xludf.DUMMYFUNCTION("""COMPUTED_VALUE"""),"Wing")</f>
        <v>Wing</v>
      </c>
      <c r="C139" s="187">
        <f t="shared" si="1"/>
        <v>1</v>
      </c>
      <c r="D139" s="20" t="s">
        <v>2852</v>
      </c>
      <c r="E139" s="20">
        <v>1.0</v>
      </c>
    </row>
    <row r="140">
      <c r="A140" s="182"/>
      <c r="B140" s="187" t="str">
        <f>IFERROR(__xludf.DUMMYFUNCTION("""COMPUTED_VALUE"""),"Fatebreaker")</f>
        <v>Fatebreaker</v>
      </c>
      <c r="C140" s="187">
        <f t="shared" si="1"/>
        <v>1</v>
      </c>
      <c r="D140" s="20" t="s">
        <v>2853</v>
      </c>
      <c r="E140" s="20">
        <v>1.0</v>
      </c>
    </row>
    <row r="141">
      <c r="A141" s="182"/>
      <c r="B141" s="187" t="str">
        <f>IFERROR(__xludf.DUMMYFUNCTION("""COMPUTED_VALUE"""),"Moon")</f>
        <v>Moon</v>
      </c>
      <c r="C141" s="187">
        <f t="shared" si="1"/>
        <v>2</v>
      </c>
      <c r="D141" s="20" t="s">
        <v>2854</v>
      </c>
      <c r="E141" s="20">
        <v>1.0</v>
      </c>
    </row>
    <row r="142">
      <c r="A142" s="182" t="str">
        <f>IFERROR(__xludf.DUMMYFUNCTION("""COMPUTED_VALUE"""),"Oasis")</f>
        <v>Oasis</v>
      </c>
      <c r="B142" s="187" t="str">
        <f>IFERROR(__xludf.DUMMYFUNCTION("""COMPUTED_VALUE"""),"Priestess")</f>
        <v>Priestess</v>
      </c>
      <c r="C142" s="187">
        <f t="shared" si="1"/>
        <v>1</v>
      </c>
      <c r="D142" s="20" t="s">
        <v>2855</v>
      </c>
      <c r="E142" s="20">
        <v>1.0</v>
      </c>
    </row>
    <row r="143">
      <c r="A143" s="182" t="str">
        <f>IFERROR(__xludf.DUMMYFUNCTION("""COMPUTED_VALUE"""),"Sprite")</f>
        <v>Sprite</v>
      </c>
      <c r="B143" s="187" t="str">
        <f>IFERROR(__xludf.DUMMYFUNCTION("""COMPUTED_VALUE"""),"Airstep")</f>
        <v>Airstep</v>
      </c>
      <c r="C143" s="187">
        <f t="shared" si="1"/>
        <v>1</v>
      </c>
      <c r="D143" s="20" t="s">
        <v>2856</v>
      </c>
      <c r="E143" s="20">
        <v>1.0</v>
      </c>
    </row>
    <row r="144">
      <c r="A144" s="182"/>
      <c r="B144" s="187" t="str">
        <f>IFERROR(__xludf.DUMMYFUNCTION("""COMPUTED_VALUE"""),"Sifu")</f>
        <v>Sifu</v>
      </c>
      <c r="C144" s="187">
        <f t="shared" si="1"/>
        <v>1</v>
      </c>
      <c r="D144" s="20" t="s">
        <v>2857</v>
      </c>
      <c r="E144" s="20">
        <v>1.0</v>
      </c>
    </row>
    <row r="145">
      <c r="A145" s="182"/>
      <c r="B145" s="187" t="str">
        <f>IFERROR(__xludf.DUMMYFUNCTION("""COMPUTED_VALUE"""),"Moonspear")</f>
        <v>Moonspear</v>
      </c>
      <c r="C145" s="187">
        <f t="shared" si="1"/>
        <v>4</v>
      </c>
      <c r="D145" s="20" t="s">
        <v>2858</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2859</v>
      </c>
      <c r="E147" s="20">
        <v>1.0</v>
      </c>
    </row>
    <row r="148">
      <c r="A148" s="182" t="str">
        <f>IFERROR(__xludf.DUMMYFUNCTION("""COMPUTED_VALUE"""),"Bodyguard")</f>
        <v>Bodyguard</v>
      </c>
      <c r="B148" s="187" t="str">
        <f>IFERROR(__xludf.DUMMYFUNCTION("""COMPUTED_VALUE"""),"Grandmaster")</f>
        <v>Grandmaster</v>
      </c>
      <c r="C148" s="187">
        <f t="shared" si="1"/>
        <v>1</v>
      </c>
      <c r="D148" s="20" t="s">
        <v>2860</v>
      </c>
      <c r="E148" s="20">
        <v>1.0</v>
      </c>
    </row>
    <row r="149">
      <c r="A149" s="182"/>
      <c r="B149" s="187" t="str">
        <f>IFERROR(__xludf.DUMMYFUNCTION("""COMPUTED_VALUE"""),"Auraborne")</f>
        <v>Auraborne</v>
      </c>
      <c r="C149" s="187">
        <f t="shared" si="1"/>
        <v>1</v>
      </c>
      <c r="D149" s="20" t="s">
        <v>2861</v>
      </c>
      <c r="E149" s="20">
        <v>1.0</v>
      </c>
    </row>
    <row r="150">
      <c r="A150" s="182"/>
      <c r="B150" s="187" t="str">
        <f>IFERROR(__xludf.DUMMYFUNCTION("""COMPUTED_VALUE"""),"Wyvern")</f>
        <v>Wyvern</v>
      </c>
      <c r="C150" s="187">
        <f t="shared" si="1"/>
        <v>3</v>
      </c>
      <c r="D150" s="20" t="s">
        <v>2862</v>
      </c>
      <c r="E150" s="20">
        <v>1.0</v>
      </c>
    </row>
    <row r="151">
      <c r="A151" s="182"/>
      <c r="B151" s="187" t="str">
        <f>IFERROR(__xludf.DUMMYFUNCTION("""COMPUTED_VALUE"""),"Blazecharm")</f>
        <v>Blazecharm</v>
      </c>
      <c r="C151" s="187">
        <f t="shared" si="1"/>
        <v>1</v>
      </c>
      <c r="D151" s="20" t="s">
        <v>2863</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2864</v>
      </c>
      <c r="E153" s="20">
        <v>1.0</v>
      </c>
    </row>
    <row r="154">
      <c r="A154" s="182"/>
      <c r="B154" s="187" t="str">
        <f>IFERROR(__xludf.DUMMYFUNCTION("""COMPUTED_VALUE"""),"Gearhulk")</f>
        <v>Gearhulk</v>
      </c>
      <c r="C154" s="187">
        <f t="shared" si="1"/>
        <v>1</v>
      </c>
      <c r="D154" s="20" t="s">
        <v>2865</v>
      </c>
      <c r="E154" s="20">
        <v>1.0</v>
      </c>
    </row>
    <row r="155">
      <c r="A155" s="182"/>
      <c r="B155" s="187" t="str">
        <f>IFERROR(__xludf.DUMMYFUNCTION("""COMPUTED_VALUE"""),"Boiling")</f>
        <v>Boiling</v>
      </c>
      <c r="C155" s="187">
        <f t="shared" si="1"/>
        <v>1</v>
      </c>
      <c r="D155" s="20" t="s">
        <v>2866</v>
      </c>
      <c r="E155" s="20">
        <v>1.0</v>
      </c>
    </row>
    <row r="156">
      <c r="A156" s="182"/>
      <c r="B156" s="187" t="str">
        <f>IFERROR(__xludf.DUMMYFUNCTION("""COMPUTED_VALUE"""),"Blood")</f>
        <v>Blood</v>
      </c>
      <c r="C156" s="187">
        <f t="shared" si="1"/>
        <v>2</v>
      </c>
      <c r="D156" s="20" t="s">
        <v>2867</v>
      </c>
      <c r="E156" s="20">
        <v>1.0</v>
      </c>
    </row>
    <row r="157">
      <c r="A157" s="182" t="str">
        <f>IFERROR(__xludf.DUMMYFUNCTION("""COMPUTED_VALUE"""),"Pyramidion")</f>
        <v>Pyramidion</v>
      </c>
      <c r="B157" s="187" t="str">
        <f>IFERROR(__xludf.DUMMYFUNCTION("""COMPUTED_VALUE"""),"Berserker")</f>
        <v>Berserker</v>
      </c>
      <c r="C157" s="187">
        <f t="shared" si="1"/>
        <v>1</v>
      </c>
      <c r="D157" s="20" t="s">
        <v>2868</v>
      </c>
      <c r="E157" s="20">
        <v>1.0</v>
      </c>
    </row>
    <row r="158">
      <c r="A158" s="182"/>
      <c r="B158" s="187" t="str">
        <f>IFERROR(__xludf.DUMMYFUNCTION("""COMPUTED_VALUE"""),"Goat")</f>
        <v>Goat</v>
      </c>
      <c r="C158" s="187">
        <f t="shared" si="1"/>
        <v>1</v>
      </c>
      <c r="D158" s="20" t="s">
        <v>2869</v>
      </c>
      <c r="E158" s="20">
        <v>1.0</v>
      </c>
    </row>
    <row r="159">
      <c r="A159" s="182"/>
      <c r="B159" s="187" t="str">
        <f>IFERROR(__xludf.DUMMYFUNCTION("""COMPUTED_VALUE"""),"Oracle")</f>
        <v>Oracle</v>
      </c>
      <c r="C159" s="187">
        <f t="shared" si="1"/>
        <v>2</v>
      </c>
      <c r="D159" s="20" t="s">
        <v>2870</v>
      </c>
      <c r="E159" s="20">
        <v>1.0</v>
      </c>
    </row>
    <row r="160">
      <c r="A160" s="182"/>
      <c r="B160" s="187" t="str">
        <f>IFERROR(__xludf.DUMMYFUNCTION("""COMPUTED_VALUE"""),"Sagehorn")</f>
        <v>Sagehorn</v>
      </c>
      <c r="C160" s="187">
        <f t="shared" si="1"/>
        <v>1</v>
      </c>
      <c r="D160" s="20" t="s">
        <v>2871</v>
      </c>
      <c r="E160" s="20">
        <v>1.0</v>
      </c>
    </row>
    <row r="161">
      <c r="A161" s="182"/>
      <c r="B161" s="187" t="str">
        <f>IFERROR(__xludf.DUMMYFUNCTION("""COMPUTED_VALUE"""),"Sunblessed")</f>
        <v>Sunblessed</v>
      </c>
      <c r="C161" s="187">
        <f t="shared" si="1"/>
        <v>1</v>
      </c>
      <c r="D161" s="20" t="s">
        <v>2872</v>
      </c>
      <c r="E161" s="20">
        <v>1.0</v>
      </c>
    </row>
    <row r="162">
      <c r="A162" s="182" t="str">
        <f>IFERROR(__xludf.DUMMYFUNCTION("""COMPUTED_VALUE"""),"Sekhem")</f>
        <v>Sekhem</v>
      </c>
      <c r="B162" s="187" t="str">
        <f>IFERROR(__xludf.DUMMYFUNCTION("""COMPUTED_VALUE"""),"Crocodile")</f>
        <v>Crocodile</v>
      </c>
      <c r="C162" s="187">
        <f t="shared" si="1"/>
        <v>1</v>
      </c>
      <c r="D162" s="20" t="s">
        <v>2873</v>
      </c>
      <c r="E162" s="20">
        <v>1.0</v>
      </c>
    </row>
    <row r="163">
      <c r="A163" s="182" t="str">
        <f>IFERROR(__xludf.DUMMYFUNCTION("""COMPUTED_VALUE"""),"Chariot")</f>
        <v>Chariot</v>
      </c>
      <c r="B163" s="187" t="str">
        <f>IFERROR(__xludf.DUMMYFUNCTION("""COMPUTED_VALUE"""),"Kois")</f>
        <v>Kois</v>
      </c>
      <c r="C163" s="187">
        <f t="shared" si="1"/>
        <v>1</v>
      </c>
      <c r="D163" s="20" t="s">
        <v>2874</v>
      </c>
      <c r="E163" s="20">
        <v>1.0</v>
      </c>
    </row>
    <row r="164">
      <c r="A164" s="182"/>
      <c r="B164" s="187" t="str">
        <f>IFERROR(__xludf.DUMMYFUNCTION("""COMPUTED_VALUE"""),"Duality")</f>
        <v>Duality</v>
      </c>
      <c r="C164" s="187">
        <f t="shared" si="1"/>
        <v>1</v>
      </c>
      <c r="D164" s="20" t="s">
        <v>2875</v>
      </c>
      <c r="E164" s="20">
        <v>1.0</v>
      </c>
    </row>
    <row r="165">
      <c r="A165" s="182"/>
      <c r="B165" s="187" t="str">
        <f>IFERROR(__xludf.DUMMYFUNCTION("""COMPUTED_VALUE"""),"Eclipsion")</f>
        <v>Eclipsion</v>
      </c>
      <c r="C165" s="187">
        <f t="shared" si="1"/>
        <v>1</v>
      </c>
      <c r="D165" s="20" t="s">
        <v>2876</v>
      </c>
      <c r="E165" s="20">
        <v>1.0</v>
      </c>
    </row>
    <row r="166">
      <c r="A166" s="182"/>
      <c r="B166" s="187" t="str">
        <f>IFERROR(__xludf.DUMMYFUNCTION("""COMPUTED_VALUE"""),"Fallen")</f>
        <v>Fallen</v>
      </c>
      <c r="C166" s="187">
        <f t="shared" si="1"/>
        <v>1</v>
      </c>
      <c r="D166" s="20" t="s">
        <v>2877</v>
      </c>
      <c r="E166" s="20">
        <v>1.0</v>
      </c>
    </row>
    <row r="167">
      <c r="A167" s="182" t="str">
        <f>IFERROR(__xludf.DUMMYFUNCTION("""COMPUTED_VALUE"""),"Obsidian")</f>
        <v>Obsidian</v>
      </c>
      <c r="B167" s="187" t="str">
        <f>IFERROR(__xludf.DUMMYFUNCTION("""COMPUTED_VALUE"""),"Diamond")</f>
        <v>Diamond</v>
      </c>
      <c r="C167" s="187">
        <f t="shared" si="1"/>
        <v>1</v>
      </c>
      <c r="D167" s="20" t="s">
        <v>2878</v>
      </c>
      <c r="E167" s="20">
        <v>1.0</v>
      </c>
    </row>
    <row r="168">
      <c r="A168" s="182" t="str">
        <f>IFERROR(__xludf.DUMMYFUNCTION("""COMPUTED_VALUE"""),"Scarab")</f>
        <v>Scarab</v>
      </c>
      <c r="B168" s="187" t="str">
        <f>IFERROR(__xludf.DUMMYFUNCTION("""COMPUTED_VALUE"""),"Phantom")</f>
        <v>Phantom</v>
      </c>
      <c r="C168" s="187">
        <f t="shared" si="1"/>
        <v>1</v>
      </c>
      <c r="D168" s="20" t="s">
        <v>2879</v>
      </c>
      <c r="E168" s="20">
        <v>1.0</v>
      </c>
    </row>
    <row r="169">
      <c r="A169" s="182"/>
      <c r="B169" s="187" t="str">
        <f>IFERROR(__xludf.DUMMYFUNCTION("""COMPUTED_VALUE"""),"Draconic")</f>
        <v>Draconic</v>
      </c>
      <c r="C169" s="187">
        <f t="shared" si="1"/>
        <v>1</v>
      </c>
      <c r="D169" s="20" t="s">
        <v>2880</v>
      </c>
      <c r="E169" s="20">
        <v>1.0</v>
      </c>
    </row>
    <row r="170">
      <c r="A170" s="182"/>
      <c r="B170" s="187" t="str">
        <f>IFERROR(__xludf.DUMMYFUNCTION("""COMPUTED_VALUE"""),"Highpriest")</f>
        <v>Highpriest</v>
      </c>
      <c r="C170" s="187">
        <f t="shared" si="1"/>
        <v>1</v>
      </c>
      <c r="D170" s="20" t="s">
        <v>2881</v>
      </c>
      <c r="E170" s="20">
        <v>1.0</v>
      </c>
    </row>
    <row r="171">
      <c r="A171" s="182"/>
      <c r="B171" s="187" t="str">
        <f>IFERROR(__xludf.DUMMYFUNCTION("""COMPUTED_VALUE"""),"Cavern")</f>
        <v>Cavern</v>
      </c>
      <c r="C171" s="187">
        <f t="shared" si="1"/>
        <v>1</v>
      </c>
      <c r="D171" s="20" t="s">
        <v>2882</v>
      </c>
      <c r="E171" s="20">
        <v>1.0</v>
      </c>
    </row>
    <row r="172">
      <c r="A172" s="182" t="str">
        <f>IFERROR(__xludf.DUMMYFUNCTION("""COMPUTED_VALUE"""),"Solarsteel")</f>
        <v>Solarsteel</v>
      </c>
      <c r="B172" s="187" t="str">
        <f>IFERROR(__xludf.DUMMYFUNCTION("""COMPUTED_VALUE"""),"Lindwurm")</f>
        <v>Lindwurm</v>
      </c>
      <c r="C172" s="187">
        <f t="shared" si="1"/>
        <v>1</v>
      </c>
      <c r="D172" s="20" t="s">
        <v>2883</v>
      </c>
      <c r="E172" s="20">
        <v>1.0</v>
      </c>
    </row>
    <row r="173">
      <c r="A173" s="182" t="str">
        <f>IFERROR(__xludf.DUMMYFUNCTION("""COMPUTED_VALUE"""),"Prodigy")</f>
        <v>Prodigy</v>
      </c>
      <c r="B173" s="187" t="str">
        <f>IFERROR(__xludf.DUMMYFUNCTION("""COMPUTED_VALUE"""),"Cheerful")</f>
        <v>Cheerful</v>
      </c>
      <c r="C173" s="187">
        <f t="shared" si="1"/>
        <v>1</v>
      </c>
      <c r="D173" s="20" t="s">
        <v>2884</v>
      </c>
      <c r="E173" s="20">
        <v>1.0</v>
      </c>
    </row>
    <row r="174">
      <c r="A174" s="182"/>
      <c r="B174" s="187" t="str">
        <f>IFERROR(__xludf.DUMMYFUNCTION("""COMPUTED_VALUE"""),"Pixies")</f>
        <v>Pixies</v>
      </c>
      <c r="C174" s="187">
        <f t="shared" si="1"/>
        <v>1</v>
      </c>
      <c r="D174" s="20" t="s">
        <v>2885</v>
      </c>
      <c r="E174" s="20">
        <v>1.0</v>
      </c>
    </row>
    <row r="175">
      <c r="A175" s="182"/>
      <c r="B175" s="187" t="str">
        <f>IFERROR(__xludf.DUMMYFUNCTION("""COMPUTED_VALUE"""),"Cinderguard")</f>
        <v>Cinderguard</v>
      </c>
      <c r="C175" s="187">
        <f t="shared" si="1"/>
        <v>5</v>
      </c>
      <c r="D175" s="20" t="s">
        <v>2886</v>
      </c>
      <c r="E175" s="20">
        <v>1.0</v>
      </c>
    </row>
    <row r="176">
      <c r="A176" s="182"/>
      <c r="B176" s="187" t="str">
        <f>IFERROR(__xludf.DUMMYFUNCTION("""COMPUTED_VALUE"""),"Scribe")</f>
        <v>Scribe</v>
      </c>
      <c r="C176" s="187">
        <f t="shared" si="1"/>
        <v>1</v>
      </c>
      <c r="D176" s="20" t="s">
        <v>2887</v>
      </c>
      <c r="E176" s="20">
        <v>1.0</v>
      </c>
    </row>
    <row r="177">
      <c r="A177" s="182" t="str">
        <f>IFERROR(__xludf.DUMMYFUNCTION("""COMPUTED_VALUE"""),"Starforger")</f>
        <v>Starforger</v>
      </c>
      <c r="B177" s="187" t="str">
        <f>IFERROR(__xludf.DUMMYFUNCTION("""COMPUTED_VALUE"""),"Daredevil")</f>
        <v>Daredevil</v>
      </c>
      <c r="C177" s="187">
        <f t="shared" si="1"/>
        <v>1</v>
      </c>
      <c r="D177" s="20" t="s">
        <v>2888</v>
      </c>
      <c r="E177" s="20">
        <v>1.0</v>
      </c>
    </row>
    <row r="178">
      <c r="A178" s="182"/>
      <c r="B178" s="187" t="str">
        <f>IFERROR(__xludf.DUMMYFUNCTION("""COMPUTED_VALUE"""),"Duo")</f>
        <v>Duo</v>
      </c>
      <c r="C178" s="187">
        <f t="shared" si="1"/>
        <v>1</v>
      </c>
      <c r="D178" s="20" t="s">
        <v>2889</v>
      </c>
      <c r="E178" s="20">
        <v>1.0</v>
      </c>
    </row>
    <row r="179">
      <c r="A179" s="182"/>
      <c r="B179" s="187" t="str">
        <f>IFERROR(__xludf.DUMMYFUNCTION("""COMPUTED_VALUE"""),"Beetle")</f>
        <v>Beetle</v>
      </c>
      <c r="C179" s="187">
        <f t="shared" si="1"/>
        <v>3</v>
      </c>
      <c r="D179" s="20" t="s">
        <v>2890</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2891</v>
      </c>
      <c r="E181" s="20">
        <v>1.0</v>
      </c>
    </row>
    <row r="182">
      <c r="A182" s="182" t="str">
        <f>IFERROR(__xludf.DUMMYFUNCTION("""COMPUTED_VALUE"""),"Swiftblade")</f>
        <v>Swiftblade</v>
      </c>
      <c r="B182" s="187" t="str">
        <f>IFERROR(__xludf.DUMMYFUNCTION("""COMPUTED_VALUE"""),"Floating")</f>
        <v>Floating</v>
      </c>
      <c r="C182" s="187">
        <f t="shared" si="1"/>
        <v>1</v>
      </c>
      <c r="D182" s="20" t="s">
        <v>2892</v>
      </c>
      <c r="E182" s="20">
        <v>1.0</v>
      </c>
    </row>
    <row r="183">
      <c r="A183" s="182" t="str">
        <f>IFERROR(__xludf.DUMMYFUNCTION("""COMPUTED_VALUE"""),"Revenger")</f>
        <v>Revenger</v>
      </c>
      <c r="B183" s="187" t="str">
        <f>IFERROR(__xludf.DUMMYFUNCTION("""COMPUTED_VALUE"""),"Djinn")</f>
        <v>Djinn</v>
      </c>
      <c r="C183" s="187">
        <f t="shared" si="1"/>
        <v>1</v>
      </c>
      <c r="D183" s="20" t="s">
        <v>2893</v>
      </c>
      <c r="E183" s="20">
        <v>1.0</v>
      </c>
    </row>
    <row r="184">
      <c r="A184" s="182"/>
      <c r="B184" s="187" t="str">
        <f>IFERROR(__xludf.DUMMYFUNCTION("""COMPUTED_VALUE"""),"Dewdrop")</f>
        <v>Dewdrop</v>
      </c>
      <c r="C184" s="187">
        <f t="shared" si="1"/>
        <v>1</v>
      </c>
      <c r="D184" s="20" t="s">
        <v>2894</v>
      </c>
      <c r="E184" s="20">
        <v>1.0</v>
      </c>
    </row>
    <row r="185">
      <c r="A185" s="182"/>
      <c r="B185" s="187" t="str">
        <f>IFERROR(__xludf.DUMMYFUNCTION("""COMPUTED_VALUE"""),"Dragon")</f>
        <v>Dragon</v>
      </c>
      <c r="C185" s="187">
        <f t="shared" si="1"/>
        <v>6</v>
      </c>
      <c r="D185" s="20" t="s">
        <v>2895</v>
      </c>
      <c r="E185" s="20">
        <v>1.0</v>
      </c>
    </row>
    <row r="186">
      <c r="A186" s="182"/>
      <c r="B186" s="187" t="str">
        <f>IFERROR(__xludf.DUMMYFUNCTION("""COMPUTED_VALUE"""),"Egg")</f>
        <v>Egg</v>
      </c>
      <c r="C186" s="187">
        <f t="shared" si="1"/>
        <v>1</v>
      </c>
      <c r="D186" s="20" t="s">
        <v>2896</v>
      </c>
      <c r="E186" s="20">
        <v>1.0</v>
      </c>
    </row>
    <row r="187">
      <c r="A187" s="182" t="str">
        <f>IFERROR(__xludf.DUMMYFUNCTION("""COMPUTED_VALUE"""),"The")</f>
        <v>The</v>
      </c>
      <c r="B187" s="187" t="str">
        <f>IFERROR(__xludf.DUMMYFUNCTION("""COMPUTED_VALUE"""),"Dustdance")</f>
        <v>Dustdance</v>
      </c>
      <c r="C187" s="187">
        <f t="shared" si="1"/>
        <v>1</v>
      </c>
      <c r="D187" s="20" t="s">
        <v>2897</v>
      </c>
      <c r="E187" s="20">
        <v>1.0</v>
      </c>
    </row>
    <row r="188">
      <c r="A188" s="182" t="str">
        <f>IFERROR(__xludf.DUMMYFUNCTION("""COMPUTED_VALUE"""),"Kitty")</f>
        <v>Kitty</v>
      </c>
      <c r="B188" s="187" t="str">
        <f>IFERROR(__xludf.DUMMYFUNCTION("""COMPUTED_VALUE"""),"Efreet")</f>
        <v>Efreet</v>
      </c>
      <c r="C188" s="187">
        <f t="shared" si="1"/>
        <v>1</v>
      </c>
      <c r="D188" s="20" t="s">
        <v>2898</v>
      </c>
      <c r="E188" s="20">
        <v>1.0</v>
      </c>
    </row>
    <row r="189">
      <c r="A189" s="182" t="str">
        <f>IFERROR(__xludf.DUMMYFUNCTION("""COMPUTED_VALUE"""),"of")</f>
        <v>of</v>
      </c>
      <c r="B189" s="187" t="str">
        <f>IFERROR(__xludf.DUMMYFUNCTION("""COMPUTED_VALUE"""),"Hermit")</f>
        <v>Hermit</v>
      </c>
      <c r="C189" s="187">
        <f t="shared" si="1"/>
        <v>3</v>
      </c>
      <c r="D189" s="20" t="s">
        <v>2899</v>
      </c>
      <c r="E189" s="20">
        <v>1.0</v>
      </c>
    </row>
    <row r="190">
      <c r="A190" s="182" t="str">
        <f>IFERROR(__xludf.DUMMYFUNCTION("""COMPUTED_VALUE"""),"Thamiel")</f>
        <v>Thamiel</v>
      </c>
      <c r="B190" s="187" t="str">
        <f>IFERROR(__xludf.DUMMYFUNCTION("""COMPUTED_VALUE"""),"Horizon")</f>
        <v>Horizon</v>
      </c>
      <c r="C190" s="187">
        <f t="shared" si="1"/>
        <v>1</v>
      </c>
      <c r="D190" s="20" t="s">
        <v>2900</v>
      </c>
      <c r="E190" s="20">
        <v>1.0</v>
      </c>
    </row>
    <row r="191">
      <c r="A191" s="182"/>
      <c r="B191" s="187" t="str">
        <f>IFERROR(__xludf.DUMMYFUNCTION("""COMPUTED_VALUE"""),"Roughlands")</f>
        <v>Roughlands</v>
      </c>
      <c r="C191" s="187">
        <f t="shared" si="1"/>
        <v>1</v>
      </c>
      <c r="D191" s="20" t="s">
        <v>2901</v>
      </c>
      <c r="E191" s="20">
        <v>1.0</v>
      </c>
    </row>
    <row r="192">
      <c r="A192" s="182" t="str">
        <f>IFERROR(__xludf.DUMMYFUNCTION("""COMPUTED_VALUE"""),"Thunderswarm")</f>
        <v>Thunderswarm</v>
      </c>
      <c r="B192" s="187" t="str">
        <f>IFERROR(__xludf.DUMMYFUNCTION("""COMPUTED_VALUE"""),"Scourge")</f>
        <v>Scourge</v>
      </c>
      <c r="C192" s="187">
        <f t="shared" si="1"/>
        <v>1</v>
      </c>
      <c r="D192" s="20" t="s">
        <v>2902</v>
      </c>
      <c r="E192" s="20">
        <v>1.0</v>
      </c>
    </row>
    <row r="193">
      <c r="A193" s="182" t="str">
        <f>IFERROR(__xludf.DUMMYFUNCTION("""COMPUTED_VALUE"""),"Skirmisher")</f>
        <v>Skirmisher</v>
      </c>
      <c r="B193" s="187" t="str">
        <f>IFERROR(__xludf.DUMMYFUNCTION("""COMPUTED_VALUE"""),"Mirrorworld")</f>
        <v>Mirrorworld</v>
      </c>
      <c r="C193" s="187">
        <f t="shared" si="1"/>
        <v>1</v>
      </c>
      <c r="D193" s="20" t="s">
        <v>2903</v>
      </c>
      <c r="E193" s="20">
        <v>1.0</v>
      </c>
    </row>
    <row r="194">
      <c r="A194" s="182"/>
      <c r="B194" s="187" t="str">
        <f>IFERROR(__xludf.DUMMYFUNCTION("""COMPUTED_VALUE"""),"Bloodseeker")</f>
        <v>Bloodseeker</v>
      </c>
      <c r="C194" s="187">
        <f t="shared" si="1"/>
        <v>1</v>
      </c>
      <c r="D194" s="20" t="s">
        <v>2904</v>
      </c>
      <c r="E194" s="20">
        <v>1.0</v>
      </c>
    </row>
    <row r="195">
      <c r="A195" s="182"/>
      <c r="B195" s="187" t="str">
        <f>IFERROR(__xludf.DUMMYFUNCTION("""COMPUTED_VALUE"""),"Mountain")</f>
        <v>Mountain</v>
      </c>
      <c r="C195" s="187">
        <f t="shared" si="1"/>
        <v>1</v>
      </c>
      <c r="D195" s="20" t="s">
        <v>2905</v>
      </c>
      <c r="E195" s="20">
        <v>1.0</v>
      </c>
    </row>
    <row r="196">
      <c r="A196" s="182"/>
      <c r="B196" s="187" t="str">
        <f>IFERROR(__xludf.DUMMYFUNCTION("""COMPUTED_VALUE"""),"Sage")</f>
        <v>Sage</v>
      </c>
      <c r="C196" s="187">
        <f t="shared" si="1"/>
        <v>1</v>
      </c>
      <c r="D196" s="20" t="s">
        <v>2906</v>
      </c>
      <c r="E196" s="20">
        <v>1.0</v>
      </c>
    </row>
    <row r="197">
      <c r="A197" s="182" t="str">
        <f>IFERROR(__xludf.DUMMYFUNCTION("""COMPUTED_VALUE"""),"Tranquil")</f>
        <v>Tranquil</v>
      </c>
      <c r="B197" s="187" t="str">
        <f>IFERROR(__xludf.DUMMYFUNCTION("""COMPUTED_VALUE"""),"Nimbus")</f>
        <v>Nimbus</v>
      </c>
      <c r="C197" s="187">
        <f t="shared" si="1"/>
        <v>1</v>
      </c>
      <c r="D197" s="20" t="s">
        <v>2907</v>
      </c>
      <c r="E197" s="20">
        <v>1.0</v>
      </c>
    </row>
    <row r="198">
      <c r="A198" s="182" t="str">
        <f>IFERROR(__xludf.DUMMYFUNCTION("""COMPUTED_VALUE"""),"Herd")</f>
        <v>Herd</v>
      </c>
      <c r="B198" s="187" t="str">
        <f>IFERROR(__xludf.DUMMYFUNCTION("""COMPUTED_VALUE"""),"Claw")</f>
        <v>Claw</v>
      </c>
      <c r="C198" s="187">
        <f t="shared" si="1"/>
        <v>2</v>
      </c>
      <c r="D198" s="20" t="s">
        <v>2908</v>
      </c>
      <c r="E198" s="20">
        <v>1.0</v>
      </c>
    </row>
    <row r="199">
      <c r="A199" s="182" t="str">
        <f>IFERROR(__xludf.DUMMYFUNCTION("""COMPUTED_VALUE"""),"Gem")</f>
        <v>Gem</v>
      </c>
      <c r="B199" s="187" t="str">
        <f>IFERROR(__xludf.DUMMYFUNCTION("""COMPUTED_VALUE"""),"Omen")</f>
        <v>Omen</v>
      </c>
      <c r="C199" s="187">
        <f t="shared" si="1"/>
        <v>1</v>
      </c>
      <c r="D199" s="20" t="s">
        <v>2909</v>
      </c>
      <c r="E199" s="20">
        <v>1.0</v>
      </c>
    </row>
    <row r="200">
      <c r="A200" s="182" t="str">
        <f>IFERROR(__xludf.DUMMYFUNCTION("""COMPUTED_VALUE"""),"Titan")</f>
        <v>Titan</v>
      </c>
      <c r="B200" s="187" t="str">
        <f>IFERROR(__xludf.DUMMYFUNCTION("""COMPUTED_VALUE"""),"Firefly")</f>
        <v>Firefly</v>
      </c>
      <c r="C200" s="187">
        <f t="shared" si="1"/>
        <v>1</v>
      </c>
      <c r="D200" s="20" t="s">
        <v>2910</v>
      </c>
      <c r="E200" s="20">
        <v>1.0</v>
      </c>
    </row>
    <row r="201">
      <c r="A201" s="182"/>
      <c r="B201" s="187" t="str">
        <f>IFERROR(__xludf.DUMMYFUNCTION("""COMPUTED_VALUE"""),"Pixie")</f>
        <v>Pixie</v>
      </c>
      <c r="C201" s="187">
        <f t="shared" si="1"/>
        <v>1</v>
      </c>
      <c r="D201" s="20" t="s">
        <v>2911</v>
      </c>
      <c r="E201" s="20">
        <v>1.0</v>
      </c>
    </row>
    <row r="202">
      <c r="A202" s="182" t="str">
        <f>IFERROR(__xludf.DUMMYFUNCTION("""COMPUTED_VALUE"""),"Towering")</f>
        <v>Towering</v>
      </c>
      <c r="B202" s="187" t="str">
        <f>IFERROR(__xludf.DUMMYFUNCTION("""COMPUTED_VALUE"""),"Summoner")</f>
        <v>Summoner</v>
      </c>
      <c r="C202" s="187">
        <f t="shared" si="1"/>
        <v>1</v>
      </c>
      <c r="D202" s="20" t="s">
        <v>2912</v>
      </c>
      <c r="E202" s="20">
        <v>1.0</v>
      </c>
    </row>
    <row r="203">
      <c r="A203" s="182" t="str">
        <f>IFERROR(__xludf.DUMMYFUNCTION("""COMPUTED_VALUE"""),"Obelisk")</f>
        <v>Obelisk</v>
      </c>
      <c r="B203" s="187" t="str">
        <f>IFERROR(__xludf.DUMMYFUNCTION("""COMPUTED_VALUE"""),"Pyretic")</f>
        <v>Pyretic</v>
      </c>
      <c r="C203" s="187">
        <f t="shared" si="1"/>
        <v>1</v>
      </c>
      <c r="D203" s="20" t="s">
        <v>2913</v>
      </c>
      <c r="E203" s="20">
        <v>1.0</v>
      </c>
    </row>
    <row r="204">
      <c r="A204" s="182" t="str">
        <f>IFERROR(__xludf.DUMMYFUNCTION("""COMPUTED_VALUE"""),"of")</f>
        <v>of</v>
      </c>
      <c r="B204" s="187" t="str">
        <f>IFERROR(__xludf.DUMMYFUNCTION("""COMPUTED_VALUE"""),"Pet")</f>
        <v>Pet</v>
      </c>
      <c r="C204" s="187">
        <f t="shared" si="1"/>
        <v>1</v>
      </c>
      <c r="D204" s="20" t="s">
        <v>2914</v>
      </c>
      <c r="E204" s="20">
        <v>1.0</v>
      </c>
    </row>
    <row r="205">
      <c r="A205" s="182" t="str">
        <f>IFERROR(__xludf.DUMMYFUNCTION("""COMPUTED_VALUE"""),"Xi")</f>
        <v>Xi</v>
      </c>
      <c r="B205" s="187" t="str">
        <f>IFERROR(__xludf.DUMMYFUNCTION("""COMPUTED_VALUE"""),"Shifting")</f>
        <v>Shifting</v>
      </c>
      <c r="C205" s="187">
        <f t="shared" si="1"/>
        <v>1</v>
      </c>
      <c r="D205" s="20" t="s">
        <v>2915</v>
      </c>
      <c r="E205" s="20">
        <v>1.0</v>
      </c>
    </row>
    <row r="206">
      <c r="A206" s="182"/>
      <c r="B206" s="187" t="str">
        <f>IFERROR(__xludf.DUMMYFUNCTION("""COMPUTED_VALUE"""),"Sands")</f>
        <v>Sands</v>
      </c>
      <c r="C206" s="187">
        <f t="shared" si="1"/>
        <v>1</v>
      </c>
      <c r="D206" s="20" t="s">
        <v>2916</v>
      </c>
      <c r="E206" s="20">
        <v>1.0</v>
      </c>
    </row>
    <row r="207">
      <c r="A207" s="182" t="str">
        <f>IFERROR(__xludf.DUMMYFUNCTION("""COMPUTED_VALUE"""),"Thunderswarm")</f>
        <v>Thunderswarm</v>
      </c>
      <c r="B207" s="187" t="str">
        <f>IFERROR(__xludf.DUMMYFUNCTION("""COMPUTED_VALUE"""),"Torii")</f>
        <v>Torii</v>
      </c>
      <c r="C207" s="187">
        <f t="shared" si="1"/>
        <v>1</v>
      </c>
      <c r="D207" s="20" t="s">
        <v>2917</v>
      </c>
      <c r="E207" s="20">
        <v>1.0</v>
      </c>
    </row>
    <row r="208">
      <c r="A208" s="182" t="str">
        <f>IFERROR(__xludf.DUMMYFUNCTION("""COMPUTED_VALUE"""),"Pegasus")</f>
        <v>Pegasus</v>
      </c>
      <c r="B208" s="187" t="str">
        <f>IFERROR(__xludf.DUMMYFUNCTION("""COMPUTED_VALUE"""),"Spirit")</f>
        <v>Spirit</v>
      </c>
      <c r="C208" s="187">
        <f t="shared" si="1"/>
        <v>1</v>
      </c>
      <c r="D208" s="20" t="s">
        <v>2918</v>
      </c>
      <c r="E208" s="20">
        <v>1.0</v>
      </c>
    </row>
    <row r="209">
      <c r="A209" s="182"/>
      <c r="B209" s="187" t="str">
        <f>IFERROR(__xludf.DUMMYFUNCTION("""COMPUTED_VALUE"""),"Red")</f>
        <v>Red</v>
      </c>
      <c r="C209" s="187">
        <f t="shared" si="1"/>
        <v>2</v>
      </c>
      <c r="D209" s="20" t="s">
        <v>2919</v>
      </c>
      <c r="E209" s="20">
        <v>1.0</v>
      </c>
    </row>
    <row r="210">
      <c r="A210" s="182"/>
      <c r="B210" s="187" t="str">
        <f>IFERROR(__xludf.DUMMYFUNCTION("""COMPUTED_VALUE"""),"Windkite")</f>
        <v>Windkite</v>
      </c>
      <c r="C210" s="187">
        <f t="shared" si="1"/>
        <v>1</v>
      </c>
      <c r="D210" s="20" t="s">
        <v>2920</v>
      </c>
      <c r="E210" s="20">
        <v>1.0</v>
      </c>
    </row>
    <row r="211">
      <c r="A211" s="182"/>
      <c r="B211" s="187" t="str">
        <f>IFERROR(__xludf.DUMMYFUNCTION("""COMPUTED_VALUE"""),"Acolyte")</f>
        <v>Acolyte</v>
      </c>
      <c r="C211" s="187">
        <f t="shared" si="1"/>
        <v>2</v>
      </c>
      <c r="D211" s="20" t="s">
        <v>2921</v>
      </c>
      <c r="E211" s="20">
        <v>1.0</v>
      </c>
    </row>
    <row r="212">
      <c r="A212" s="182" t="str">
        <f>IFERROR(__xludf.DUMMYFUNCTION("""COMPUTED_VALUE"""),"Winged")</f>
        <v>Winged</v>
      </c>
      <c r="B212" s="187" t="str">
        <f>IFERROR(__xludf.DUMMYFUNCTION("""COMPUTED_VALUE"""),"Sand")</f>
        <v>Sand</v>
      </c>
      <c r="C212" s="187">
        <f t="shared" si="1"/>
        <v>1</v>
      </c>
      <c r="D212" s="20" t="s">
        <v>2922</v>
      </c>
      <c r="E212" s="20">
        <v>1.0</v>
      </c>
    </row>
    <row r="213">
      <c r="A213" s="182" t="str">
        <f>IFERROR(__xludf.DUMMYFUNCTION("""COMPUTED_VALUE"""),"Ushabti")</f>
        <v>Ushabti</v>
      </c>
      <c r="B213" s="187" t="str">
        <f>IFERROR(__xludf.DUMMYFUNCTION("""COMPUTED_VALUE"""),"Witch")</f>
        <v>Witch</v>
      </c>
      <c r="C213" s="187">
        <f t="shared" si="1"/>
        <v>1</v>
      </c>
      <c r="D213" s="20" t="s">
        <v>2923</v>
      </c>
      <c r="E213" s="20">
        <v>1.0</v>
      </c>
    </row>
    <row r="214">
      <c r="A214" s="182"/>
      <c r="B214" s="187" t="str">
        <f>IFERROR(__xludf.DUMMYFUNCTION("""COMPUTED_VALUE"""),"Shardhorde")</f>
        <v>Shardhorde</v>
      </c>
      <c r="C214" s="187">
        <f t="shared" si="1"/>
        <v>3</v>
      </c>
      <c r="D214" s="20" t="s">
        <v>2924</v>
      </c>
      <c r="E214" s="20">
        <v>1.0</v>
      </c>
    </row>
    <row r="215">
      <c r="A215" s="182"/>
      <c r="B215" s="187" t="str">
        <f>IFERROR(__xludf.DUMMYFUNCTION("""COMPUTED_VALUE"""),"Galewhelp")</f>
        <v>Galewhelp</v>
      </c>
      <c r="C215" s="187">
        <f t="shared" si="1"/>
        <v>1</v>
      </c>
      <c r="D215" s="20" t="s">
        <v>2925</v>
      </c>
      <c r="E215" s="20">
        <v>1.0</v>
      </c>
    </row>
    <row r="216">
      <c r="A216" s="182"/>
      <c r="B216" s="187" t="str">
        <f>IFERROR(__xludf.DUMMYFUNCTION("""COMPUTED_VALUE"""),"Amberlock")</f>
        <v>Amberlock</v>
      </c>
      <c r="C216" s="187">
        <f t="shared" si="1"/>
        <v>1</v>
      </c>
      <c r="D216" s="20" t="s">
        <v>2926</v>
      </c>
      <c r="E216" s="20">
        <v>1.0</v>
      </c>
    </row>
    <row r="217">
      <c r="A217" s="182" t="str">
        <f>IFERROR(__xludf.DUMMYFUNCTION("""COMPUTED_VALUE"""),"Ghostfire")</f>
        <v>Ghostfire</v>
      </c>
      <c r="B217" s="187" t="str">
        <f>IFERROR(__xludf.DUMMYFUNCTION("""COMPUTED_VALUE"""),"Dragonling")</f>
        <v>Dragonling</v>
      </c>
      <c r="C217" s="187">
        <f t="shared" si="1"/>
        <v>1</v>
      </c>
      <c r="D217" s="20" t="s">
        <v>2927</v>
      </c>
      <c r="E217" s="20">
        <v>1.0</v>
      </c>
    </row>
    <row r="218">
      <c r="A218" s="182" t="str">
        <f>IFERROR(__xludf.DUMMYFUNCTION("""COMPUTED_VALUE"""),"Basilisk")</f>
        <v>Basilisk</v>
      </c>
      <c r="B218" s="187" t="str">
        <f>IFERROR(__xludf.DUMMYFUNCTION("""COMPUTED_VALUE"""),"Dragonfire")</f>
        <v>Dragonfire</v>
      </c>
      <c r="C218" s="187">
        <f t="shared" si="1"/>
        <v>1</v>
      </c>
      <c r="D218" s="20" t="s">
        <v>2928</v>
      </c>
      <c r="E218" s="20">
        <v>1.0</v>
      </c>
    </row>
    <row r="219">
      <c r="A219" s="182"/>
      <c r="B219" s="187" t="str">
        <f>IFERROR(__xludf.DUMMYFUNCTION("""COMPUTED_VALUE"""),"Warlock")</f>
        <v>Warlock</v>
      </c>
      <c r="C219" s="187">
        <f t="shared" si="1"/>
        <v>1</v>
      </c>
      <c r="D219" s="20" t="s">
        <v>2929</v>
      </c>
      <c r="E219" s="20">
        <v>1.0</v>
      </c>
    </row>
    <row r="220">
      <c r="A220" s="182"/>
      <c r="B220" s="187" t="str">
        <f>IFERROR(__xludf.DUMMYFUNCTION("""COMPUTED_VALUE"""),"Dragonwind")</f>
        <v>Dragonwind</v>
      </c>
      <c r="C220" s="187">
        <f t="shared" si="1"/>
        <v>1</v>
      </c>
      <c r="D220" s="20" t="s">
        <v>2930</v>
      </c>
      <c r="E220" s="20">
        <v>1.0</v>
      </c>
    </row>
    <row r="221">
      <c r="A221" s="182"/>
      <c r="B221" s="187" t="str">
        <f>IFERROR(__xludf.DUMMYFUNCTION("""COMPUTED_VALUE"""),"Harbinger")</f>
        <v>Harbinger</v>
      </c>
      <c r="C221" s="187">
        <f t="shared" si="1"/>
        <v>1</v>
      </c>
      <c r="D221" s="20" t="s">
        <v>2931</v>
      </c>
      <c r="E221" s="20">
        <v>1.0</v>
      </c>
    </row>
    <row r="222">
      <c r="A222" s="182" t="str">
        <f>IFERROR(__xludf.DUMMYFUNCTION("""COMPUTED_VALUE"""),"Yellow")</f>
        <v>Yellow</v>
      </c>
      <c r="B222" s="187" t="str">
        <f>IFERROR(__xludf.DUMMYFUNCTION("""COMPUTED_VALUE"""),"Sparkwielder")</f>
        <v>Sparkwielder</v>
      </c>
      <c r="C222" s="187">
        <f t="shared" si="1"/>
        <v>1</v>
      </c>
      <c r="D222" s="20" t="s">
        <v>2932</v>
      </c>
      <c r="E222" s="20">
        <v>1.0</v>
      </c>
    </row>
    <row r="223">
      <c r="A223" s="182" t="str">
        <f>IFERROR(__xludf.DUMMYFUNCTION("""COMPUTED_VALUE"""),"Crusader")</f>
        <v>Crusader</v>
      </c>
      <c r="B223" s="187" t="str">
        <f>IFERROR(__xludf.DUMMYFUNCTION("""COMPUTED_VALUE"""),"Gashopper")</f>
        <v>Gashopper</v>
      </c>
      <c r="C223" s="187">
        <f t="shared" si="1"/>
        <v>1</v>
      </c>
      <c r="D223" s="20" t="s">
        <v>2933</v>
      </c>
      <c r="E223" s="20">
        <v>1.0</v>
      </c>
    </row>
    <row r="224">
      <c r="A224" s="182"/>
      <c r="B224" s="187" t="str">
        <f>IFERROR(__xludf.DUMMYFUNCTION("""COMPUTED_VALUE"""),"Hailbringer")</f>
        <v>Hailbringer</v>
      </c>
      <c r="C224" s="187">
        <f t="shared" si="1"/>
        <v>1</v>
      </c>
      <c r="D224" s="20" t="s">
        <v>2934</v>
      </c>
      <c r="E224" s="20">
        <v>1.0</v>
      </c>
    </row>
    <row r="225">
      <c r="A225" s="182"/>
      <c r="B225" s="187" t="str">
        <f>IFERROR(__xludf.DUMMYFUNCTION("""COMPUTED_VALUE"""),"Stormlash")</f>
        <v>Stormlash</v>
      </c>
      <c r="C225" s="187">
        <f t="shared" si="1"/>
        <v>1</v>
      </c>
      <c r="D225" s="20" t="s">
        <v>2935</v>
      </c>
      <c r="E225" s="20">
        <v>1.0</v>
      </c>
    </row>
    <row r="226">
      <c r="A226" s="182"/>
      <c r="B226" s="187" t="str">
        <f>IFERROR(__xludf.DUMMYFUNCTION("""COMPUTED_VALUE"""),"Stormworn")</f>
        <v>Stormworn</v>
      </c>
      <c r="C226" s="187">
        <f t="shared" si="1"/>
        <v>1</v>
      </c>
      <c r="D226" s="20" t="s">
        <v>2936</v>
      </c>
      <c r="E226" s="20">
        <v>1.0</v>
      </c>
    </row>
    <row r="227">
      <c r="A227" s="182" t="str">
        <f>IFERROR(__xludf.DUMMYFUNCTION("""COMPUTED_VALUE"""),"Young")</f>
        <v>Young</v>
      </c>
      <c r="B227" s="187" t="str">
        <f>IFERROR(__xludf.DUMMYFUNCTION("""COMPUTED_VALUE"""),"Horn")</f>
        <v>Horn</v>
      </c>
      <c r="C227" s="187">
        <f t="shared" si="1"/>
        <v>1</v>
      </c>
      <c r="D227" s="20" t="s">
        <v>2937</v>
      </c>
      <c r="E227" s="20">
        <v>1.0</v>
      </c>
    </row>
    <row r="228">
      <c r="A228" s="182" t="str">
        <f>IFERROR(__xludf.DUMMYFUNCTION("""COMPUTED_VALUE"""),"Monk")</f>
        <v>Monk</v>
      </c>
      <c r="B228" s="187" t="str">
        <f>IFERROR(__xludf.DUMMYFUNCTION("""COMPUTED_VALUE"""),"Glinteye")</f>
        <v>Glinteye</v>
      </c>
      <c r="C228" s="187">
        <f t="shared" si="1"/>
        <v>1</v>
      </c>
      <c r="D228" s="20" t="s">
        <v>2938</v>
      </c>
      <c r="E228" s="20">
        <v>1.0</v>
      </c>
    </row>
    <row r="229">
      <c r="A229" s="182"/>
      <c r="B229" s="187" t="str">
        <f>IFERROR(__xludf.DUMMYFUNCTION("""COMPUTED_VALUE"""),"Hoarder")</f>
        <v>Hoarder</v>
      </c>
      <c r="C229" s="187">
        <f t="shared" si="1"/>
        <v>1</v>
      </c>
      <c r="D229" s="20" t="s">
        <v>2939</v>
      </c>
      <c r="E229" s="20">
        <v>1.0</v>
      </c>
    </row>
    <row r="230">
      <c r="A230" s="182"/>
      <c r="B230" s="187" t="str">
        <f>IFERROR(__xludf.DUMMYFUNCTION("""COMPUTED_VALUE"""),"Culling")</f>
        <v>Culling</v>
      </c>
      <c r="C230" s="187">
        <f t="shared" si="1"/>
        <v>1</v>
      </c>
      <c r="D230" s="20" t="s">
        <v>2940</v>
      </c>
      <c r="E230" s="20">
        <v>1.0</v>
      </c>
    </row>
    <row r="231">
      <c r="A231" s="182"/>
      <c r="B231" s="187" t="str">
        <f>IFERROR(__xludf.DUMMYFUNCTION("""COMPUTED_VALUE"""),"Thunderfox")</f>
        <v>Thunderfox</v>
      </c>
      <c r="C231" s="187">
        <f t="shared" si="1"/>
        <v>1</v>
      </c>
      <c r="D231" s="20" t="s">
        <v>2941</v>
      </c>
      <c r="E231" s="20">
        <v>1.0</v>
      </c>
    </row>
    <row r="232">
      <c r="A232" s="182" t="str">
        <f>IFERROR(__xludf.DUMMYFUNCTION("""COMPUTED_VALUE"""),"Cartouche")</f>
        <v>Cartouche</v>
      </c>
      <c r="B232" s="187" t="str">
        <f>IFERROR(__xludf.DUMMYFUNCTION("""COMPUTED_VALUE"""),"Raijin's")</f>
        <v>Raijin's</v>
      </c>
      <c r="C232" s="187">
        <f t="shared" si="1"/>
        <v>1</v>
      </c>
      <c r="D232" s="20" t="s">
        <v>2942</v>
      </c>
      <c r="E232" s="20">
        <v>1.0</v>
      </c>
    </row>
    <row r="233">
      <c r="A233" s="182" t="str">
        <f>IFERROR(__xludf.DUMMYFUNCTION("""COMPUTED_VALUE"""),"Luster")</f>
        <v>Luster</v>
      </c>
      <c r="B233" s="187" t="str">
        <f>IFERROR(__xludf.DUMMYFUNCTION("""COMPUTED_VALUE"""),"Familiar")</f>
        <v>Familiar</v>
      </c>
      <c r="C233" s="187">
        <f t="shared" si="1"/>
        <v>2</v>
      </c>
      <c r="D233" s="20" t="s">
        <v>2943</v>
      </c>
      <c r="E233" s="20">
        <v>1.0</v>
      </c>
    </row>
    <row r="234">
      <c r="A234" s="182"/>
      <c r="B234" s="187" t="str">
        <f>IFERROR(__xludf.DUMMYFUNCTION("""COMPUTED_VALUE"""),"Twin")</f>
        <v>Twin</v>
      </c>
      <c r="C234" s="187">
        <f t="shared" si="1"/>
        <v>2</v>
      </c>
      <c r="D234" s="20" t="s">
        <v>2944</v>
      </c>
      <c r="E234" s="20">
        <v>1.0</v>
      </c>
    </row>
    <row r="235">
      <c r="A235" s="182"/>
      <c r="B235" s="187" t="str">
        <f>IFERROR(__xludf.DUMMYFUNCTION("""COMPUTED_VALUE"""),"Thundertail")</f>
        <v>Thundertail</v>
      </c>
      <c r="C235" s="187">
        <f t="shared" si="1"/>
        <v>1</v>
      </c>
      <c r="D235" s="20" t="s">
        <v>2945</v>
      </c>
      <c r="E235" s="20">
        <v>1.0</v>
      </c>
    </row>
    <row r="236">
      <c r="A236" s="182"/>
      <c r="B236" s="187" t="str">
        <f>IFERROR(__xludf.DUMMYFUNCTION("""COMPUTED_VALUE"""),"Vengeful")</f>
        <v>Vengeful</v>
      </c>
      <c r="C236" s="187">
        <f t="shared" si="1"/>
        <v>1</v>
      </c>
      <c r="D236" s="20" t="s">
        <v>2946</v>
      </c>
      <c r="E236" s="20">
        <v>1.0</v>
      </c>
    </row>
    <row r="237">
      <c r="A237" s="182" t="str">
        <f>IFERROR(__xludf.DUMMYFUNCTION("""COMPUTED_VALUE"""),"Golden")</f>
        <v>Golden</v>
      </c>
      <c r="B237" s="187" t="str">
        <f>IFERROR(__xludf.DUMMYFUNCTION("""COMPUTED_VALUE"""),"Gust")</f>
        <v>Gust</v>
      </c>
      <c r="C237" s="187">
        <f t="shared" si="1"/>
        <v>1</v>
      </c>
      <c r="D237" s="20" t="s">
        <v>2947</v>
      </c>
      <c r="E237" s="20">
        <v>1.0</v>
      </c>
    </row>
    <row r="238">
      <c r="A238" s="182" t="str">
        <f>IFERROR(__xludf.DUMMYFUNCTION("""COMPUTED_VALUE"""),"Phoenix")</f>
        <v>Phoenix</v>
      </c>
      <c r="B238" s="187" t="str">
        <f>IFERROR(__xludf.DUMMYFUNCTION("""COMPUTED_VALUE"""),"Runecursed")</f>
        <v>Runecursed</v>
      </c>
      <c r="C238" s="187">
        <f t="shared" si="1"/>
        <v>1</v>
      </c>
      <c r="D238" s="20" t="s">
        <v>2948</v>
      </c>
      <c r="E238" s="20">
        <v>1.0</v>
      </c>
    </row>
    <row r="239">
      <c r="A239" s="182"/>
      <c r="B239" s="187" t="str">
        <f>IFERROR(__xludf.DUMMYFUNCTION("""COMPUTED_VALUE"""),"Skulloath")</f>
        <v>Skulloath</v>
      </c>
      <c r="C239" s="187">
        <f t="shared" si="1"/>
        <v>2</v>
      </c>
      <c r="D239" s="20" t="s">
        <v>2949</v>
      </c>
      <c r="E239" s="20">
        <v>1.0</v>
      </c>
    </row>
    <row r="240">
      <c r="A240" s="182"/>
      <c r="B240" s="187" t="str">
        <f>IFERROR(__xludf.DUMMYFUNCTION("""COMPUTED_VALUE"""),"Lootclaimer")</f>
        <v>Lootclaimer</v>
      </c>
      <c r="C240" s="187">
        <f t="shared" si="1"/>
        <v>1</v>
      </c>
      <c r="D240" s="20" t="s">
        <v>2950</v>
      </c>
      <c r="E240" s="20">
        <v>1.0</v>
      </c>
    </row>
    <row r="241">
      <c r="A241" s="182"/>
      <c r="B241" s="187" t="str">
        <f>IFERROR(__xludf.DUMMYFUNCTION("""COMPUTED_VALUE"""),"Spell")</f>
        <v>Spell</v>
      </c>
      <c r="C241" s="187">
        <f t="shared" si="1"/>
        <v>1</v>
      </c>
      <c r="D241" s="20" t="s">
        <v>2951</v>
      </c>
      <c r="E241" s="20">
        <v>1.0</v>
      </c>
    </row>
    <row r="242">
      <c r="A242" s="182" t="str">
        <f>IFERROR(__xludf.DUMMYFUNCTION("""COMPUTED_VALUE"""),"Hailstorm")</f>
        <v>Hailstorm</v>
      </c>
      <c r="B242" s="187" t="str">
        <f>IFERROR(__xludf.DUMMYFUNCTION("""COMPUTED_VALUE"""),"Cat")</f>
        <v>Cat</v>
      </c>
      <c r="C242" s="187">
        <f t="shared" si="1"/>
        <v>1</v>
      </c>
      <c r="D242" s="20" t="s">
        <v>2952</v>
      </c>
      <c r="E242" s="20">
        <v>1.0</v>
      </c>
    </row>
    <row r="243">
      <c r="A243" s="182" t="str">
        <f>IFERROR(__xludf.DUMMYFUNCTION("""COMPUTED_VALUE"""),"Seraph")</f>
        <v>Seraph</v>
      </c>
      <c r="B243" s="187" t="str">
        <f>IFERROR(__xludf.DUMMYFUNCTION("""COMPUTED_VALUE"""),"Vermillion")</f>
        <v>Vermillion</v>
      </c>
      <c r="C243" s="187">
        <f t="shared" si="1"/>
        <v>1</v>
      </c>
      <c r="D243" s="20" t="s">
        <v>2953</v>
      </c>
      <c r="E243" s="20">
        <v>1.0</v>
      </c>
    </row>
    <row r="244">
      <c r="A244" s="182"/>
      <c r="B244" s="187" t="str">
        <f>IFERROR(__xludf.DUMMYFUNCTION("""COMPUTED_VALUE"""),"Firebird")</f>
        <v>Firebird</v>
      </c>
      <c r="C244" s="187">
        <f t="shared" si="1"/>
        <v>1</v>
      </c>
      <c r="D244" s="20" t="s">
        <v>2954</v>
      </c>
      <c r="E244" s="20">
        <v>1.0</v>
      </c>
    </row>
    <row r="245">
      <c r="A245" s="182"/>
      <c r="B245" s="187" t="str">
        <f>IFERROR(__xludf.DUMMYFUNCTION("""COMPUTED_VALUE"""),"Oasisdweller")</f>
        <v>Oasisdweller</v>
      </c>
      <c r="C245" s="187">
        <f t="shared" si="1"/>
        <v>1</v>
      </c>
      <c r="D245" s="20" t="s">
        <v>2955</v>
      </c>
      <c r="E245" s="20">
        <v>1.0</v>
      </c>
    </row>
    <row r="246">
      <c r="A246" s="182"/>
      <c r="B246" s="187" t="str">
        <f>IFERROR(__xludf.DUMMYFUNCTION("""COMPUTED_VALUE"""),"Portalrunner")</f>
        <v>Portalrunner</v>
      </c>
      <c r="C246" s="187">
        <f t="shared" si="1"/>
        <v>1</v>
      </c>
      <c r="D246" s="20" t="s">
        <v>2956</v>
      </c>
      <c r="E246" s="20">
        <v>1.0</v>
      </c>
    </row>
    <row r="247">
      <c r="A247" s="182" t="str">
        <f>IFERROR(__xludf.DUMMYFUNCTION("""COMPUTED_VALUE"""),"Scittering")</f>
        <v>Scittering</v>
      </c>
      <c r="B247" s="187" t="str">
        <f>IFERROR(__xludf.DUMMYFUNCTION("""COMPUTED_VALUE"""),"Irregulars")</f>
        <v>Irregulars</v>
      </c>
      <c r="C247" s="187">
        <f t="shared" si="1"/>
        <v>1</v>
      </c>
      <c r="D247" s="20" t="s">
        <v>2957</v>
      </c>
      <c r="E247" s="20">
        <v>1.0</v>
      </c>
    </row>
    <row r="248">
      <c r="A248" s="182" t="str">
        <f>IFERROR(__xludf.DUMMYFUNCTION("""COMPUTED_VALUE"""),"Scorpion")</f>
        <v>Scorpion</v>
      </c>
      <c r="B248" s="187" t="str">
        <f>IFERROR(__xludf.DUMMYFUNCTION("""COMPUTED_VALUE"""),"Steelclaw")</f>
        <v>Steelclaw</v>
      </c>
      <c r="C248" s="187">
        <f t="shared" si="1"/>
        <v>1</v>
      </c>
      <c r="D248" s="20" t="s">
        <v>2958</v>
      </c>
      <c r="E248" s="20">
        <v>1.0</v>
      </c>
    </row>
    <row r="249">
      <c r="A249" s="182"/>
      <c r="B249" s="187" t="str">
        <f>IFERROR(__xludf.DUMMYFUNCTION("""COMPUTED_VALUE"""),"Veterans")</f>
        <v>Veterans</v>
      </c>
      <c r="C249" s="187">
        <f t="shared" si="1"/>
        <v>1</v>
      </c>
      <c r="D249" s="20" t="s">
        <v>2959</v>
      </c>
      <c r="E249" s="20">
        <v>1.0</v>
      </c>
    </row>
    <row r="250">
      <c r="A250" s="182"/>
      <c r="B250" s="187" t="str">
        <f>IFERROR(__xludf.DUMMYFUNCTION("""COMPUTED_VALUE"""),"Crazed")</f>
        <v>Crazed</v>
      </c>
      <c r="C250" s="187">
        <f t="shared" si="1"/>
        <v>2</v>
      </c>
      <c r="D250" s="20" t="s">
        <v>2960</v>
      </c>
      <c r="E250" s="20">
        <v>1.0</v>
      </c>
    </row>
    <row r="251">
      <c r="A251" s="182"/>
      <c r="B251" s="187" t="str">
        <f>IFERROR(__xludf.DUMMYFUNCTION("""COMPUTED_VALUE"""),"Galeweaver")</f>
        <v>Galeweaver</v>
      </c>
      <c r="C251" s="187">
        <f t="shared" si="1"/>
        <v>1</v>
      </c>
      <c r="D251" s="20" t="s">
        <v>2961</v>
      </c>
      <c r="E251" s="20">
        <v>1.0</v>
      </c>
    </row>
    <row r="252">
      <c r="A252" s="182" t="str">
        <f>IFERROR(__xludf.DUMMYFUNCTION("""COMPUTED_VALUE"""),"Wrath")</f>
        <v>Wrath</v>
      </c>
      <c r="B252" s="187" t="str">
        <f>IFERROR(__xludf.DUMMYFUNCTION("""COMPUTED_VALUE"""),"Lurking")</f>
        <v>Lurking</v>
      </c>
      <c r="C252" s="187">
        <f t="shared" si="1"/>
        <v>1</v>
      </c>
      <c r="D252" s="20" t="s">
        <v>2962</v>
      </c>
      <c r="E252" s="20">
        <v>1.0</v>
      </c>
    </row>
    <row r="253">
      <c r="A253" s="182" t="str">
        <f>IFERROR(__xludf.DUMMYFUNCTION("""COMPUTED_VALUE"""),"of")</f>
        <v>of</v>
      </c>
      <c r="B253" s="187" t="str">
        <f>IFERROR(__xludf.DUMMYFUNCTION("""COMPUTED_VALUE"""),"Canopystomper")</f>
        <v>Canopystomper</v>
      </c>
      <c r="C253" s="187">
        <f t="shared" si="1"/>
        <v>1</v>
      </c>
      <c r="D253" s="20" t="s">
        <v>2963</v>
      </c>
      <c r="E253" s="20">
        <v>1.0</v>
      </c>
    </row>
    <row r="254">
      <c r="A254" s="182" t="str">
        <f>IFERROR(__xludf.DUMMYFUNCTION("""COMPUTED_VALUE"""),"the")</f>
        <v>the</v>
      </c>
      <c r="B254" s="187" t="str">
        <f>IFERROR(__xludf.DUMMYFUNCTION("""COMPUTED_VALUE"""),"Resourceful")</f>
        <v>Resourceful</v>
      </c>
      <c r="C254" s="187">
        <f t="shared" si="1"/>
        <v>1</v>
      </c>
      <c r="D254" s="20" t="s">
        <v>2964</v>
      </c>
      <c r="E254" s="20">
        <v>1.0</v>
      </c>
    </row>
    <row r="255">
      <c r="A255" s="182" t="str">
        <f>IFERROR(__xludf.DUMMYFUNCTION("""COMPUTED_VALUE"""),"Pharaoh")</f>
        <v>Pharaoh</v>
      </c>
      <c r="B255" s="187" t="str">
        <f>IFERROR(__xludf.DUMMYFUNCTION("""COMPUTED_VALUE"""),"Poacher")</f>
        <v>Poacher</v>
      </c>
      <c r="C255" s="187">
        <f t="shared" si="1"/>
        <v>1</v>
      </c>
      <c r="D255" s="20" t="s">
        <v>2965</v>
      </c>
      <c r="E255" s="20">
        <v>1.0</v>
      </c>
    </row>
    <row r="256">
      <c r="A256" s="182"/>
      <c r="B256" s="187" t="str">
        <f>IFERROR(__xludf.DUMMYFUNCTION("""COMPUTED_VALUE"""),"Infernoblight")</f>
        <v>Infernoblight</v>
      </c>
      <c r="C256" s="187">
        <f t="shared" si="1"/>
        <v>1</v>
      </c>
      <c r="D256" s="20" t="s">
        <v>2966</v>
      </c>
      <c r="E256" s="20">
        <v>1.0</v>
      </c>
    </row>
    <row r="257">
      <c r="A257" s="182" t="str">
        <f>IFERROR(__xludf.DUMMYFUNCTION("""COMPUTED_VALUE"""),"Bringer")</f>
        <v>Bringer</v>
      </c>
      <c r="B257" s="187" t="str">
        <f>IFERROR(__xludf.DUMMYFUNCTION("""COMPUTED_VALUE"""),"Skyshrieker")</f>
        <v>Skyshrieker</v>
      </c>
      <c r="C257" s="187">
        <f t="shared" si="1"/>
        <v>1</v>
      </c>
      <c r="D257" s="20" t="s">
        <v>2967</v>
      </c>
      <c r="E257" s="20">
        <v>1.0</v>
      </c>
    </row>
    <row r="258">
      <c r="A258" s="182" t="str">
        <f>IFERROR(__xludf.DUMMYFUNCTION("""COMPUTED_VALUE"""),"of")</f>
        <v>of</v>
      </c>
      <c r="B258" s="187" t="str">
        <f>IFERROR(__xludf.DUMMYFUNCTION("""COMPUTED_VALUE"""),"Mistborn")</f>
        <v>Mistborn</v>
      </c>
      <c r="C258" s="187">
        <f t="shared" si="1"/>
        <v>1</v>
      </c>
      <c r="D258" s="20" t="s">
        <v>2968</v>
      </c>
      <c r="E258" s="20">
        <v>1.0</v>
      </c>
    </row>
    <row r="259">
      <c r="A259" s="182" t="str">
        <f>IFERROR(__xludf.DUMMYFUNCTION("""COMPUTED_VALUE"""),"Good")</f>
        <v>Good</v>
      </c>
      <c r="B259" s="187" t="str">
        <f>IFERROR(__xludf.DUMMYFUNCTION("""COMPUTED_VALUE"""),"Serpent")</f>
        <v>Serpent</v>
      </c>
      <c r="C259" s="187">
        <f t="shared" si="1"/>
        <v>1</v>
      </c>
      <c r="D259" s="20" t="s">
        <v>2969</v>
      </c>
      <c r="E259" s="20">
        <v>1.0</v>
      </c>
    </row>
    <row r="260">
      <c r="A260" s="182" t="str">
        <f>IFERROR(__xludf.DUMMYFUNCTION("""COMPUTED_VALUE"""),"News")</f>
        <v>News</v>
      </c>
      <c r="B260" s="187" t="str">
        <f>IFERROR(__xludf.DUMMYFUNCTION("""COMPUTED_VALUE"""),"Bad")</f>
        <v>Bad</v>
      </c>
      <c r="C260" s="187">
        <f t="shared" si="1"/>
        <v>1</v>
      </c>
      <c r="D260" s="20" t="s">
        <v>2970</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2971</v>
      </c>
      <c r="E262" s="20">
        <v>1.0</v>
      </c>
    </row>
    <row r="263">
      <c r="A263" s="182" t="str">
        <f>IFERROR(__xludf.DUMMYFUNCTION("""COMPUTED_VALUE"""),"Lightning")</f>
        <v>Lightning</v>
      </c>
      <c r="B263" s="187" t="str">
        <f>IFERROR(__xludf.DUMMYFUNCTION("""COMPUTED_VALUE"""),"Visitation")</f>
        <v>Visitation</v>
      </c>
      <c r="C263" s="187">
        <f t="shared" si="1"/>
        <v>1</v>
      </c>
      <c r="D263" s="20" t="s">
        <v>2972</v>
      </c>
      <c r="E263" s="20">
        <v>1.0</v>
      </c>
    </row>
    <row r="264">
      <c r="A264" s="182" t="str">
        <f>IFERROR(__xludf.DUMMYFUNCTION("""COMPUTED_VALUE"""),"Rider")</f>
        <v>Rider</v>
      </c>
      <c r="B264" s="187" t="str">
        <f>IFERROR(__xludf.DUMMYFUNCTION("""COMPUTED_VALUE"""),"Manticore")</f>
        <v>Manticore</v>
      </c>
      <c r="C264" s="187">
        <f t="shared" si="1"/>
        <v>1</v>
      </c>
      <c r="D264" s="20" t="s">
        <v>2973</v>
      </c>
      <c r="E264" s="20">
        <v>1.0</v>
      </c>
    </row>
    <row r="265">
      <c r="A265" s="182"/>
      <c r="B265" s="187" t="str">
        <f>IFERROR(__xludf.DUMMYFUNCTION("""COMPUTED_VALUE"""),"Featherfrost")</f>
        <v>Featherfrost</v>
      </c>
      <c r="C265" s="187">
        <f t="shared" si="1"/>
        <v>1</v>
      </c>
      <c r="D265" s="20" t="s">
        <v>2974</v>
      </c>
      <c r="E265" s="20">
        <v>1.0</v>
      </c>
    </row>
    <row r="266">
      <c r="A266" s="182"/>
      <c r="B266" s="187" t="str">
        <f>IFERROR(__xludf.DUMMYFUNCTION("""COMPUTED_VALUE"""),"Harpy")</f>
        <v>Harpy</v>
      </c>
      <c r="C266" s="187">
        <f t="shared" si="1"/>
        <v>1</v>
      </c>
      <c r="D266" s="20" t="s">
        <v>2975</v>
      </c>
      <c r="E266" s="20">
        <v>1.0</v>
      </c>
    </row>
    <row r="267">
      <c r="A267" s="182" t="str">
        <f>IFERROR(__xludf.DUMMYFUNCTION("""COMPUTED_VALUE"""),"Desertwind")</f>
        <v>Desertwind</v>
      </c>
      <c r="B267" s="187" t="str">
        <f>IFERROR(__xludf.DUMMYFUNCTION("""COMPUTED_VALUE"""),"Raging")</f>
        <v>Raging</v>
      </c>
      <c r="C267" s="187">
        <f t="shared" si="1"/>
        <v>1</v>
      </c>
      <c r="D267" s="20" t="s">
        <v>2976</v>
      </c>
      <c r="E267" s="20">
        <v>1.0</v>
      </c>
    </row>
    <row r="268">
      <c r="A268" s="182" t="str">
        <f>IFERROR(__xludf.DUMMYFUNCTION("""COMPUTED_VALUE"""),"Relic")</f>
        <v>Relic</v>
      </c>
      <c r="B268" s="187" t="str">
        <f>IFERROR(__xludf.DUMMYFUNCTION("""COMPUTED_VALUE"""),"Minotaur")</f>
        <v>Minotaur</v>
      </c>
      <c r="C268" s="187">
        <f t="shared" si="1"/>
        <v>1</v>
      </c>
      <c r="D268" s="20" t="s">
        <v>2977</v>
      </c>
      <c r="E268" s="20">
        <v>1.0</v>
      </c>
    </row>
    <row r="269">
      <c r="A269" s="182" t="str">
        <f>IFERROR(__xludf.DUMMYFUNCTION("""COMPUTED_VALUE"""),"Hunter")</f>
        <v>Hunter</v>
      </c>
      <c r="B269" s="187" t="str">
        <f>IFERROR(__xludf.DUMMYFUNCTION("""COMPUTED_VALUE"""),"Raijin")</f>
        <v>Raijin</v>
      </c>
      <c r="C269" s="187">
        <f t="shared" si="1"/>
        <v>1</v>
      </c>
      <c r="D269" s="20" t="s">
        <v>2978</v>
      </c>
      <c r="E269" s="20">
        <v>1.0</v>
      </c>
    </row>
    <row r="270">
      <c r="A270" s="182"/>
      <c r="B270" s="187" t="str">
        <f>IFERROR(__xludf.DUMMYFUNCTION("""COMPUTED_VALUE"""),"Venomshade")</f>
        <v>Venomshade</v>
      </c>
      <c r="C270" s="187">
        <f t="shared" si="1"/>
        <v>1</v>
      </c>
      <c r="D270" s="20" t="s">
        <v>2979</v>
      </c>
      <c r="E270" s="20">
        <v>1.0</v>
      </c>
    </row>
    <row r="271">
      <c r="A271" s="182"/>
      <c r="B271" s="187" t="str">
        <f>IFERROR(__xludf.DUMMYFUNCTION("""COMPUTED_VALUE"""),"Lamia")</f>
        <v>Lamia</v>
      </c>
      <c r="C271" s="187">
        <f t="shared" si="1"/>
        <v>1</v>
      </c>
      <c r="D271" s="20" t="s">
        <v>2980</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2981</v>
      </c>
      <c r="E276" s="20">
        <v>1.0</v>
      </c>
    </row>
    <row r="277">
      <c r="A277" s="182" t="str">
        <f>IFERROR(__xludf.DUMMYFUNCTION("""COMPUTED_VALUE"""),"Pomegrake")</f>
        <v>Pomegrake</v>
      </c>
      <c r="B277" s="187" t="str">
        <f>IFERROR(__xludf.DUMMYFUNCTION("""COMPUTED_VALUE"""),"Bastion")</f>
        <v>Bastion</v>
      </c>
      <c r="C277" s="187">
        <f t="shared" si="1"/>
        <v>1</v>
      </c>
      <c r="D277" s="20" t="s">
        <v>2982</v>
      </c>
      <c r="E277" s="20">
        <v>1.0</v>
      </c>
    </row>
    <row r="278">
      <c r="A278" s="182"/>
      <c r="B278" s="187" t="str">
        <f>IFERROR(__xludf.DUMMYFUNCTION("""COMPUTED_VALUE"""),"Architect")</f>
        <v>Architect</v>
      </c>
      <c r="C278" s="187">
        <f t="shared" si="1"/>
        <v>1</v>
      </c>
      <c r="D278" s="20" t="s">
        <v>2983</v>
      </c>
      <c r="E278" s="20">
        <v>1.0</v>
      </c>
    </row>
    <row r="279">
      <c r="A279" s="182"/>
      <c r="B279" s="187" t="str">
        <f>IFERROR(__xludf.DUMMYFUNCTION("""COMPUTED_VALUE"""),"Sovereign")</f>
        <v>Sovereign</v>
      </c>
      <c r="C279" s="187">
        <f t="shared" si="1"/>
        <v>3</v>
      </c>
      <c r="D279" s="20" t="s">
        <v>2984</v>
      </c>
      <c r="E279" s="20">
        <v>1.0</v>
      </c>
    </row>
    <row r="280">
      <c r="A280" s="182"/>
      <c r="B280" s="187" t="str">
        <f>IFERROR(__xludf.DUMMYFUNCTION("""COMPUTED_VALUE"""),"Spellwyrm")</f>
        <v>Spellwyrm</v>
      </c>
      <c r="C280" s="187">
        <f t="shared" si="1"/>
        <v>1</v>
      </c>
      <c r="D280" s="20" t="s">
        <v>2985</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2986</v>
      </c>
      <c r="E282" s="20">
        <v>1.0</v>
      </c>
    </row>
    <row r="283">
      <c r="A283" s="182" t="str">
        <f>IFERROR(__xludf.DUMMYFUNCTION("""COMPUTED_VALUE"""),"Embalmer")</f>
        <v>Embalmer</v>
      </c>
      <c r="B283" s="187" t="str">
        <f>IFERROR(__xludf.DUMMYFUNCTION("""COMPUTED_VALUE"""),"Blue")</f>
        <v>Blue</v>
      </c>
      <c r="C283" s="187">
        <f t="shared" si="1"/>
        <v>2</v>
      </c>
      <c r="D283" s="20" t="s">
        <v>2987</v>
      </c>
      <c r="E283" s="20">
        <v>1.0</v>
      </c>
    </row>
    <row r="284">
      <c r="A284" s="182"/>
      <c r="B284" s="187" t="str">
        <f>IFERROR(__xludf.DUMMYFUNCTION("""COMPUTED_VALUE"""),"Venom-Dew")</f>
        <v>Venom-Dew</v>
      </c>
      <c r="C284" s="187">
        <f t="shared" si="1"/>
        <v>1</v>
      </c>
      <c r="D284" s="20" t="s">
        <v>2988</v>
      </c>
      <c r="E284" s="20">
        <v>1.0</v>
      </c>
    </row>
    <row r="285">
      <c r="A285" s="182"/>
      <c r="B285" s="187" t="str">
        <f>IFERROR(__xludf.DUMMYFUNCTION("""COMPUTED_VALUE"""),"Golemsaurus")</f>
        <v>Golemsaurus</v>
      </c>
      <c r="C285" s="187">
        <f t="shared" si="1"/>
        <v>1</v>
      </c>
      <c r="D285" s="20" t="s">
        <v>2989</v>
      </c>
      <c r="E285" s="20">
        <v>1.0</v>
      </c>
    </row>
    <row r="286">
      <c r="A286" s="182"/>
      <c r="B286" s="187" t="str">
        <f>IFERROR(__xludf.DUMMYFUNCTION("""COMPUTED_VALUE"""),"Slumbering")</f>
        <v>Slumbering</v>
      </c>
      <c r="C286" s="187">
        <f t="shared" si="1"/>
        <v>2</v>
      </c>
      <c r="D286" s="20" t="s">
        <v>2990</v>
      </c>
      <c r="E286" s="20">
        <v>1.0</v>
      </c>
    </row>
    <row r="287">
      <c r="A287" s="182" t="str">
        <f>IFERROR(__xludf.DUMMYFUNCTION("""COMPUTED_VALUE"""),"Ushabti")</f>
        <v>Ushabti</v>
      </c>
      <c r="B287" s="187" t="str">
        <f>IFERROR(__xludf.DUMMYFUNCTION("""COMPUTED_VALUE"""),"Cavedrake")</f>
        <v>Cavedrake</v>
      </c>
      <c r="C287" s="187">
        <f t="shared" si="1"/>
        <v>1</v>
      </c>
      <c r="D287" s="20" t="s">
        <v>2991</v>
      </c>
      <c r="E287" s="20">
        <v>1.0</v>
      </c>
    </row>
    <row r="288">
      <c r="A288" s="182" t="str">
        <f>IFERROR(__xludf.DUMMYFUNCTION("""COMPUTED_VALUE"""),"Carver")</f>
        <v>Carver</v>
      </c>
      <c r="B288" s="187" t="str">
        <f>IFERROR(__xludf.DUMMYFUNCTION("""COMPUTED_VALUE"""),"Eagle")</f>
        <v>Eagle</v>
      </c>
      <c r="C288" s="187">
        <f t="shared" si="1"/>
        <v>1</v>
      </c>
      <c r="D288" s="20" t="s">
        <v>2992</v>
      </c>
      <c r="E288" s="20">
        <v>1.0</v>
      </c>
    </row>
    <row r="289">
      <c r="A289" s="182"/>
      <c r="B289" s="187" t="str">
        <f>IFERROR(__xludf.DUMMYFUNCTION("""COMPUTED_VALUE"""),"Legion")</f>
        <v>Legion</v>
      </c>
      <c r="C289" s="187">
        <f t="shared" si="1"/>
        <v>2</v>
      </c>
      <c r="D289" s="20" t="s">
        <v>2993</v>
      </c>
      <c r="E289" s="20">
        <v>1.0</v>
      </c>
    </row>
    <row r="290">
      <c r="A290" s="182"/>
      <c r="B290" s="187" t="str">
        <f>IFERROR(__xludf.DUMMYFUNCTION("""COMPUTED_VALUE"""),"Starfall")</f>
        <v>Starfall</v>
      </c>
      <c r="C290" s="187">
        <f t="shared" si="1"/>
        <v>1</v>
      </c>
      <c r="D290" s="20" t="s">
        <v>2994</v>
      </c>
      <c r="E290" s="20">
        <v>1.0</v>
      </c>
    </row>
    <row r="291">
      <c r="A291" s="182"/>
      <c r="B291" s="187" t="str">
        <f>IFERROR(__xludf.DUMMYFUNCTION("""COMPUTED_VALUE"""),"Shaman")</f>
        <v>Shaman</v>
      </c>
      <c r="C291" s="187">
        <f t="shared" si="1"/>
        <v>2</v>
      </c>
      <c r="D291" s="20" t="s">
        <v>2995</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2996</v>
      </c>
      <c r="E294" s="20">
        <v>1.0</v>
      </c>
    </row>
    <row r="295">
      <c r="A295" s="182"/>
      <c r="B295" s="187" t="str">
        <f>IFERROR(__xludf.DUMMYFUNCTION("""COMPUTED_VALUE"""),"Flamebearer")</f>
        <v>Flamebearer</v>
      </c>
      <c r="C295" s="187">
        <f t="shared" si="1"/>
        <v>1</v>
      </c>
      <c r="D295" s="20" t="s">
        <v>2997</v>
      </c>
      <c r="E295" s="20">
        <v>1.0</v>
      </c>
    </row>
    <row r="296">
      <c r="A296" s="182"/>
      <c r="B296" s="187" t="str">
        <f>IFERROR(__xludf.DUMMYFUNCTION("""COMPUTED_VALUE"""),"Tidecrasher")</f>
        <v>Tidecrasher</v>
      </c>
      <c r="C296" s="187">
        <f t="shared" si="1"/>
        <v>1</v>
      </c>
      <c r="D296" s="20" t="s">
        <v>2998</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2999</v>
      </c>
      <c r="E298" s="20">
        <v>1.0</v>
      </c>
    </row>
    <row r="299">
      <c r="A299" s="182" t="str">
        <f>IFERROR(__xludf.DUMMYFUNCTION("""COMPUTED_VALUE"""),"the")</f>
        <v>the</v>
      </c>
      <c r="B299" s="187" t="str">
        <f>IFERROR(__xludf.DUMMYFUNCTION("""COMPUTED_VALUE"""),"Eons-old")</f>
        <v>Eons-old</v>
      </c>
      <c r="C299" s="187">
        <f t="shared" si="1"/>
        <v>1</v>
      </c>
      <c r="D299" s="20" t="s">
        <v>3000</v>
      </c>
      <c r="E299" s="20">
        <v>1.0</v>
      </c>
    </row>
    <row r="300">
      <c r="A300" s="182" t="str">
        <f>IFERROR(__xludf.DUMMYFUNCTION("""COMPUTED_VALUE"""),"Morning")</f>
        <v>Morning</v>
      </c>
      <c r="B300" s="187" t="str">
        <f>IFERROR(__xludf.DUMMYFUNCTION("""COMPUTED_VALUE"""),"Crystalfang")</f>
        <v>Crystalfang</v>
      </c>
      <c r="C300" s="187">
        <f t="shared" si="1"/>
        <v>1</v>
      </c>
      <c r="D300" s="20" t="s">
        <v>3001</v>
      </c>
      <c r="E300" s="20">
        <v>1.0</v>
      </c>
    </row>
    <row r="301">
      <c r="A301" s="182" t="str">
        <f>IFERROR(__xludf.DUMMYFUNCTION("""COMPUTED_VALUE"""),"Dew")</f>
        <v>Dew</v>
      </c>
      <c r="B301" s="187" t="str">
        <f>IFERROR(__xludf.DUMMYFUNCTION("""COMPUTED_VALUE"""),"Makeshift")</f>
        <v>Makeshift</v>
      </c>
      <c r="C301" s="187">
        <f t="shared" si="1"/>
        <v>1</v>
      </c>
      <c r="D301" s="20" t="s">
        <v>3002</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3003</v>
      </c>
      <c r="E303" s="20">
        <v>1.0</v>
      </c>
    </row>
    <row r="304">
      <c r="A304" s="182"/>
      <c r="B304" s="187" t="str">
        <f>IFERROR(__xludf.DUMMYFUNCTION("""COMPUTED_VALUE"""),"Wraithknight")</f>
        <v>Wraithknight</v>
      </c>
      <c r="C304" s="187">
        <f t="shared" si="1"/>
        <v>1</v>
      </c>
      <c r="D304" s="20" t="s">
        <v>3004</v>
      </c>
      <c r="E304" s="20">
        <v>1.0</v>
      </c>
    </row>
    <row r="305">
      <c r="A305" s="182"/>
      <c r="B305" s="187" t="str">
        <f>IFERROR(__xludf.DUMMYFUNCTION("""COMPUTED_VALUE"""),"Mountblade")</f>
        <v>Mountblade</v>
      </c>
      <c r="C305" s="187">
        <f t="shared" si="1"/>
        <v>1</v>
      </c>
      <c r="D305" s="20" t="s">
        <v>3005</v>
      </c>
      <c r="E305" s="20">
        <v>1.0</v>
      </c>
    </row>
    <row r="306">
      <c r="A306" s="182"/>
      <c r="B306" s="187" t="str">
        <f>IFERROR(__xludf.DUMMYFUNCTION("""COMPUTED_VALUE"""),"Squire")</f>
        <v>Squire</v>
      </c>
      <c r="C306" s="187">
        <f t="shared" si="1"/>
        <v>1</v>
      </c>
      <c r="D306" s="20" t="s">
        <v>3006</v>
      </c>
      <c r="E306" s="20">
        <v>1.0</v>
      </c>
    </row>
    <row r="307">
      <c r="A307" s="182" t="str">
        <f>IFERROR(__xludf.DUMMYFUNCTION("""COMPUTED_VALUE"""),"Auric")</f>
        <v>Auric</v>
      </c>
      <c r="B307" s="187" t="str">
        <f>IFERROR(__xludf.DUMMYFUNCTION("""COMPUTED_VALUE"""),"Pyroclastic")</f>
        <v>Pyroclastic</v>
      </c>
      <c r="C307" s="187">
        <f t="shared" si="1"/>
        <v>1</v>
      </c>
      <c r="D307" s="20" t="s">
        <v>3007</v>
      </c>
      <c r="E307" s="20">
        <v>1.0</v>
      </c>
    </row>
    <row r="308">
      <c r="A308" s="182" t="str">
        <f>IFERROR(__xludf.DUMMYFUNCTION("""COMPUTED_VALUE"""),"Ant")</f>
        <v>Ant</v>
      </c>
      <c r="B308" s="187" t="str">
        <f>IFERROR(__xludf.DUMMYFUNCTION("""COMPUTED_VALUE"""),"Zombie")</f>
        <v>Zombie</v>
      </c>
      <c r="C308" s="187">
        <f t="shared" si="1"/>
        <v>1</v>
      </c>
      <c r="D308" s="20" t="s">
        <v>3008</v>
      </c>
      <c r="E308" s="20">
        <v>1.0</v>
      </c>
    </row>
    <row r="309">
      <c r="A309" s="182" t="str">
        <f>IFERROR(__xludf.DUMMYFUNCTION("""COMPUTED_VALUE"""),"Regent")</f>
        <v>Regent</v>
      </c>
      <c r="B309" s="187" t="str">
        <f>IFERROR(__xludf.DUMMYFUNCTION("""COMPUTED_VALUE"""),"Old")</f>
        <v>Old</v>
      </c>
      <c r="C309" s="187">
        <f t="shared" si="1"/>
        <v>2</v>
      </c>
      <c r="D309" s="20" t="s">
        <v>3009</v>
      </c>
      <c r="E309" s="20">
        <v>1.0</v>
      </c>
    </row>
    <row r="310">
      <c r="A310" s="182"/>
      <c r="B310" s="187" t="str">
        <f>IFERROR(__xludf.DUMMYFUNCTION("""COMPUTED_VALUE"""),"Fisherman")</f>
        <v>Fisherman</v>
      </c>
      <c r="C310" s="187">
        <f t="shared" si="1"/>
        <v>1</v>
      </c>
      <c r="D310" s="20" t="s">
        <v>3010</v>
      </c>
      <c r="E310" s="20">
        <v>1.0</v>
      </c>
    </row>
    <row r="311">
      <c r="A311" s="182"/>
      <c r="B311" s="187" t="str">
        <f>IFERROR(__xludf.DUMMYFUNCTION("""COMPUTED_VALUE"""),"Wasteland")</f>
        <v>Wasteland</v>
      </c>
      <c r="C311" s="187">
        <f t="shared" si="1"/>
        <v>2</v>
      </c>
      <c r="D311" s="20" t="s">
        <v>3011</v>
      </c>
      <c r="E311" s="20">
        <v>1.0</v>
      </c>
    </row>
    <row r="312">
      <c r="A312" s="182" t="str">
        <f>IFERROR(__xludf.DUMMYFUNCTION("""COMPUTED_VALUE"""),"Blessing")</f>
        <v>Blessing</v>
      </c>
      <c r="B312" s="187" t="str">
        <f>IFERROR(__xludf.DUMMYFUNCTION("""COMPUTED_VALUE"""),"Overlord")</f>
        <v>Overlord</v>
      </c>
      <c r="C312" s="187">
        <f t="shared" si="1"/>
        <v>2</v>
      </c>
      <c r="D312" s="20" t="s">
        <v>3012</v>
      </c>
      <c r="E312" s="20">
        <v>1.0</v>
      </c>
    </row>
    <row r="313">
      <c r="A313" s="182" t="str">
        <f>IFERROR(__xludf.DUMMYFUNCTION("""COMPUTED_VALUE"""),"Bestower")</f>
        <v>Bestower</v>
      </c>
      <c r="B313" s="187" t="str">
        <f>IFERROR(__xludf.DUMMYFUNCTION("""COMPUTED_VALUE"""),"Pinwheel")</f>
        <v>Pinwheel</v>
      </c>
      <c r="C313" s="187">
        <f t="shared" si="1"/>
        <v>1</v>
      </c>
      <c r="D313" s="20" t="s">
        <v>3013</v>
      </c>
      <c r="E313" s="20">
        <v>1.0</v>
      </c>
    </row>
    <row r="314">
      <c r="A314" s="182"/>
      <c r="B314" s="187" t="str">
        <f>IFERROR(__xludf.DUMMYFUNCTION("""COMPUTED_VALUE"""),"Illusionist")</f>
        <v>Illusionist</v>
      </c>
      <c r="C314" s="187">
        <f t="shared" si="1"/>
        <v>1</v>
      </c>
      <c r="D314" s="20" t="s">
        <v>3014</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3015</v>
      </c>
      <c r="E316" s="20">
        <v>1.0</v>
      </c>
    </row>
    <row r="317">
      <c r="A317" s="182" t="str">
        <f>IFERROR(__xludf.DUMMYFUNCTION("""COMPUTED_VALUE"""),"Obelisk")</f>
        <v>Obelisk</v>
      </c>
      <c r="B317" s="187" t="str">
        <f>IFERROR(__xludf.DUMMYFUNCTION("""COMPUTED_VALUE"""),"Incense")</f>
        <v>Incense</v>
      </c>
      <c r="C317" s="187">
        <f t="shared" si="1"/>
        <v>1</v>
      </c>
      <c r="D317" s="20" t="s">
        <v>3016</v>
      </c>
      <c r="E317" s="20">
        <v>1.0</v>
      </c>
    </row>
    <row r="318">
      <c r="A318" s="182" t="str">
        <f>IFERROR(__xludf.DUMMYFUNCTION("""COMPUTED_VALUE"""),"Waypost")</f>
        <v>Waypost</v>
      </c>
      <c r="B318" s="187" t="str">
        <f>IFERROR(__xludf.DUMMYFUNCTION("""COMPUTED_VALUE"""),"Quadriga")</f>
        <v>Quadriga</v>
      </c>
      <c r="C318" s="187">
        <f t="shared" si="1"/>
        <v>1</v>
      </c>
      <c r="D318" s="20" t="s">
        <v>3017</v>
      </c>
      <c r="E318" s="20">
        <v>1.0</v>
      </c>
    </row>
    <row r="319">
      <c r="A319" s="182"/>
      <c r="B319" s="187" t="str">
        <f>IFERROR(__xludf.DUMMYFUNCTION("""COMPUTED_VALUE"""),"Triumph")</f>
        <v>Triumph</v>
      </c>
      <c r="C319" s="187">
        <f t="shared" si="1"/>
        <v>1</v>
      </c>
      <c r="D319" s="20" t="s">
        <v>3018</v>
      </c>
      <c r="E319" s="20">
        <v>1.0</v>
      </c>
    </row>
    <row r="320">
      <c r="A320" s="182"/>
      <c r="B320" s="187" t="str">
        <f>IFERROR(__xludf.DUMMYFUNCTION("""COMPUTED_VALUE"""),"Ambrosia")</f>
        <v>Ambrosia</v>
      </c>
      <c r="C320" s="187">
        <f t="shared" si="1"/>
        <v>1</v>
      </c>
      <c r="D320" s="20" t="s">
        <v>3019</v>
      </c>
      <c r="E320" s="20">
        <v>1.0</v>
      </c>
    </row>
    <row r="321">
      <c r="A321" s="182"/>
      <c r="B321" s="187" t="str">
        <f>IFERROR(__xludf.DUMMYFUNCTION("""COMPUTED_VALUE"""),"Bee")</f>
        <v>Bee</v>
      </c>
      <c r="C321" s="187">
        <f t="shared" si="1"/>
        <v>1</v>
      </c>
      <c r="D321" s="20" t="s">
        <v>3020</v>
      </c>
      <c r="E321" s="20">
        <v>1.0</v>
      </c>
    </row>
    <row r="322">
      <c r="A322" s="182" t="str">
        <f>IFERROR(__xludf.DUMMYFUNCTION("""COMPUTED_VALUE"""),"Crimson")</f>
        <v>Crimson</v>
      </c>
      <c r="B322" s="187" t="str">
        <f>IFERROR(__xludf.DUMMYFUNCTION("""COMPUTED_VALUE"""),"Recruiting")</f>
        <v>Recruiting</v>
      </c>
      <c r="C322" s="187">
        <f t="shared" si="1"/>
        <v>1</v>
      </c>
      <c r="D322" s="20" t="s">
        <v>3021</v>
      </c>
      <c r="E322" s="20">
        <v>1.0</v>
      </c>
    </row>
    <row r="323">
      <c r="A323" s="182" t="str">
        <f>IFERROR(__xludf.DUMMYFUNCTION("""COMPUTED_VALUE"""),"Flamechick")</f>
        <v>Flamechick</v>
      </c>
      <c r="B323" s="187" t="str">
        <f>IFERROR(__xludf.DUMMYFUNCTION("""COMPUTED_VALUE"""),"Officer")</f>
        <v>Officer</v>
      </c>
      <c r="C323" s="187">
        <f t="shared" si="1"/>
        <v>1</v>
      </c>
      <c r="D323" s="20" t="s">
        <v>3022</v>
      </c>
      <c r="E323" s="20">
        <v>1.0</v>
      </c>
    </row>
    <row r="324">
      <c r="A324" s="182"/>
      <c r="B324" s="187" t="str">
        <f>IFERROR(__xludf.DUMMYFUNCTION("""COMPUTED_VALUE"""),"Remnant")</f>
        <v>Remnant</v>
      </c>
      <c r="C324" s="187">
        <f t="shared" si="1"/>
        <v>1</v>
      </c>
      <c r="D324" s="20" t="s">
        <v>3023</v>
      </c>
      <c r="E324" s="20">
        <v>1.0</v>
      </c>
    </row>
    <row r="325">
      <c r="A325" s="182"/>
      <c r="B325" s="187" t="str">
        <f>IFERROR(__xludf.DUMMYFUNCTION("""COMPUTED_VALUE"""),"Quiet")</f>
        <v>Quiet</v>
      </c>
      <c r="C325" s="187">
        <f t="shared" si="1"/>
        <v>1</v>
      </c>
      <c r="D325" s="20" t="s">
        <v>3024</v>
      </c>
      <c r="E325" s="20">
        <v>1.0</v>
      </c>
    </row>
    <row r="326">
      <c r="A326" s="182"/>
      <c r="B326" s="187" t="str">
        <f>IFERROR(__xludf.DUMMYFUNCTION("""COMPUTED_VALUE"""),"Springs")</f>
        <v>Springs</v>
      </c>
      <c r="C326" s="187">
        <f t="shared" si="1"/>
        <v>2</v>
      </c>
      <c r="D326" s="20" t="s">
        <v>3025</v>
      </c>
      <c r="E326" s="20">
        <v>1.0</v>
      </c>
    </row>
    <row r="327">
      <c r="A327" s="182" t="str">
        <f>IFERROR(__xludf.DUMMYFUNCTION("""COMPUTED_VALUE"""),"The")</f>
        <v>The</v>
      </c>
      <c r="B327" s="187" t="str">
        <f>IFERROR(__xludf.DUMMYFUNCTION("""COMPUTED_VALUE"""),"Sandring")</f>
        <v>Sandring</v>
      </c>
      <c r="C327" s="187">
        <f t="shared" si="1"/>
        <v>1</v>
      </c>
      <c r="D327" s="20" t="s">
        <v>3026</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3027</v>
      </c>
      <c r="E330" s="20">
        <v>1.0</v>
      </c>
    </row>
    <row r="331">
      <c r="A331" s="182"/>
      <c r="B331" s="187" t="str">
        <f>IFERROR(__xludf.DUMMYFUNCTION("""COMPUTED_VALUE"""),"Scapegoat")</f>
        <v>Scapegoat</v>
      </c>
      <c r="C331" s="187">
        <f t="shared" si="1"/>
        <v>1</v>
      </c>
      <c r="D331" s="20" t="s">
        <v>3028</v>
      </c>
      <c r="E331" s="20">
        <v>1.0</v>
      </c>
    </row>
    <row r="332">
      <c r="A332" s="182" t="str">
        <f>IFERROR(__xludf.DUMMYFUNCTION("""COMPUTED_VALUE"""),"Tranquil")</f>
        <v>Tranquil</v>
      </c>
      <c r="B332" s="187" t="str">
        <f>IFERROR(__xludf.DUMMYFUNCTION("""COMPUTED_VALUE"""),"Ironstride")</f>
        <v>Ironstride</v>
      </c>
      <c r="C332" s="187">
        <f t="shared" si="1"/>
        <v>1</v>
      </c>
      <c r="D332" s="20" t="s">
        <v>3029</v>
      </c>
      <c r="E332" s="20">
        <v>1.0</v>
      </c>
    </row>
    <row r="333">
      <c r="A333" s="182" t="str">
        <f>IFERROR(__xludf.DUMMYFUNCTION("""COMPUTED_VALUE"""),"Herd")</f>
        <v>Herd</v>
      </c>
      <c r="B333" s="187" t="str">
        <f>IFERROR(__xludf.DUMMYFUNCTION("""COMPUTED_VALUE"""),"Courser")</f>
        <v>Courser</v>
      </c>
      <c r="C333" s="187">
        <f t="shared" si="1"/>
        <v>1</v>
      </c>
      <c r="D333" s="20" t="s">
        <v>3030</v>
      </c>
      <c r="E333" s="20">
        <v>1.0</v>
      </c>
    </row>
    <row r="334">
      <c r="A334" s="182" t="str">
        <f>IFERROR(__xludf.DUMMYFUNCTION("""COMPUTED_VALUE"""),"Rubyskull")</f>
        <v>Rubyskull</v>
      </c>
      <c r="B334" s="187" t="str">
        <f>IFERROR(__xludf.DUMMYFUNCTION("""COMPUTED_VALUE"""),"Pocket")</f>
        <v>Pocket</v>
      </c>
      <c r="C334" s="187">
        <f t="shared" si="1"/>
        <v>1</v>
      </c>
      <c r="D334" s="20" t="s">
        <v>3031</v>
      </c>
      <c r="E334" s="20">
        <v>1.0</v>
      </c>
    </row>
    <row r="335">
      <c r="A335" s="182"/>
      <c r="B335" s="187" t="str">
        <f>IFERROR(__xludf.DUMMYFUNCTION("""COMPUTED_VALUE"""),"Prime")</f>
        <v>Prime</v>
      </c>
      <c r="C335" s="187">
        <f t="shared" si="1"/>
        <v>1</v>
      </c>
      <c r="D335" s="20" t="s">
        <v>3032</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3033</v>
      </c>
      <c r="E337" s="20">
        <v>1.0</v>
      </c>
    </row>
    <row r="338">
      <c r="A338" s="182" t="str">
        <f>IFERROR(__xludf.DUMMYFUNCTION("""COMPUTED_VALUE"""),"Usurper")</f>
        <v>Usurper</v>
      </c>
      <c r="B338" s="187" t="str">
        <f>IFERROR(__xludf.DUMMYFUNCTION("""COMPUTED_VALUE"""),"Surly")</f>
        <v>Surly</v>
      </c>
      <c r="C338" s="187">
        <f t="shared" si="1"/>
        <v>1</v>
      </c>
      <c r="D338" s="20" t="s">
        <v>3034</v>
      </c>
      <c r="E338" s="20">
        <v>1.0</v>
      </c>
    </row>
    <row r="339">
      <c r="A339" s="182"/>
      <c r="B339" s="187" t="str">
        <f>IFERROR(__xludf.DUMMYFUNCTION("""COMPUTED_VALUE"""),"Donkey")</f>
        <v>Donkey</v>
      </c>
      <c r="C339" s="187">
        <f t="shared" si="1"/>
        <v>1</v>
      </c>
      <c r="D339" s="20" t="s">
        <v>3035</v>
      </c>
      <c r="E339" s="20">
        <v>1.0</v>
      </c>
    </row>
    <row r="340">
      <c r="A340" s="182"/>
      <c r="B340" s="187" t="str">
        <f>IFERROR(__xludf.DUMMYFUNCTION("""COMPUTED_VALUE"""),"Grand")</f>
        <v>Grand</v>
      </c>
      <c r="C340" s="187">
        <f t="shared" si="1"/>
        <v>1</v>
      </c>
      <c r="D340" s="20" t="s">
        <v>3036</v>
      </c>
      <c r="E340" s="20">
        <v>1.0</v>
      </c>
    </row>
    <row r="341">
      <c r="A341" s="182"/>
      <c r="B341" s="187" t="str">
        <f>IFERROR(__xludf.DUMMYFUNCTION("""COMPUTED_VALUE"""),"Ruiner")</f>
        <v>Ruiner</v>
      </c>
      <c r="C341" s="187">
        <f t="shared" si="1"/>
        <v>1</v>
      </c>
      <c r="D341" s="20" t="s">
        <v>3037</v>
      </c>
      <c r="E341" s="20">
        <v>1.0</v>
      </c>
    </row>
    <row r="342">
      <c r="A342" s="182" t="str">
        <f>IFERROR(__xludf.DUMMYFUNCTION("""COMPUTED_VALUE"""),"Thunderswarm")</f>
        <v>Thunderswarm</v>
      </c>
      <c r="B342" s="187" t="str">
        <f>IFERROR(__xludf.DUMMYFUNCTION("""COMPUTED_VALUE"""),"Snow")</f>
        <v>Snow</v>
      </c>
      <c r="C342" s="187">
        <f t="shared" si="1"/>
        <v>1</v>
      </c>
      <c r="D342" s="20" t="s">
        <v>3038</v>
      </c>
      <c r="E342" s="20">
        <v>1.0</v>
      </c>
    </row>
    <row r="343">
      <c r="A343" s="182" t="str">
        <f>IFERROR(__xludf.DUMMYFUNCTION("""COMPUTED_VALUE"""),"Celestial")</f>
        <v>Celestial</v>
      </c>
      <c r="B343" s="187" t="str">
        <f>IFERROR(__xludf.DUMMYFUNCTION("""COMPUTED_VALUE"""),"Crane")</f>
        <v>Crane</v>
      </c>
      <c r="C343" s="187">
        <f t="shared" si="1"/>
        <v>1</v>
      </c>
      <c r="D343" s="20" t="s">
        <v>3039</v>
      </c>
      <c r="E343" s="20">
        <v>1.0</v>
      </c>
    </row>
    <row r="344">
      <c r="A344" s="182"/>
      <c r="B344" s="187" t="str">
        <f>IFERROR(__xludf.DUMMYFUNCTION("""COMPUTED_VALUE"""),"Trading")</f>
        <v>Trading</v>
      </c>
      <c r="C344" s="187">
        <f t="shared" si="1"/>
        <v>1</v>
      </c>
      <c r="D344" s="20" t="s">
        <v>3040</v>
      </c>
      <c r="E344" s="20">
        <v>1.0</v>
      </c>
    </row>
    <row r="345">
      <c r="A345" s="182"/>
      <c r="B345" s="187" t="str">
        <f>IFERROR(__xludf.DUMMYFUNCTION("""COMPUTED_VALUE"""),"Post")</f>
        <v>Post</v>
      </c>
      <c r="C345" s="187">
        <f t="shared" si="1"/>
        <v>1</v>
      </c>
      <c r="D345" s="20" t="s">
        <v>3041</v>
      </c>
      <c r="E345" s="20">
        <v>1.0</v>
      </c>
    </row>
    <row r="346">
      <c r="A346" s="182"/>
      <c r="B346" s="187" t="str">
        <f>IFERROR(__xludf.DUMMYFUNCTION("""COMPUTED_VALUE"""),"Camel")</f>
        <v>Camel</v>
      </c>
      <c r="C346" s="187">
        <f t="shared" si="1"/>
        <v>2</v>
      </c>
      <c r="D346" s="20" t="s">
        <v>3042</v>
      </c>
      <c r="E346" s="20">
        <v>1.0</v>
      </c>
    </row>
    <row r="347">
      <c r="A347" s="182" t="str">
        <f>IFERROR(__xludf.DUMMYFUNCTION("""COMPUTED_VALUE"""),"The")</f>
        <v>The</v>
      </c>
      <c r="B347" s="187" t="str">
        <f>IFERROR(__xludf.DUMMYFUNCTION("""COMPUTED_VALUE"""),"Stormforged")</f>
        <v>Stormforged</v>
      </c>
      <c r="C347" s="187">
        <f t="shared" si="1"/>
        <v>1</v>
      </c>
      <c r="D347" s="20" t="s">
        <v>3043</v>
      </c>
      <c r="E347" s="20">
        <v>1.0</v>
      </c>
    </row>
    <row r="348">
      <c r="A348" s="182" t="str">
        <f>IFERROR(__xludf.DUMMYFUNCTION("""COMPUTED_VALUE"""),"Second")</f>
        <v>Second</v>
      </c>
      <c r="B348" s="187" t="str">
        <f>IFERROR(__xludf.DUMMYFUNCTION("""COMPUTED_VALUE"""),"Recruit")</f>
        <v>Recruit</v>
      </c>
      <c r="C348" s="187">
        <f t="shared" si="1"/>
        <v>1</v>
      </c>
      <c r="D348" s="20" t="s">
        <v>3044</v>
      </c>
      <c r="E348" s="20">
        <v>1.0</v>
      </c>
    </row>
    <row r="349">
      <c r="A349" s="182" t="str">
        <f>IFERROR(__xludf.DUMMYFUNCTION("""COMPUTED_VALUE"""),"Wing")</f>
        <v>Wing</v>
      </c>
      <c r="B349" s="187" t="str">
        <f>IFERROR(__xludf.DUMMYFUNCTION("""COMPUTED_VALUE"""),"Supply")</f>
        <v>Supply</v>
      </c>
      <c r="C349" s="187">
        <f t="shared" si="1"/>
        <v>1</v>
      </c>
      <c r="D349" s="20" t="s">
        <v>3045</v>
      </c>
      <c r="E349" s="20">
        <v>1.0</v>
      </c>
    </row>
    <row r="350">
      <c r="A350" s="182"/>
      <c r="B350" s="187" t="str">
        <f>IFERROR(__xludf.DUMMYFUNCTION("""COMPUTED_VALUE"""),"Trusty")</f>
        <v>Trusty</v>
      </c>
      <c r="C350" s="187">
        <f t="shared" si="1"/>
        <v>1</v>
      </c>
      <c r="D350" s="20" t="s">
        <v>3046</v>
      </c>
      <c r="E350" s="20">
        <v>1.0</v>
      </c>
    </row>
    <row r="351">
      <c r="A351" s="182"/>
      <c r="B351" s="187" t="str">
        <f>IFERROR(__xludf.DUMMYFUNCTION("""COMPUTED_VALUE"""),"Companion")</f>
        <v>Companion</v>
      </c>
      <c r="C351" s="187">
        <f t="shared" si="1"/>
        <v>1</v>
      </c>
      <c r="D351" s="20" t="s">
        <v>3047</v>
      </c>
      <c r="E351" s="20">
        <v>1.0</v>
      </c>
    </row>
    <row r="352">
      <c r="A352" s="182" t="str">
        <f>IFERROR(__xludf.DUMMYFUNCTION("""COMPUTED_VALUE"""),"Ivoryscar")</f>
        <v>Ivoryscar</v>
      </c>
      <c r="B352" s="187" t="str">
        <f>IFERROR(__xludf.DUMMYFUNCTION("""COMPUTED_VALUE"""),"Bloodfleet")</f>
        <v>Bloodfleet</v>
      </c>
      <c r="C352" s="187">
        <f t="shared" si="1"/>
        <v>2</v>
      </c>
      <c r="D352" s="20" t="s">
        <v>3048</v>
      </c>
      <c r="E352" s="20">
        <v>1.0</v>
      </c>
    </row>
    <row r="353">
      <c r="A353" s="182" t="str">
        <f>IFERROR(__xludf.DUMMYFUNCTION("""COMPUTED_VALUE"""),"Fatebreaker")</f>
        <v>Fatebreaker</v>
      </c>
      <c r="B353" s="187" t="str">
        <f>IFERROR(__xludf.DUMMYFUNCTION("""COMPUTED_VALUE"""),"Raider")</f>
        <v>Raider</v>
      </c>
      <c r="C353" s="187">
        <f t="shared" si="1"/>
        <v>2</v>
      </c>
      <c r="D353" s="20" t="s">
        <v>3049</v>
      </c>
      <c r="E353" s="20">
        <v>1.0</v>
      </c>
    </row>
    <row r="354">
      <c r="A354" s="182"/>
      <c r="B354" s="187" t="str">
        <f>IFERROR(__xludf.DUMMYFUNCTION("""COMPUTED_VALUE"""),"Caring")</f>
        <v>Caring</v>
      </c>
      <c r="C354" s="187">
        <f t="shared" si="1"/>
        <v>2</v>
      </c>
      <c r="D354" s="20" t="s">
        <v>3050</v>
      </c>
      <c r="E354" s="20">
        <v>1.0</v>
      </c>
    </row>
    <row r="355">
      <c r="A355" s="182"/>
      <c r="B355" s="187" t="str">
        <f>IFERROR(__xludf.DUMMYFUNCTION("""COMPUTED_VALUE"""),"Mother")</f>
        <v>Mother</v>
      </c>
      <c r="C355" s="187">
        <f t="shared" si="1"/>
        <v>1</v>
      </c>
      <c r="D355" s="20" t="s">
        <v>3051</v>
      </c>
      <c r="E355" s="20">
        <v>1.0</v>
      </c>
    </row>
    <row r="356">
      <c r="A356" s="182"/>
      <c r="B356" s="187" t="str">
        <f>IFERROR(__xludf.DUMMYFUNCTION("""COMPUTED_VALUE"""),"Wayward")</f>
        <v>Wayward</v>
      </c>
      <c r="C356" s="187">
        <f t="shared" si="1"/>
        <v>1</v>
      </c>
      <c r="D356" s="20" t="s">
        <v>3052</v>
      </c>
      <c r="E356" s="20">
        <v>1.0</v>
      </c>
    </row>
    <row r="357">
      <c r="A357" s="182" t="str">
        <f>IFERROR(__xludf.DUMMYFUNCTION("""COMPUTED_VALUE"""),"Moon")</f>
        <v>Moon</v>
      </c>
      <c r="B357" s="187" t="str">
        <f>IFERROR(__xludf.DUMMYFUNCTION("""COMPUTED_VALUE"""),"Battle")</f>
        <v>Battle</v>
      </c>
      <c r="C357" s="187">
        <f t="shared" si="1"/>
        <v>1</v>
      </c>
      <c r="D357" s="20" t="s">
        <v>3053</v>
      </c>
      <c r="E357" s="20">
        <v>1.0</v>
      </c>
    </row>
    <row r="358">
      <c r="A358" s="182" t="str">
        <f>IFERROR(__xludf.DUMMYFUNCTION("""COMPUTED_VALUE"""),"Priestess")</f>
        <v>Priestess</v>
      </c>
      <c r="B358" s="187" t="str">
        <f>IFERROR(__xludf.DUMMYFUNCTION("""COMPUTED_VALUE"""),"Dreadnought")</f>
        <v>Dreadnought</v>
      </c>
      <c r="C358" s="187">
        <f t="shared" si="1"/>
        <v>1</v>
      </c>
      <c r="D358" s="20" t="s">
        <v>3054</v>
      </c>
      <c r="E358" s="20">
        <v>1.0</v>
      </c>
    </row>
    <row r="359">
      <c r="A359" s="182"/>
      <c r="B359" s="187" t="str">
        <f>IFERROR(__xludf.DUMMYFUNCTION("""COMPUTED_VALUE"""),"Dojo")</f>
        <v>Dojo</v>
      </c>
      <c r="C359" s="187">
        <f t="shared" si="1"/>
        <v>1</v>
      </c>
      <c r="D359" s="20" t="s">
        <v>3055</v>
      </c>
      <c r="E359" s="20">
        <v>1.0</v>
      </c>
    </row>
    <row r="360">
      <c r="A360" s="182"/>
      <c r="B360" s="187" t="str">
        <f>IFERROR(__xludf.DUMMYFUNCTION("""COMPUTED_VALUE"""),"Drill")</f>
        <v>Drill</v>
      </c>
      <c r="C360" s="187">
        <f t="shared" si="1"/>
        <v>1</v>
      </c>
      <c r="D360" s="20" t="s">
        <v>3056</v>
      </c>
      <c r="E360" s="20">
        <v>1.0</v>
      </c>
    </row>
    <row r="361">
      <c r="A361" s="182"/>
      <c r="B361" s="187" t="str">
        <f>IFERROR(__xludf.DUMMYFUNCTION("""COMPUTED_VALUE"""),"Instructor")</f>
        <v>Instructor</v>
      </c>
      <c r="C361" s="187">
        <f t="shared" si="1"/>
        <v>1</v>
      </c>
      <c r="D361" s="20" t="s">
        <v>3057</v>
      </c>
      <c r="E361" s="20">
        <v>1.0</v>
      </c>
    </row>
    <row r="362">
      <c r="A362" s="182" t="str">
        <f>IFERROR(__xludf.DUMMYFUNCTION("""COMPUTED_VALUE"""),"Airstep")</f>
        <v>Airstep</v>
      </c>
      <c r="B362" s="187" t="str">
        <f>IFERROR(__xludf.DUMMYFUNCTION("""COMPUTED_VALUE"""),"Rune")</f>
        <v>Rune</v>
      </c>
      <c r="C362" s="187">
        <f t="shared" si="1"/>
        <v>1</v>
      </c>
      <c r="D362" s="20" t="s">
        <v>3058</v>
      </c>
      <c r="E362" s="20">
        <v>1.0</v>
      </c>
    </row>
    <row r="363">
      <c r="A363" s="182" t="str">
        <f>IFERROR(__xludf.DUMMYFUNCTION("""COMPUTED_VALUE"""),"Sifu")</f>
        <v>Sifu</v>
      </c>
      <c r="B363" s="187" t="str">
        <f>IFERROR(__xludf.DUMMYFUNCTION("""COMPUTED_VALUE"""),"Whisperer")</f>
        <v>Whisperer</v>
      </c>
      <c r="C363" s="187">
        <f t="shared" si="1"/>
        <v>1</v>
      </c>
      <c r="D363" s="20" t="s">
        <v>3059</v>
      </c>
      <c r="E363" s="20">
        <v>1.0</v>
      </c>
    </row>
    <row r="364">
      <c r="A364" s="182"/>
      <c r="B364" s="187" t="str">
        <f>IFERROR(__xludf.DUMMYFUNCTION("""COMPUTED_VALUE"""),"Ironclad")</f>
        <v>Ironclad</v>
      </c>
      <c r="C364" s="187">
        <f t="shared" si="1"/>
        <v>1</v>
      </c>
      <c r="D364" s="20" t="s">
        <v>3060</v>
      </c>
      <c r="E364" s="20">
        <v>1.0</v>
      </c>
    </row>
    <row r="365">
      <c r="A365" s="182"/>
      <c r="B365" s="187" t="str">
        <f>IFERROR(__xludf.DUMMYFUNCTION("""COMPUTED_VALUE"""),"Jailwalker")</f>
        <v>Jailwalker</v>
      </c>
      <c r="C365" s="187">
        <f t="shared" si="1"/>
        <v>1</v>
      </c>
      <c r="D365" s="20" t="s">
        <v>3061</v>
      </c>
      <c r="E365" s="20">
        <v>1.0</v>
      </c>
    </row>
    <row r="366">
      <c r="A366" s="182"/>
      <c r="B366" s="187" t="str">
        <f>IFERROR(__xludf.DUMMYFUNCTION("""COMPUTED_VALUE"""),"Holy")</f>
        <v>Holy</v>
      </c>
      <c r="C366" s="187">
        <f t="shared" si="1"/>
        <v>1</v>
      </c>
      <c r="D366" s="20" t="s">
        <v>3062</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3063</v>
      </c>
      <c r="E368" s="20">
        <v>1.0</v>
      </c>
    </row>
    <row r="369">
      <c r="A369" s="182"/>
      <c r="B369" s="187" t="str">
        <f>IFERROR(__xludf.DUMMYFUNCTION("""COMPUTED_VALUE"""),"Tree")</f>
        <v>Tree</v>
      </c>
      <c r="C369" s="187">
        <f t="shared" si="1"/>
        <v>2</v>
      </c>
      <c r="D369" s="20" t="s">
        <v>3064</v>
      </c>
      <c r="E369" s="20">
        <v>1.0</v>
      </c>
    </row>
    <row r="370">
      <c r="A370" s="182"/>
      <c r="B370" s="187" t="str">
        <f>IFERROR(__xludf.DUMMYFUNCTION("""COMPUTED_VALUE"""),"Rampart")</f>
        <v>Rampart</v>
      </c>
      <c r="C370" s="187">
        <f t="shared" si="1"/>
        <v>1</v>
      </c>
      <c r="D370" s="20" t="s">
        <v>3065</v>
      </c>
      <c r="E370" s="20">
        <v>1.0</v>
      </c>
    </row>
    <row r="371">
      <c r="A371" s="182"/>
      <c r="B371" s="187" t="str">
        <f>IFERROR(__xludf.DUMMYFUNCTION("""COMPUTED_VALUE"""),"Shellback")</f>
        <v>Shellback</v>
      </c>
      <c r="C371" s="187">
        <f t="shared" si="1"/>
        <v>1</v>
      </c>
      <c r="D371" s="20" t="s">
        <v>3066</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3067</v>
      </c>
      <c r="E373" s="20">
        <v>1.0</v>
      </c>
    </row>
    <row r="374">
      <c r="A374" s="182"/>
      <c r="B374" s="187" t="str">
        <f>IFERROR(__xludf.DUMMYFUNCTION("""COMPUTED_VALUE"""),"Scalehide")</f>
        <v>Scalehide</v>
      </c>
      <c r="C374" s="187">
        <f t="shared" si="1"/>
        <v>1</v>
      </c>
      <c r="D374" s="20" t="s">
        <v>3068</v>
      </c>
      <c r="E374" s="20">
        <v>1.0</v>
      </c>
    </row>
    <row r="375">
      <c r="A375" s="182"/>
      <c r="B375" s="187" t="str">
        <f>IFERROR(__xludf.DUMMYFUNCTION("""COMPUTED_VALUE"""),"Trapper")</f>
        <v>Trapper</v>
      </c>
      <c r="C375" s="187">
        <f t="shared" si="1"/>
        <v>1</v>
      </c>
      <c r="D375" s="20" t="s">
        <v>3069</v>
      </c>
      <c r="E375" s="20">
        <v>1.0</v>
      </c>
    </row>
    <row r="376">
      <c r="A376" s="182"/>
      <c r="B376" s="187" t="str">
        <f>IFERROR(__xludf.DUMMYFUNCTION("""COMPUTED_VALUE"""),"Crescent")</f>
        <v>Crescent</v>
      </c>
      <c r="C376" s="187">
        <f t="shared" si="1"/>
        <v>1</v>
      </c>
      <c r="D376" s="20" t="s">
        <v>3070</v>
      </c>
      <c r="E376" s="20">
        <v>1.0</v>
      </c>
    </row>
    <row r="377">
      <c r="A377" s="182" t="str">
        <f>IFERROR(__xludf.DUMMYFUNCTION("""COMPUTED_VALUE"""),"Auraborne")</f>
        <v>Auraborne</v>
      </c>
      <c r="B377" s="187" t="str">
        <f>IFERROR(__xludf.DUMMYFUNCTION("""COMPUTED_VALUE"""),"Trapmaster")</f>
        <v>Trapmaster</v>
      </c>
      <c r="C377" s="187">
        <f t="shared" si="1"/>
        <v>1</v>
      </c>
      <c r="D377" s="20" t="s">
        <v>3071</v>
      </c>
      <c r="E377" s="20">
        <v>1.0</v>
      </c>
    </row>
    <row r="378">
      <c r="A378" s="182" t="str">
        <f>IFERROR(__xludf.DUMMYFUNCTION("""COMPUTED_VALUE"""),"Wyvern")</f>
        <v>Wyvern</v>
      </c>
      <c r="B378" s="187" t="str">
        <f>IFERROR(__xludf.DUMMYFUNCTION("""COMPUTED_VALUE"""),"Gemcrazed")</f>
        <v>Gemcrazed</v>
      </c>
      <c r="C378" s="187">
        <f t="shared" si="1"/>
        <v>1</v>
      </c>
      <c r="D378" s="20" t="s">
        <v>3072</v>
      </c>
      <c r="E378" s="20">
        <v>1.0</v>
      </c>
    </row>
    <row r="379">
      <c r="A379" s="182"/>
      <c r="B379" s="187" t="str">
        <f>IFERROR(__xludf.DUMMYFUNCTION("""COMPUTED_VALUE"""),"Clown")</f>
        <v>Clown</v>
      </c>
      <c r="C379" s="187">
        <f t="shared" si="1"/>
        <v>1</v>
      </c>
      <c r="D379" s="20" t="s">
        <v>3073</v>
      </c>
      <c r="E379" s="20">
        <v>1.0</v>
      </c>
    </row>
    <row r="380">
      <c r="A380" s="182"/>
      <c r="B380" s="187" t="str">
        <f>IFERROR(__xludf.DUMMYFUNCTION("""COMPUTED_VALUE"""),"Augur")</f>
        <v>Augur</v>
      </c>
      <c r="C380" s="187">
        <f t="shared" si="1"/>
        <v>1</v>
      </c>
      <c r="D380" s="20" t="s">
        <v>3074</v>
      </c>
      <c r="E380" s="20">
        <v>1.0</v>
      </c>
    </row>
    <row r="381">
      <c r="A381" s="182"/>
      <c r="B381" s="187" t="str">
        <f>IFERROR(__xludf.DUMMYFUNCTION("""COMPUTED_VALUE"""),"Sanguine")</f>
        <v>Sanguine</v>
      </c>
      <c r="C381" s="187">
        <f t="shared" si="1"/>
        <v>2</v>
      </c>
      <c r="D381" s="20" t="s">
        <v>3075</v>
      </c>
      <c r="E381" s="20">
        <v>1.0</v>
      </c>
    </row>
    <row r="382">
      <c r="A382" s="182" t="str">
        <f>IFERROR(__xludf.DUMMYFUNCTION("""COMPUTED_VALUE"""),"Blazecharm")</f>
        <v>Blazecharm</v>
      </c>
      <c r="B382" s="187" t="str">
        <f>IFERROR(__xludf.DUMMYFUNCTION("""COMPUTED_VALUE"""),"Student")</f>
        <v>Student</v>
      </c>
      <c r="C382" s="187">
        <f t="shared" si="1"/>
        <v>1</v>
      </c>
      <c r="D382" s="20" t="s">
        <v>3076</v>
      </c>
      <c r="E382" s="20">
        <v>1.0</v>
      </c>
    </row>
    <row r="383">
      <c r="A383" s="182" t="str">
        <f>IFERROR(__xludf.DUMMYFUNCTION("""COMPUTED_VALUE"""),"Kitsune")</f>
        <v>Kitsune</v>
      </c>
      <c r="B383" s="187" t="str">
        <f>IFERROR(__xludf.DUMMYFUNCTION("""COMPUTED_VALUE"""),"Shade")</f>
        <v>Shade</v>
      </c>
      <c r="C383" s="187">
        <f t="shared" si="1"/>
        <v>1</v>
      </c>
      <c r="D383" s="20" t="s">
        <v>3077</v>
      </c>
      <c r="E383" s="20">
        <v>1.0</v>
      </c>
    </row>
    <row r="384">
      <c r="A384" s="182"/>
      <c r="B384" s="187" t="str">
        <f>IFERROR(__xludf.DUMMYFUNCTION("""COMPUTED_VALUE"""),"in")</f>
        <v>in</v>
      </c>
      <c r="C384" s="187">
        <f t="shared" si="1"/>
        <v>1</v>
      </c>
      <c r="D384" s="20" t="s">
        <v>3078</v>
      </c>
      <c r="E384" s="20">
        <v>1.0</v>
      </c>
    </row>
    <row r="385">
      <c r="A385" s="182"/>
      <c r="B385" s="187" t="str">
        <f>IFERROR(__xludf.DUMMYFUNCTION("""COMPUTED_VALUE"""),"Alley")</f>
        <v>Alley</v>
      </c>
      <c r="C385" s="187">
        <f t="shared" si="1"/>
        <v>1</v>
      </c>
      <c r="D385" s="20" t="s">
        <v>3079</v>
      </c>
      <c r="E385" s="20">
        <v>1.0</v>
      </c>
    </row>
    <row r="386">
      <c r="A386" s="182"/>
      <c r="B386" s="187" t="str">
        <f>IFERROR(__xludf.DUMMYFUNCTION("""COMPUTED_VALUE"""),"Vindictive")</f>
        <v>Vindictive</v>
      </c>
      <c r="C386" s="187">
        <f t="shared" si="1"/>
        <v>1</v>
      </c>
      <c r="D386" s="20" t="s">
        <v>3080</v>
      </c>
      <c r="E386" s="20">
        <v>1.0</v>
      </c>
    </row>
    <row r="387">
      <c r="A387" s="182" t="str">
        <f>IFERROR(__xludf.DUMMYFUNCTION("""COMPUTED_VALUE"""),"Glowing")</f>
        <v>Glowing</v>
      </c>
      <c r="B387" s="187" t="str">
        <f>IFERROR(__xludf.DUMMYFUNCTION("""COMPUTED_VALUE"""),"Forsaken")</f>
        <v>Forsaken</v>
      </c>
      <c r="C387" s="187">
        <f t="shared" si="1"/>
        <v>5</v>
      </c>
      <c r="D387" s="20" t="s">
        <v>3081</v>
      </c>
      <c r="E387" s="20">
        <v>1.0</v>
      </c>
    </row>
    <row r="388">
      <c r="A388" s="182" t="str">
        <f>IFERROR(__xludf.DUMMYFUNCTION("""COMPUTED_VALUE"""),"Gearhulk")</f>
        <v>Gearhulk</v>
      </c>
      <c r="B388" s="187" t="str">
        <f>IFERROR(__xludf.DUMMYFUNCTION("""COMPUTED_VALUE"""),"Willing")</f>
        <v>Willing</v>
      </c>
      <c r="C388" s="187">
        <f t="shared" si="1"/>
        <v>1</v>
      </c>
      <c r="D388" s="20" t="s">
        <v>3082</v>
      </c>
      <c r="E388" s="20">
        <v>1.0</v>
      </c>
    </row>
    <row r="389">
      <c r="A389" s="182"/>
      <c r="B389" s="187" t="str">
        <f>IFERROR(__xludf.DUMMYFUNCTION("""COMPUTED_VALUE"""),"Sacrifice")</f>
        <v>Sacrifice</v>
      </c>
      <c r="C389" s="187">
        <f t="shared" si="1"/>
        <v>1</v>
      </c>
      <c r="D389" s="20" t="s">
        <v>3083</v>
      </c>
      <c r="E389" s="20">
        <v>1.0</v>
      </c>
    </row>
    <row r="390">
      <c r="A390" s="182"/>
      <c r="B390" s="187" t="str">
        <f>IFERROR(__xludf.DUMMYFUNCTION("""COMPUTED_VALUE"""),"Harpooneer")</f>
        <v>Harpooneer</v>
      </c>
      <c r="C390" s="187">
        <f t="shared" si="1"/>
        <v>1</v>
      </c>
      <c r="D390" s="20" t="s">
        <v>3084</v>
      </c>
      <c r="E390" s="20">
        <v>1.0</v>
      </c>
    </row>
    <row r="391">
      <c r="A391" s="182"/>
      <c r="B391" s="187" t="str">
        <f>IFERROR(__xludf.DUMMYFUNCTION("""COMPUTED_VALUE"""),"Gold")</f>
        <v>Gold</v>
      </c>
      <c r="C391" s="187">
        <f t="shared" si="1"/>
        <v>1</v>
      </c>
      <c r="D391" s="20" t="s">
        <v>3085</v>
      </c>
      <c r="E391" s="20">
        <v>1.0</v>
      </c>
    </row>
    <row r="392">
      <c r="A392" s="182" t="str">
        <f>IFERROR(__xludf.DUMMYFUNCTION("""COMPUTED_VALUE"""),"Boiling")</f>
        <v>Boiling</v>
      </c>
      <c r="B392" s="187" t="str">
        <f>IFERROR(__xludf.DUMMYFUNCTION("""COMPUTED_VALUE"""),"Colibri")</f>
        <v>Colibri</v>
      </c>
      <c r="C392" s="187">
        <f t="shared" si="1"/>
        <v>1</v>
      </c>
      <c r="D392" s="20" t="s">
        <v>3086</v>
      </c>
      <c r="E392" s="20">
        <v>1.0</v>
      </c>
    </row>
    <row r="393">
      <c r="A393" s="182" t="str">
        <f>IFERROR(__xludf.DUMMYFUNCTION("""COMPUTED_VALUE"""),"Blood")</f>
        <v>Blood</v>
      </c>
      <c r="B393" s="187" t="str">
        <f>IFERROR(__xludf.DUMMYFUNCTION("""COMPUTED_VALUE"""),"Greedy")</f>
        <v>Greedy</v>
      </c>
      <c r="C393" s="187">
        <f t="shared" si="1"/>
        <v>1</v>
      </c>
      <c r="D393" s="20" t="s">
        <v>3087</v>
      </c>
      <c r="E393" s="20">
        <v>1.0</v>
      </c>
    </row>
    <row r="394">
      <c r="A394" s="182" t="str">
        <f>IFERROR(__xludf.DUMMYFUNCTION("""COMPUTED_VALUE"""),"Berserker")</f>
        <v>Berserker</v>
      </c>
      <c r="B394" s="187" t="str">
        <f>IFERROR(__xludf.DUMMYFUNCTION("""COMPUTED_VALUE"""),"Senator")</f>
        <v>Senator</v>
      </c>
      <c r="C394" s="187">
        <f t="shared" si="1"/>
        <v>1</v>
      </c>
      <c r="D394" s="20" t="s">
        <v>3088</v>
      </c>
      <c r="E394" s="20">
        <v>1.0</v>
      </c>
    </row>
    <row r="395">
      <c r="A395" s="182"/>
      <c r="B395" s="187" t="str">
        <f>IFERROR(__xludf.DUMMYFUNCTION("""COMPUTED_VALUE"""),"Armordillo")</f>
        <v>Armordillo</v>
      </c>
      <c r="C395" s="187">
        <f t="shared" si="1"/>
        <v>1</v>
      </c>
      <c r="D395" s="20" t="s">
        <v>3089</v>
      </c>
      <c r="E395" s="20">
        <v>1.0</v>
      </c>
    </row>
    <row r="396">
      <c r="A396" s="182"/>
      <c r="B396" s="187" t="str">
        <f>IFERROR(__xludf.DUMMYFUNCTION("""COMPUTED_VALUE"""),"Paragon")</f>
        <v>Paragon</v>
      </c>
      <c r="C396" s="187">
        <f t="shared" si="1"/>
        <v>1</v>
      </c>
      <c r="D396" s="20" t="s">
        <v>3090</v>
      </c>
      <c r="E396" s="20">
        <v>1.0</v>
      </c>
    </row>
    <row r="397">
      <c r="A397" s="182" t="str">
        <f>IFERROR(__xludf.DUMMYFUNCTION("""COMPUTED_VALUE"""),"Goat")</f>
        <v>Goat</v>
      </c>
      <c r="B397" s="187" t="str">
        <f>IFERROR(__xludf.DUMMYFUNCTION("""COMPUTED_VALUE"""),"Conquest")</f>
        <v>Conquest</v>
      </c>
      <c r="C397" s="187">
        <f t="shared" si="1"/>
        <v>1</v>
      </c>
      <c r="D397" s="20" t="s">
        <v>3091</v>
      </c>
      <c r="E397" s="20">
        <v>1.0</v>
      </c>
    </row>
    <row r="398">
      <c r="A398" s="182" t="str">
        <f>IFERROR(__xludf.DUMMYFUNCTION("""COMPUTED_VALUE"""),"Oracle")</f>
        <v>Oracle</v>
      </c>
      <c r="B398" s="187" t="str">
        <f>IFERROR(__xludf.DUMMYFUNCTION("""COMPUTED_VALUE"""),"Tilling")</f>
        <v>Tilling</v>
      </c>
      <c r="C398" s="187">
        <f t="shared" si="1"/>
        <v>1</v>
      </c>
      <c r="D398" s="20" t="s">
        <v>3092</v>
      </c>
      <c r="E398" s="20">
        <v>1.0</v>
      </c>
    </row>
    <row r="399">
      <c r="A399" s="182"/>
      <c r="B399" s="187" t="str">
        <f>IFERROR(__xludf.DUMMYFUNCTION("""COMPUTED_VALUE"""),"Yoke")</f>
        <v>Yoke</v>
      </c>
      <c r="C399" s="187">
        <f t="shared" si="1"/>
        <v>1</v>
      </c>
      <c r="D399" s="20" t="s">
        <v>3093</v>
      </c>
      <c r="E399" s="20">
        <v>1.0</v>
      </c>
    </row>
    <row r="400">
      <c r="A400" s="182"/>
      <c r="B400" s="187" t="str">
        <f>IFERROR(__xludf.DUMMYFUNCTION("""COMPUTED_VALUE"""),"Beast")</f>
        <v>Beast</v>
      </c>
      <c r="C400" s="187">
        <f t="shared" si="1"/>
        <v>1</v>
      </c>
      <c r="D400" s="20" t="s">
        <v>3094</v>
      </c>
      <c r="E400" s="20">
        <v>1.0</v>
      </c>
    </row>
    <row r="401">
      <c r="A401" s="182"/>
      <c r="B401" s="187" t="str">
        <f>IFERROR(__xludf.DUMMYFUNCTION("""COMPUTED_VALUE"""),"Blossombeast")</f>
        <v>Blossombeast</v>
      </c>
      <c r="C401" s="187">
        <f t="shared" si="1"/>
        <v>1</v>
      </c>
      <c r="D401" s="20" t="s">
        <v>3095</v>
      </c>
      <c r="E401" s="20">
        <v>1.0</v>
      </c>
    </row>
    <row r="402">
      <c r="A402" s="182" t="str">
        <f>IFERROR(__xludf.DUMMYFUNCTION("""COMPUTED_VALUE"""),"Tranquil")</f>
        <v>Tranquil</v>
      </c>
      <c r="B402" s="187" t="str">
        <f>IFERROR(__xludf.DUMMYFUNCTION("""COMPUTED_VALUE"""),"Bug")</f>
        <v>Bug</v>
      </c>
      <c r="C402" s="187">
        <f t="shared" si="1"/>
        <v>2</v>
      </c>
      <c r="D402" s="20" t="s">
        <v>3096</v>
      </c>
      <c r="E402" s="20">
        <v>1.0</v>
      </c>
    </row>
    <row r="403">
      <c r="A403" s="182" t="str">
        <f>IFERROR(__xludf.DUMMYFUNCTION("""COMPUTED_VALUE"""),"Herd")</f>
        <v>Herd</v>
      </c>
      <c r="B403" s="187" t="str">
        <f>IFERROR(__xludf.DUMMYFUNCTION("""COMPUTED_VALUE"""),"Curator")</f>
        <v>Curator</v>
      </c>
      <c r="C403" s="187">
        <f t="shared" si="1"/>
        <v>1</v>
      </c>
      <c r="D403" s="20" t="s">
        <v>3097</v>
      </c>
      <c r="E403" s="20">
        <v>1.0</v>
      </c>
    </row>
    <row r="404">
      <c r="A404" s="182" t="str">
        <f>IFERROR(__xludf.DUMMYFUNCTION("""COMPUTED_VALUE"""),"Sagehorn")</f>
        <v>Sagehorn</v>
      </c>
      <c r="B404" s="187" t="str">
        <f>IFERROR(__xludf.DUMMYFUNCTION("""COMPUTED_VALUE"""),"Buzzing")</f>
        <v>Buzzing</v>
      </c>
      <c r="C404" s="187">
        <f t="shared" si="1"/>
        <v>1</v>
      </c>
      <c r="D404" s="20" t="s">
        <v>3098</v>
      </c>
      <c r="E404" s="20">
        <v>1.0</v>
      </c>
    </row>
    <row r="405">
      <c r="A405" s="182"/>
      <c r="B405" s="187" t="str">
        <f>IFERROR(__xludf.DUMMYFUNCTION("""COMPUTED_VALUE"""),"Hivetitan")</f>
        <v>Hivetitan</v>
      </c>
      <c r="C405" s="187">
        <f t="shared" si="1"/>
        <v>1</v>
      </c>
      <c r="D405" s="20" t="s">
        <v>3099</v>
      </c>
      <c r="E405" s="20">
        <v>1.0</v>
      </c>
    </row>
    <row r="406">
      <c r="A406" s="182"/>
      <c r="B406" s="187" t="str">
        <f>IFERROR(__xludf.DUMMYFUNCTION("""COMPUTED_VALUE"""),"Caleidoscope")</f>
        <v>Caleidoscope</v>
      </c>
      <c r="C406" s="187">
        <f t="shared" si="1"/>
        <v>1</v>
      </c>
      <c r="D406" s="20" t="s">
        <v>3100</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3101</v>
      </c>
      <c r="E408" s="20">
        <v>1.0</v>
      </c>
    </row>
    <row r="409">
      <c r="A409" s="182"/>
      <c r="B409" s="187" t="str">
        <f>IFERROR(__xludf.DUMMYFUNCTION("""COMPUTED_VALUE"""),"Senatorial")</f>
        <v>Senatorial</v>
      </c>
      <c r="C409" s="187">
        <f t="shared" si="1"/>
        <v>1</v>
      </c>
      <c r="D409" s="20" t="s">
        <v>3102</v>
      </c>
      <c r="E409" s="20">
        <v>1.0</v>
      </c>
    </row>
    <row r="410">
      <c r="A410" s="182"/>
      <c r="B410" s="187" t="str">
        <f>IFERROR(__xludf.DUMMYFUNCTION("""COMPUTED_VALUE"""),"Phalanx")</f>
        <v>Phalanx</v>
      </c>
      <c r="C410" s="187">
        <f t="shared" si="1"/>
        <v>1</v>
      </c>
      <c r="D410" s="20" t="s">
        <v>3103</v>
      </c>
      <c r="E410" s="20">
        <v>1.0</v>
      </c>
    </row>
    <row r="411">
      <c r="A411" s="182"/>
      <c r="B411" s="187" t="str">
        <f>IFERROR(__xludf.DUMMYFUNCTION("""COMPUTED_VALUE"""),"Ferromancer")</f>
        <v>Ferromancer</v>
      </c>
      <c r="C411" s="187">
        <f t="shared" si="1"/>
        <v>1</v>
      </c>
      <c r="D411" s="20" t="s">
        <v>3104</v>
      </c>
      <c r="E411" s="20">
        <v>1.0</v>
      </c>
    </row>
    <row r="412">
      <c r="A412" s="182" t="str">
        <f>IFERROR(__xludf.DUMMYFUNCTION("""COMPUTED_VALUE"""),"Kois")</f>
        <v>Kois</v>
      </c>
      <c r="B412" s="187" t="str">
        <f>IFERROR(__xludf.DUMMYFUNCTION("""COMPUTED_VALUE"""),"Frontier")</f>
        <v>Frontier</v>
      </c>
      <c r="C412" s="187">
        <f t="shared" si="1"/>
        <v>1</v>
      </c>
      <c r="D412" s="20" t="s">
        <v>3105</v>
      </c>
      <c r="E412" s="20">
        <v>1.0</v>
      </c>
    </row>
    <row r="413">
      <c r="A413" s="182" t="str">
        <f>IFERROR(__xludf.DUMMYFUNCTION("""COMPUTED_VALUE"""),"of")</f>
        <v>of</v>
      </c>
      <c r="B413" s="187" t="str">
        <f>IFERROR(__xludf.DUMMYFUNCTION("""COMPUTED_VALUE"""),"Centurion")</f>
        <v>Centurion</v>
      </c>
      <c r="C413" s="187">
        <f t="shared" si="1"/>
        <v>1</v>
      </c>
      <c r="D413" s="20" t="s">
        <v>3106</v>
      </c>
      <c r="E413" s="20">
        <v>1.0</v>
      </c>
    </row>
    <row r="414">
      <c r="A414" s="182" t="str">
        <f>IFERROR(__xludf.DUMMYFUNCTION("""COMPUTED_VALUE"""),"Duality")</f>
        <v>Duality</v>
      </c>
      <c r="B414" s="187" t="str">
        <f>IFERROR(__xludf.DUMMYFUNCTION("""COMPUTED_VALUE"""),"Saboteur")</f>
        <v>Saboteur</v>
      </c>
      <c r="C414" s="187">
        <f t="shared" si="1"/>
        <v>1</v>
      </c>
      <c r="D414" s="20" t="s">
        <v>3107</v>
      </c>
      <c r="E414" s="20">
        <v>1.0</v>
      </c>
    </row>
    <row r="415">
      <c r="A415" s="182"/>
      <c r="B415" s="187" t="str">
        <f>IFERROR(__xludf.DUMMYFUNCTION("""COMPUTED_VALUE"""),"Rustblood")</f>
        <v>Rustblood</v>
      </c>
      <c r="C415" s="187">
        <f t="shared" si="1"/>
        <v>1</v>
      </c>
      <c r="D415" s="20" t="s">
        <v>3108</v>
      </c>
      <c r="E415" s="20">
        <v>1.0</v>
      </c>
    </row>
    <row r="416">
      <c r="A416" s="182"/>
      <c r="B416" s="187" t="str">
        <f>IFERROR(__xludf.DUMMYFUNCTION("""COMPUTED_VALUE"""),"Fairgrove")</f>
        <v>Fairgrove</v>
      </c>
      <c r="C416" s="187">
        <f t="shared" si="1"/>
        <v>1</v>
      </c>
      <c r="D416" s="20" t="s">
        <v>3109</v>
      </c>
      <c r="E416" s="20">
        <v>1.0</v>
      </c>
    </row>
    <row r="417">
      <c r="A417" s="182" t="str">
        <f>IFERROR(__xludf.DUMMYFUNCTION("""COMPUTED_VALUE"""),"Ivoryscar")</f>
        <v>Ivoryscar</v>
      </c>
      <c r="B417" s="187" t="str">
        <f>IFERROR(__xludf.DUMMYFUNCTION("""COMPUTED_VALUE"""),"Dryad")</f>
        <v>Dryad</v>
      </c>
      <c r="C417" s="187">
        <f t="shared" si="1"/>
        <v>1</v>
      </c>
      <c r="D417" s="20" t="s">
        <v>3110</v>
      </c>
      <c r="E417" s="20">
        <v>1.0</v>
      </c>
    </row>
    <row r="418">
      <c r="A418" s="182" t="str">
        <f>IFERROR(__xludf.DUMMYFUNCTION("""COMPUTED_VALUE"""),"Eclipsion")</f>
        <v>Eclipsion</v>
      </c>
      <c r="B418" s="187" t="str">
        <f>IFERROR(__xludf.DUMMYFUNCTION("""COMPUTED_VALUE"""),"Fairy")</f>
        <v>Fairy</v>
      </c>
      <c r="C418" s="187">
        <f t="shared" si="1"/>
        <v>1</v>
      </c>
      <c r="D418" s="20" t="s">
        <v>3111</v>
      </c>
      <c r="E418" s="20">
        <v>1.0</v>
      </c>
    </row>
    <row r="419">
      <c r="A419" s="182"/>
      <c r="B419" s="187" t="str">
        <f>IFERROR(__xludf.DUMMYFUNCTION("""COMPUTED_VALUE"""),"Fountain")</f>
        <v>Fountain</v>
      </c>
      <c r="C419" s="187">
        <f t="shared" si="1"/>
        <v>1</v>
      </c>
      <c r="D419" s="20" t="s">
        <v>3112</v>
      </c>
      <c r="E419" s="20">
        <v>1.0</v>
      </c>
    </row>
    <row r="420">
      <c r="A420" s="182"/>
      <c r="B420" s="187" t="str">
        <f>IFERROR(__xludf.DUMMYFUNCTION("""COMPUTED_VALUE"""),"Harvest")</f>
        <v>Harvest</v>
      </c>
      <c r="C420" s="187">
        <f t="shared" si="1"/>
        <v>1</v>
      </c>
      <c r="D420" s="20" t="s">
        <v>3113</v>
      </c>
      <c r="E420" s="20">
        <v>1.0</v>
      </c>
    </row>
    <row r="421">
      <c r="A421" s="182"/>
      <c r="B421" s="187" t="str">
        <f>IFERROR(__xludf.DUMMYFUNCTION("""COMPUTED_VALUE"""),"Sanctifier")</f>
        <v>Sanctifier</v>
      </c>
      <c r="C421" s="187">
        <f t="shared" si="1"/>
        <v>1</v>
      </c>
      <c r="D421" s="20" t="s">
        <v>3114</v>
      </c>
      <c r="E421" s="20">
        <v>1.0</v>
      </c>
    </row>
    <row r="422">
      <c r="A422" s="182" t="str">
        <f>IFERROR(__xludf.DUMMYFUNCTION("""COMPUTED_VALUE"""),"Fallen")</f>
        <v>Fallen</v>
      </c>
      <c r="B422" s="187" t="str">
        <f>IFERROR(__xludf.DUMMYFUNCTION("""COMPUTED_VALUE"""),"Goliath")</f>
        <v>Goliath</v>
      </c>
      <c r="C422" s="187">
        <f t="shared" si="1"/>
        <v>1</v>
      </c>
      <c r="D422" s="20" t="s">
        <v>3115</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3116</v>
      </c>
      <c r="E424" s="20">
        <v>1.0</v>
      </c>
    </row>
    <row r="425">
      <c r="A425" s="182"/>
      <c r="B425" s="187" t="str">
        <f>IFERROR(__xludf.DUMMYFUNCTION("""COMPUTED_VALUE"""),"Trap")</f>
        <v>Trap</v>
      </c>
      <c r="C425" s="187">
        <f t="shared" si="1"/>
        <v>1</v>
      </c>
      <c r="D425" s="20" t="s">
        <v>3117</v>
      </c>
      <c r="E425" s="20">
        <v>1.0</v>
      </c>
    </row>
    <row r="426">
      <c r="A426" s="182"/>
      <c r="B426" s="187" t="str">
        <f>IFERROR(__xludf.DUMMYFUNCTION("""COMPUTED_VALUE"""),"Volatile")</f>
        <v>Volatile</v>
      </c>
      <c r="C426" s="187">
        <f t="shared" si="1"/>
        <v>1</v>
      </c>
      <c r="D426" s="20" t="s">
        <v>3118</v>
      </c>
      <c r="E426" s="20">
        <v>1.0</v>
      </c>
    </row>
    <row r="427">
      <c r="A427" s="182" t="str">
        <f>IFERROR(__xludf.DUMMYFUNCTION("""COMPUTED_VALUE"""),"Diamond")</f>
        <v>Diamond</v>
      </c>
      <c r="B427" s="187" t="str">
        <f>IFERROR(__xludf.DUMMYFUNCTION("""COMPUTED_VALUE"""),"Battlemage")</f>
        <v>Battlemage</v>
      </c>
      <c r="C427" s="187">
        <f t="shared" si="1"/>
        <v>1</v>
      </c>
      <c r="D427" s="20" t="s">
        <v>3119</v>
      </c>
      <c r="E427" s="20">
        <v>1.0</v>
      </c>
    </row>
    <row r="428">
      <c r="A428" s="182" t="str">
        <f>IFERROR(__xludf.DUMMYFUNCTION("""COMPUTED_VALUE"""),"Phantom")</f>
        <v>Phantom</v>
      </c>
      <c r="B428" s="187" t="str">
        <f>IFERROR(__xludf.DUMMYFUNCTION("""COMPUTED_VALUE"""),"Ordinary")</f>
        <v>Ordinary</v>
      </c>
      <c r="C428" s="187">
        <f t="shared" si="1"/>
        <v>1</v>
      </c>
      <c r="D428" s="20" t="s">
        <v>3120</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3121</v>
      </c>
      <c r="E430" s="20">
        <v>1.0</v>
      </c>
    </row>
    <row r="431">
      <c r="A431" s="182"/>
      <c r="B431" s="187" t="str">
        <f>IFERROR(__xludf.DUMMYFUNCTION("""COMPUTED_VALUE"""),"Ancient")</f>
        <v>Ancient</v>
      </c>
      <c r="C431" s="187">
        <f t="shared" si="1"/>
        <v>3</v>
      </c>
      <c r="D431" s="20" t="s">
        <v>3122</v>
      </c>
      <c r="E431" s="20">
        <v>1.0</v>
      </c>
    </row>
    <row r="432">
      <c r="A432" s="182" t="str">
        <f>IFERROR(__xludf.DUMMYFUNCTION("""COMPUTED_VALUE"""),"Draconic")</f>
        <v>Draconic</v>
      </c>
      <c r="B432" s="187" t="str">
        <f>IFERROR(__xludf.DUMMYFUNCTION("""COMPUTED_VALUE"""),"Scholar")</f>
        <v>Scholar</v>
      </c>
      <c r="C432" s="187">
        <f t="shared" si="1"/>
        <v>1</v>
      </c>
      <c r="D432" s="20" t="s">
        <v>3123</v>
      </c>
      <c r="E432" s="20">
        <v>1.0</v>
      </c>
    </row>
    <row r="433">
      <c r="A433" s="182" t="str">
        <f>IFERROR(__xludf.DUMMYFUNCTION("""COMPUTED_VALUE"""),"Highpriest")</f>
        <v>Highpriest</v>
      </c>
      <c r="B433" s="187" t="str">
        <f>IFERROR(__xludf.DUMMYFUNCTION("""COMPUTED_VALUE"""),"Little")</f>
        <v>Little</v>
      </c>
      <c r="C433" s="187">
        <f t="shared" si="1"/>
        <v>1</v>
      </c>
      <c r="D433" s="20" t="s">
        <v>3124</v>
      </c>
      <c r="E433" s="20">
        <v>1.0</v>
      </c>
    </row>
    <row r="434">
      <c r="A434" s="182"/>
      <c r="B434" s="187" t="str">
        <f>IFERROR(__xludf.DUMMYFUNCTION("""COMPUTED_VALUE"""),"Lamb")</f>
        <v>Lamb</v>
      </c>
      <c r="C434" s="187">
        <f t="shared" si="1"/>
        <v>1</v>
      </c>
      <c r="D434" s="20" t="s">
        <v>3125</v>
      </c>
      <c r="E434" s="20">
        <v>1.0</v>
      </c>
    </row>
    <row r="435">
      <c r="A435" s="182"/>
      <c r="B435" s="187" t="str">
        <f>IFERROR(__xludf.DUMMYFUNCTION("""COMPUTED_VALUE"""),"Weaponized")</f>
        <v>Weaponized</v>
      </c>
      <c r="C435" s="187">
        <f t="shared" si="1"/>
        <v>1</v>
      </c>
      <c r="D435" s="20" t="s">
        <v>3126</v>
      </c>
      <c r="E435" s="20">
        <v>1.0</v>
      </c>
    </row>
    <row r="436">
      <c r="A436" s="182"/>
      <c r="B436" s="187" t="str">
        <f>IFERROR(__xludf.DUMMYFUNCTION("""COMPUTED_VALUE"""),"Pest")</f>
        <v>Pest</v>
      </c>
      <c r="C436" s="187">
        <f t="shared" si="1"/>
        <v>1</v>
      </c>
      <c r="D436" s="20" t="s">
        <v>3127</v>
      </c>
      <c r="E436" s="20">
        <v>1.0</v>
      </c>
    </row>
    <row r="437">
      <c r="A437" s="182" t="str">
        <f>IFERROR(__xludf.DUMMYFUNCTION("""COMPUTED_VALUE"""),"Cavern")</f>
        <v>Cavern</v>
      </c>
      <c r="B437" s="187" t="str">
        <f>IFERROR(__xludf.DUMMYFUNCTION("""COMPUTED_VALUE"""),"Beastcaster")</f>
        <v>Beastcaster</v>
      </c>
      <c r="C437" s="187">
        <f t="shared" si="1"/>
        <v>1</v>
      </c>
      <c r="D437" s="20" t="s">
        <v>3128</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3129</v>
      </c>
      <c r="E439" s="20">
        <v>1.0</v>
      </c>
    </row>
    <row r="440">
      <c r="A440" s="182"/>
      <c r="B440" s="187" t="str">
        <f>IFERROR(__xludf.DUMMYFUNCTION("""COMPUTED_VALUE"""),"Elephant")</f>
        <v>Elephant</v>
      </c>
      <c r="C440" s="187">
        <f t="shared" si="1"/>
        <v>1</v>
      </c>
      <c r="D440" s="20" t="s">
        <v>3130</v>
      </c>
      <c r="E440" s="20">
        <v>1.0</v>
      </c>
    </row>
    <row r="441">
      <c r="A441" s="182"/>
      <c r="B441" s="187" t="str">
        <f>IFERROR(__xludf.DUMMYFUNCTION("""COMPUTED_VALUE"""),"Starborne")</f>
        <v>Starborne</v>
      </c>
      <c r="C441" s="187">
        <f t="shared" si="1"/>
        <v>1</v>
      </c>
      <c r="D441" s="20" t="s">
        <v>3131</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3132</v>
      </c>
      <c r="E443" s="20">
        <v>1.0</v>
      </c>
    </row>
    <row r="444">
      <c r="A444" s="182"/>
      <c r="B444" s="187" t="str">
        <f>IFERROR(__xludf.DUMMYFUNCTION("""COMPUTED_VALUE"""),"Bloodbrewer")</f>
        <v>Bloodbrewer</v>
      </c>
      <c r="C444" s="187">
        <f t="shared" si="1"/>
        <v>1</v>
      </c>
      <c r="D444" s="20" t="s">
        <v>3133</v>
      </c>
      <c r="E444" s="20">
        <v>1.0</v>
      </c>
    </row>
    <row r="445">
      <c r="A445" s="182"/>
      <c r="B445" s="187" t="str">
        <f>IFERROR(__xludf.DUMMYFUNCTION("""COMPUTED_VALUE"""),"Packhunting")</f>
        <v>Packhunting</v>
      </c>
      <c r="C445" s="187">
        <f t="shared" si="1"/>
        <v>1</v>
      </c>
      <c r="D445" s="20" t="s">
        <v>3134</v>
      </c>
      <c r="E445" s="20">
        <v>1.0</v>
      </c>
    </row>
    <row r="446">
      <c r="A446" s="182"/>
      <c r="B446" s="187" t="str">
        <f>IFERROR(__xludf.DUMMYFUNCTION("""COMPUTED_VALUE"""),"Crystalbeast")</f>
        <v>Crystalbeast</v>
      </c>
      <c r="C446" s="187">
        <f t="shared" si="1"/>
        <v>1</v>
      </c>
      <c r="D446" s="20" t="s">
        <v>3135</v>
      </c>
      <c r="E446" s="20">
        <v>1.0</v>
      </c>
    </row>
    <row r="447">
      <c r="A447" s="182" t="str">
        <f>IFERROR(__xludf.DUMMYFUNCTION("""COMPUTED_VALUE"""),"Cinderguard")</f>
        <v>Cinderguard</v>
      </c>
      <c r="B447" s="187" t="str">
        <f>IFERROR(__xludf.DUMMYFUNCTION("""COMPUTED_VALUE"""),"Pebble")</f>
        <v>Pebble</v>
      </c>
      <c r="C447" s="187">
        <f t="shared" si="1"/>
        <v>1</v>
      </c>
      <c r="D447" s="20" t="s">
        <v>3136</v>
      </c>
      <c r="E447" s="20">
        <v>1.0</v>
      </c>
    </row>
    <row r="448">
      <c r="A448" s="182" t="str">
        <f>IFERROR(__xludf.DUMMYFUNCTION("""COMPUTED_VALUE"""),"Scribe")</f>
        <v>Scribe</v>
      </c>
      <c r="B448" s="187" t="str">
        <f>IFERROR(__xludf.DUMMYFUNCTION("""COMPUTED_VALUE"""),"Gekko")</f>
        <v>Gekko</v>
      </c>
      <c r="C448" s="187">
        <f t="shared" si="1"/>
        <v>1</v>
      </c>
      <c r="D448" s="20" t="s">
        <v>3137</v>
      </c>
      <c r="E448" s="20">
        <v>1.0</v>
      </c>
    </row>
    <row r="449">
      <c r="A449" s="182"/>
      <c r="B449" s="187" t="str">
        <f>IFERROR(__xludf.DUMMYFUNCTION("""COMPUTED_VALUE"""),"Platinum")</f>
        <v>Platinum</v>
      </c>
      <c r="C449" s="187">
        <f t="shared" si="1"/>
        <v>1</v>
      </c>
      <c r="D449" s="20" t="s">
        <v>3138</v>
      </c>
      <c r="E449" s="20">
        <v>1.0</v>
      </c>
    </row>
    <row r="450">
      <c r="A450" s="182"/>
      <c r="B450" s="187" t="str">
        <f>IFERROR(__xludf.DUMMYFUNCTION("""COMPUTED_VALUE"""),"Ladybug")</f>
        <v>Ladybug</v>
      </c>
      <c r="C450" s="187">
        <f t="shared" si="1"/>
        <v>1</v>
      </c>
      <c r="D450" s="20" t="s">
        <v>3139</v>
      </c>
      <c r="E450" s="20">
        <v>1.0</v>
      </c>
    </row>
    <row r="451">
      <c r="A451" s="182"/>
      <c r="B451" s="187" t="str">
        <f>IFERROR(__xludf.DUMMYFUNCTION("""COMPUTED_VALUE"""),"Necromancer")</f>
        <v>Necromancer</v>
      </c>
      <c r="C451" s="187">
        <f t="shared" si="1"/>
        <v>1</v>
      </c>
      <c r="D451" s="20" t="s">
        <v>3140</v>
      </c>
      <c r="E451" s="20">
        <v>1.0</v>
      </c>
    </row>
    <row r="452">
      <c r="A452" s="182" t="str">
        <f>IFERROR(__xludf.DUMMYFUNCTION("""COMPUTED_VALUE"""),"Daredevil")</f>
        <v>Daredevil</v>
      </c>
      <c r="B452" s="187" t="str">
        <f>IFERROR(__xludf.DUMMYFUNCTION("""COMPUTED_VALUE"""),"Pollen")</f>
        <v>Pollen</v>
      </c>
      <c r="C452" s="187">
        <f t="shared" si="1"/>
        <v>1</v>
      </c>
      <c r="D452" s="20" t="s">
        <v>3141</v>
      </c>
      <c r="E452" s="20">
        <v>1.0</v>
      </c>
    </row>
    <row r="453">
      <c r="A453" s="182" t="str">
        <f>IFERROR(__xludf.DUMMYFUNCTION("""COMPUTED_VALUE"""),"Duo")</f>
        <v>Duo</v>
      </c>
      <c r="B453" s="187" t="str">
        <f>IFERROR(__xludf.DUMMYFUNCTION("""COMPUTED_VALUE"""),"Buzz")</f>
        <v>Buzz</v>
      </c>
      <c r="C453" s="187">
        <f t="shared" si="1"/>
        <v>1</v>
      </c>
      <c r="D453" s="20" t="s">
        <v>3142</v>
      </c>
      <c r="E453" s="20">
        <v>1.0</v>
      </c>
    </row>
    <row r="454">
      <c r="A454" s="182"/>
      <c r="B454" s="187" t="str">
        <f>IFERROR(__xludf.DUMMYFUNCTION("""COMPUTED_VALUE"""),"Primal")</f>
        <v>Primal</v>
      </c>
      <c r="C454" s="187">
        <f t="shared" si="1"/>
        <v>1</v>
      </c>
      <c r="D454" s="20" t="s">
        <v>3143</v>
      </c>
      <c r="E454" s="20">
        <v>1.0</v>
      </c>
    </row>
    <row r="455">
      <c r="A455" s="182"/>
      <c r="B455" s="187" t="str">
        <f>IFERROR(__xludf.DUMMYFUNCTION("""COMPUTED_VALUE"""),"Horde")</f>
        <v>Horde</v>
      </c>
      <c r="C455" s="187">
        <f t="shared" si="1"/>
        <v>1</v>
      </c>
      <c r="D455" s="20" t="s">
        <v>3144</v>
      </c>
      <c r="E455" s="20">
        <v>1.0</v>
      </c>
    </row>
    <row r="456">
      <c r="A456" s="182"/>
      <c r="B456" s="187" t="str">
        <f>IFERROR(__xludf.DUMMYFUNCTION("""COMPUTED_VALUE"""),"Prowling")</f>
        <v>Prowling</v>
      </c>
      <c r="C456" s="187">
        <f t="shared" si="1"/>
        <v>1</v>
      </c>
      <c r="D456" s="20" t="s">
        <v>3145</v>
      </c>
      <c r="E456" s="20">
        <v>1.0</v>
      </c>
    </row>
    <row r="457">
      <c r="A457" s="182" t="str">
        <f>IFERROR(__xludf.DUMMYFUNCTION("""COMPUTED_VALUE"""),"Echo")</f>
        <v>Echo</v>
      </c>
      <c r="B457" s="187" t="str">
        <f>IFERROR(__xludf.DUMMYFUNCTION("""COMPUTED_VALUE"""),"Puma")</f>
        <v>Puma</v>
      </c>
      <c r="C457" s="187">
        <f t="shared" si="1"/>
        <v>1</v>
      </c>
      <c r="D457" s="20" t="s">
        <v>3146</v>
      </c>
      <c r="E457" s="20">
        <v>1.0</v>
      </c>
    </row>
    <row r="458">
      <c r="A458" s="182" t="str">
        <f>IFERROR(__xludf.DUMMYFUNCTION("""COMPUTED_VALUE"""),"Beetle")</f>
        <v>Beetle</v>
      </c>
      <c r="B458" s="187" t="str">
        <f>IFERROR(__xludf.DUMMYFUNCTION("""COMPUTED_VALUE"""),"Crystal")</f>
        <v>Crystal</v>
      </c>
      <c r="C458" s="187">
        <f t="shared" si="1"/>
        <v>2</v>
      </c>
      <c r="D458" s="20" t="s">
        <v>3147</v>
      </c>
      <c r="E458" s="20">
        <v>1.0</v>
      </c>
    </row>
    <row r="459">
      <c r="A459" s="182"/>
      <c r="B459" s="187" t="str">
        <f>IFERROR(__xludf.DUMMYFUNCTION("""COMPUTED_VALUE"""),"Catacombs")</f>
        <v>Catacombs</v>
      </c>
      <c r="C459" s="187">
        <f t="shared" si="1"/>
        <v>1</v>
      </c>
      <c r="D459" s="20" t="s">
        <v>3148</v>
      </c>
      <c r="E459" s="20">
        <v>1.0</v>
      </c>
    </row>
    <row r="460">
      <c r="A460" s="182"/>
      <c r="B460" s="187" t="str">
        <f>IFERROR(__xludf.DUMMYFUNCTION("""COMPUTED_VALUE"""),"Aristocrat")</f>
        <v>Aristocrat</v>
      </c>
      <c r="C460" s="187">
        <f t="shared" si="1"/>
        <v>1</v>
      </c>
      <c r="D460" s="20" t="s">
        <v>3149</v>
      </c>
      <c r="E460" s="20">
        <v>1.0</v>
      </c>
    </row>
    <row r="461">
      <c r="A461" s="182"/>
      <c r="B461" s="187" t="str">
        <f>IFERROR(__xludf.DUMMYFUNCTION("""COMPUTED_VALUE"""),"Roar")</f>
        <v>Roar</v>
      </c>
      <c r="C461" s="187">
        <f t="shared" si="1"/>
        <v>1</v>
      </c>
      <c r="D461" s="20" t="s">
        <v>3150</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3151</v>
      </c>
      <c r="E463" s="20">
        <v>1.0</v>
      </c>
    </row>
    <row r="464">
      <c r="A464" s="182"/>
      <c r="B464" s="187" t="str">
        <f>IFERROR(__xludf.DUMMYFUNCTION("""COMPUTED_VALUE"""),"Rootseed")</f>
        <v>Rootseed</v>
      </c>
      <c r="C464" s="187">
        <f t="shared" si="1"/>
        <v>1</v>
      </c>
      <c r="D464" s="20" t="s">
        <v>3152</v>
      </c>
      <c r="E464" s="20">
        <v>1.0</v>
      </c>
    </row>
    <row r="465">
      <c r="A465" s="182"/>
      <c r="B465" s="187" t="str">
        <f>IFERROR(__xludf.DUMMYFUNCTION("""COMPUTED_VALUE"""),"Snapscale")</f>
        <v>Snapscale</v>
      </c>
      <c r="C465" s="187">
        <f t="shared" si="1"/>
        <v>1</v>
      </c>
      <c r="D465" s="20" t="s">
        <v>3153</v>
      </c>
      <c r="E465" s="20">
        <v>1.0</v>
      </c>
    </row>
    <row r="466">
      <c r="A466" s="182"/>
      <c r="B466" s="187" t="str">
        <f>IFERROR(__xludf.DUMMYFUNCTION("""COMPUTED_VALUE"""),"Alpha")</f>
        <v>Alpha</v>
      </c>
      <c r="C466" s="187">
        <f t="shared" si="1"/>
        <v>1</v>
      </c>
      <c r="D466" s="20" t="s">
        <v>3154</v>
      </c>
      <c r="E466" s="20">
        <v>1.0</v>
      </c>
    </row>
    <row r="467">
      <c r="A467" s="182" t="str">
        <f>IFERROR(__xludf.DUMMYFUNCTION("""COMPUTED_VALUE"""),"Floating")</f>
        <v>Floating</v>
      </c>
      <c r="B467" s="187" t="str">
        <f>IFERROR(__xludf.DUMMYFUNCTION("""COMPUTED_VALUE"""),"Stampede")</f>
        <v>Stampede</v>
      </c>
      <c r="C467" s="187">
        <f t="shared" si="1"/>
        <v>1</v>
      </c>
      <c r="D467" s="20" t="s">
        <v>3155</v>
      </c>
      <c r="E467" s="20">
        <v>1.0</v>
      </c>
    </row>
    <row r="468">
      <c r="A468" s="182" t="str">
        <f>IFERROR(__xludf.DUMMYFUNCTION("""COMPUTED_VALUE"""),"Djinn")</f>
        <v>Djinn</v>
      </c>
      <c r="B468" s="187" t="str">
        <f>IFERROR(__xludf.DUMMYFUNCTION("""COMPUTED_VALUE"""),"Amethyst")</f>
        <v>Amethyst</v>
      </c>
      <c r="C468" s="187">
        <f t="shared" si="1"/>
        <v>1</v>
      </c>
      <c r="D468" s="20" t="s">
        <v>3156</v>
      </c>
      <c r="E468" s="20">
        <v>1.0</v>
      </c>
    </row>
    <row r="469">
      <c r="A469" s="182"/>
      <c r="B469" s="187" t="str">
        <f>IFERROR(__xludf.DUMMYFUNCTION("""COMPUTED_VALUE"""),"Argosaurus")</f>
        <v>Argosaurus</v>
      </c>
      <c r="C469" s="187">
        <f t="shared" si="1"/>
        <v>1</v>
      </c>
      <c r="D469" s="20" t="s">
        <v>3157</v>
      </c>
      <c r="E469" s="20">
        <v>1.0</v>
      </c>
    </row>
    <row r="470">
      <c r="A470" s="182"/>
      <c r="B470" s="187" t="str">
        <f>IFERROR(__xludf.DUMMYFUNCTION("""COMPUTED_VALUE"""),"Astral")</f>
        <v>Astral</v>
      </c>
      <c r="C470" s="187">
        <f t="shared" si="1"/>
        <v>1</v>
      </c>
      <c r="D470" s="20" t="s">
        <v>3158</v>
      </c>
      <c r="E470" s="20">
        <v>1.0</v>
      </c>
    </row>
    <row r="471">
      <c r="A471" s="182"/>
      <c r="B471" s="187" t="str">
        <f>IFERROR(__xludf.DUMMYFUNCTION("""COMPUTED_VALUE"""),"Unicorn")</f>
        <v>Unicorn</v>
      </c>
      <c r="C471" s="187">
        <f t="shared" si="1"/>
        <v>1</v>
      </c>
      <c r="D471" s="20" t="s">
        <v>3159</v>
      </c>
      <c r="E471" s="20">
        <v>1.0</v>
      </c>
    </row>
    <row r="472">
      <c r="A472" s="182" t="str">
        <f>IFERROR(__xludf.DUMMYFUNCTION("""COMPUTED_VALUE"""),"Dewdrop")</f>
        <v>Dewdrop</v>
      </c>
      <c r="B472" s="187" t="str">
        <f>IFERROR(__xludf.DUMMYFUNCTION("""COMPUTED_VALUE"""),"Spectra")</f>
        <v>Spectra</v>
      </c>
      <c r="C472" s="187">
        <f t="shared" si="1"/>
        <v>1</v>
      </c>
      <c r="D472" s="20" t="s">
        <v>3160</v>
      </c>
      <c r="E472" s="20">
        <v>1.0</v>
      </c>
    </row>
    <row r="473">
      <c r="A473" s="182" t="str">
        <f>IFERROR(__xludf.DUMMYFUNCTION("""COMPUTED_VALUE"""),"Sprite")</f>
        <v>Sprite</v>
      </c>
      <c r="B473" s="187" t="str">
        <f>IFERROR(__xludf.DUMMYFUNCTION("""COMPUTED_VALUE"""),"Stick")</f>
        <v>Stick</v>
      </c>
      <c r="C473" s="187">
        <f t="shared" si="1"/>
        <v>1</v>
      </c>
      <c r="D473" s="20" t="s">
        <v>3161</v>
      </c>
      <c r="E473" s="20">
        <v>1.0</v>
      </c>
    </row>
    <row r="474">
      <c r="A474" s="182"/>
      <c r="B474" s="187" t="str">
        <f>IFERROR(__xludf.DUMMYFUNCTION("""COMPUTED_VALUE"""),"Calming")</f>
        <v>Calming</v>
      </c>
      <c r="C474" s="187">
        <f t="shared" si="1"/>
        <v>1</v>
      </c>
      <c r="D474" s="20" t="s">
        <v>3162</v>
      </c>
      <c r="E474" s="20">
        <v>1.0</v>
      </c>
    </row>
    <row r="475">
      <c r="A475" s="182"/>
      <c r="B475" s="187" t="str">
        <f>IFERROR(__xludf.DUMMYFUNCTION("""COMPUTED_VALUE"""),"Apparition")</f>
        <v>Apparition</v>
      </c>
      <c r="C475" s="187">
        <f t="shared" si="1"/>
        <v>1</v>
      </c>
      <c r="D475" s="20" t="s">
        <v>3163</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3164</v>
      </c>
      <c r="E477" s="20">
        <v>1.0</v>
      </c>
    </row>
    <row r="478">
      <c r="A478" s="182" t="str">
        <f>IFERROR(__xludf.DUMMYFUNCTION("""COMPUTED_VALUE"""),"Egg")</f>
        <v>Egg</v>
      </c>
      <c r="B478" s="187" t="str">
        <f>IFERROR(__xludf.DUMMYFUNCTION("""COMPUTED_VALUE"""),"Tainted")</f>
        <v>Tainted</v>
      </c>
      <c r="C478" s="187">
        <f t="shared" si="1"/>
        <v>3</v>
      </c>
      <c r="D478" s="20" t="s">
        <v>3165</v>
      </c>
      <c r="E478" s="20">
        <v>1.0</v>
      </c>
    </row>
    <row r="479">
      <c r="A479" s="182"/>
      <c r="B479" s="187" t="str">
        <f>IFERROR(__xludf.DUMMYFUNCTION("""COMPUTED_VALUE"""),"Jade")</f>
        <v>Jade</v>
      </c>
      <c r="C479" s="187">
        <f t="shared" si="1"/>
        <v>3</v>
      </c>
      <c r="D479" s="20" t="s">
        <v>3166</v>
      </c>
      <c r="E479" s="20">
        <v>1.0</v>
      </c>
    </row>
    <row r="480">
      <c r="A480" s="182"/>
      <c r="B480" s="187" t="str">
        <f>IFERROR(__xludf.DUMMYFUNCTION("""COMPUTED_VALUE"""),"Monstrosity")</f>
        <v>Monstrosity</v>
      </c>
      <c r="C480" s="187">
        <f t="shared" si="1"/>
        <v>1</v>
      </c>
      <c r="D480" s="20" t="s">
        <v>3167</v>
      </c>
      <c r="E480" s="20">
        <v>1.0</v>
      </c>
    </row>
    <row r="481">
      <c r="A481" s="182"/>
      <c r="B481" s="187" t="str">
        <f>IFERROR(__xludf.DUMMYFUNCTION("""COMPUTED_VALUE"""),"Mycomancer")</f>
        <v>Mycomancer</v>
      </c>
      <c r="C481" s="187">
        <f t="shared" si="1"/>
        <v>1</v>
      </c>
      <c r="D481" s="20" t="s">
        <v>3168</v>
      </c>
      <c r="E481" s="20">
        <v>1.0</v>
      </c>
    </row>
    <row r="482">
      <c r="A482" s="182" t="str">
        <f>IFERROR(__xludf.DUMMYFUNCTION("""COMPUTED_VALUE"""),"Dustdance")</f>
        <v>Dustdance</v>
      </c>
      <c r="B482" s="187" t="str">
        <f>IFERROR(__xludf.DUMMYFUNCTION("""COMPUTED_VALUE"""),"Matriarch")</f>
        <v>Matriarch</v>
      </c>
      <c r="C482" s="187">
        <f t="shared" si="1"/>
        <v>2</v>
      </c>
      <c r="D482" s="20" t="s">
        <v>3169</v>
      </c>
      <c r="E482" s="20">
        <v>1.0</v>
      </c>
    </row>
    <row r="483">
      <c r="A483" s="182" t="str">
        <f>IFERROR(__xludf.DUMMYFUNCTION("""COMPUTED_VALUE"""),"Efreet")</f>
        <v>Efreet</v>
      </c>
      <c r="B483" s="187" t="str">
        <f>IFERROR(__xludf.DUMMYFUNCTION("""COMPUTED_VALUE"""),"Trickster")</f>
        <v>Trickster</v>
      </c>
      <c r="C483" s="187">
        <f t="shared" si="1"/>
        <v>2</v>
      </c>
      <c r="D483" s="20" t="s">
        <v>3170</v>
      </c>
      <c r="E483" s="20">
        <v>1.0</v>
      </c>
    </row>
    <row r="484">
      <c r="A484" s="182"/>
      <c r="B484" s="187" t="str">
        <f>IFERROR(__xludf.DUMMYFUNCTION("""COMPUTED_VALUE"""),"Venomleaf")</f>
        <v>Venomleaf</v>
      </c>
      <c r="C484" s="187">
        <f t="shared" si="1"/>
        <v>1</v>
      </c>
      <c r="D484" s="20" t="s">
        <v>3171</v>
      </c>
      <c r="E484" s="20">
        <v>1.0</v>
      </c>
    </row>
    <row r="485">
      <c r="A485" s="182"/>
      <c r="B485" s="187" t="str">
        <f>IFERROR(__xludf.DUMMYFUNCTION("""COMPUTED_VALUE"""),"Croaker")</f>
        <v>Croaker</v>
      </c>
      <c r="C485" s="187">
        <f t="shared" si="1"/>
        <v>1</v>
      </c>
      <c r="D485" s="20" t="s">
        <v>3172</v>
      </c>
      <c r="E485" s="20">
        <v>1.0</v>
      </c>
    </row>
    <row r="486">
      <c r="A486" s="182"/>
      <c r="B486" s="187" t="str">
        <f>IFERROR(__xludf.DUMMYFUNCTION("""COMPUTED_VALUE"""),"Darkwood")</f>
        <v>Darkwood</v>
      </c>
      <c r="C486" s="187">
        <f t="shared" si="1"/>
        <v>1</v>
      </c>
      <c r="D486" s="20" t="s">
        <v>3173</v>
      </c>
      <c r="E486" s="20">
        <v>1.0</v>
      </c>
    </row>
    <row r="487">
      <c r="A487" s="182" t="str">
        <f>IFERROR(__xludf.DUMMYFUNCTION("""COMPUTED_VALUE"""),"Hermit")</f>
        <v>Hermit</v>
      </c>
      <c r="B487" s="187" t="str">
        <f>IFERROR(__xludf.DUMMYFUNCTION("""COMPUTED_VALUE"""),"Tracker")</f>
        <v>Tracker</v>
      </c>
      <c r="C487" s="187">
        <f t="shared" si="1"/>
        <v>1</v>
      </c>
      <c r="D487" s="20" t="s">
        <v>3174</v>
      </c>
      <c r="E487" s="20">
        <v>1.0</v>
      </c>
    </row>
    <row r="488">
      <c r="A488" s="182" t="str">
        <f>IFERROR(__xludf.DUMMYFUNCTION("""COMPUTED_VALUE"""),"of")</f>
        <v>of</v>
      </c>
      <c r="B488" s="187" t="str">
        <f>IFERROR(__xludf.DUMMYFUNCTION("""COMPUTED_VALUE"""),"Verdant")</f>
        <v>Verdant</v>
      </c>
      <c r="C488" s="187">
        <f t="shared" si="1"/>
        <v>1</v>
      </c>
      <c r="D488" s="20" t="s">
        <v>3175</v>
      </c>
      <c r="E488" s="20">
        <v>1.0</v>
      </c>
    </row>
    <row r="489">
      <c r="A489" s="182" t="str">
        <f>IFERROR(__xludf.DUMMYFUNCTION("""COMPUTED_VALUE"""),"the")</f>
        <v>the</v>
      </c>
      <c r="B489" s="187" t="str">
        <f>IFERROR(__xludf.DUMMYFUNCTION("""COMPUTED_VALUE"""),"Sakura")</f>
        <v>Sakura</v>
      </c>
      <c r="C489" s="187">
        <f t="shared" si="1"/>
        <v>1</v>
      </c>
      <c r="D489" s="20" t="s">
        <v>3176</v>
      </c>
      <c r="E489" s="20">
        <v>1.0</v>
      </c>
    </row>
    <row r="490">
      <c r="A490" s="182" t="str">
        <f>IFERROR(__xludf.DUMMYFUNCTION("""COMPUTED_VALUE"""),"Horizon")</f>
        <v>Horizon</v>
      </c>
      <c r="B490" s="187" t="str">
        <f>IFERROR(__xludf.DUMMYFUNCTION("""COMPUTED_VALUE"""),"Forgotten")</f>
        <v>Forgotten</v>
      </c>
      <c r="C490" s="187">
        <f t="shared" si="1"/>
        <v>1</v>
      </c>
      <c r="D490" s="20" t="s">
        <v>3177</v>
      </c>
      <c r="E490" s="20">
        <v>1.0</v>
      </c>
    </row>
    <row r="491">
      <c r="A491" s="182"/>
      <c r="B491" s="187" t="str">
        <f>IFERROR(__xludf.DUMMYFUNCTION("""COMPUTED_VALUE"""),"Locust")</f>
        <v>Locust</v>
      </c>
      <c r="C491" s="187">
        <f t="shared" si="1"/>
        <v>1</v>
      </c>
      <c r="D491" s="20" t="s">
        <v>3178</v>
      </c>
      <c r="E491" s="20">
        <v>1.0</v>
      </c>
    </row>
    <row r="492">
      <c r="A492" s="182" t="str">
        <f>IFERROR(__xludf.DUMMYFUNCTION("""COMPUTED_VALUE"""),"Roughlands")</f>
        <v>Roughlands</v>
      </c>
      <c r="B492" s="187" t="str">
        <f>IFERROR(__xludf.DUMMYFUNCTION("""COMPUTED_VALUE"""),"Swarm")</f>
        <v>Swarm</v>
      </c>
      <c r="C492" s="187">
        <f t="shared" si="1"/>
        <v>1</v>
      </c>
      <c r="D492" s="20" t="s">
        <v>3179</v>
      </c>
      <c r="E492" s="20">
        <v>1.0</v>
      </c>
    </row>
    <row r="493">
      <c r="A493" s="182" t="str">
        <f>IFERROR(__xludf.DUMMYFUNCTION("""COMPUTED_VALUE"""),"Scourge")</f>
        <v>Scourge</v>
      </c>
      <c r="B493" s="187" t="str">
        <f>IFERROR(__xludf.DUMMYFUNCTION("""COMPUTED_VALUE"""),"Emerald")</f>
        <v>Emerald</v>
      </c>
      <c r="C493" s="187">
        <f t="shared" si="1"/>
        <v>1</v>
      </c>
      <c r="D493" s="20" t="s">
        <v>3180</v>
      </c>
      <c r="E493" s="20">
        <v>1.0</v>
      </c>
    </row>
    <row r="494">
      <c r="A494" s="182"/>
      <c r="B494" s="187" t="str">
        <f>IFERROR(__xludf.DUMMYFUNCTION("""COMPUTED_VALUE"""),"Fang")</f>
        <v>Fang</v>
      </c>
      <c r="C494" s="187">
        <f t="shared" si="1"/>
        <v>1</v>
      </c>
      <c r="D494" s="20" t="s">
        <v>3181</v>
      </c>
      <c r="E494" s="20">
        <v>1.0</v>
      </c>
    </row>
    <row r="495">
      <c r="A495" s="182"/>
      <c r="B495" s="187" t="str">
        <f>IFERROR(__xludf.DUMMYFUNCTION("""COMPUTED_VALUE"""),"Cobra")</f>
        <v>Cobra</v>
      </c>
      <c r="C495" s="187">
        <f t="shared" si="1"/>
        <v>1</v>
      </c>
      <c r="D495" s="20" t="s">
        <v>3182</v>
      </c>
      <c r="E495" s="20">
        <v>1.0</v>
      </c>
    </row>
    <row r="496">
      <c r="A496" s="182"/>
      <c r="B496" s="187" t="str">
        <f>IFERROR(__xludf.DUMMYFUNCTION("""COMPUTED_VALUE"""),"Entwining")</f>
        <v>Entwining</v>
      </c>
      <c r="C496" s="187">
        <f t="shared" si="1"/>
        <v>1</v>
      </c>
      <c r="D496" s="20" t="s">
        <v>3183</v>
      </c>
      <c r="E496" s="20">
        <v>1.0</v>
      </c>
    </row>
    <row r="497">
      <c r="A497" s="182" t="str">
        <f>IFERROR(__xludf.DUMMYFUNCTION("""COMPUTED_VALUE"""),"Mirrorworld")</f>
        <v>Mirrorworld</v>
      </c>
      <c r="B497" s="187" t="str">
        <f>IFERROR(__xludf.DUMMYFUNCTION("""COMPUTED_VALUE"""),"Creeper")</f>
        <v>Creeper</v>
      </c>
      <c r="C497" s="187">
        <f t="shared" si="1"/>
        <v>2</v>
      </c>
      <c r="D497" s="20" t="s">
        <v>3184</v>
      </c>
      <c r="E497" s="20">
        <v>1.0</v>
      </c>
    </row>
    <row r="498">
      <c r="A498" s="182" t="str">
        <f>IFERROR(__xludf.DUMMYFUNCTION("""COMPUTED_VALUE"""),"Bloodseeker")</f>
        <v>Bloodseeker</v>
      </c>
      <c r="B498" s="187" t="str">
        <f>IFERROR(__xludf.DUMMYFUNCTION("""COMPUTED_VALUE"""),"Jeweled")</f>
        <v>Jeweled</v>
      </c>
      <c r="C498" s="187">
        <f t="shared" si="1"/>
        <v>1</v>
      </c>
      <c r="D498" s="20" t="s">
        <v>3185</v>
      </c>
      <c r="E498" s="20">
        <v>1.0</v>
      </c>
    </row>
    <row r="499">
      <c r="A499" s="182"/>
      <c r="B499" s="187" t="str">
        <f>IFERROR(__xludf.DUMMYFUNCTION("""COMPUTED_VALUE"""),"Triceratops")</f>
        <v>Triceratops</v>
      </c>
      <c r="C499" s="187">
        <f t="shared" si="1"/>
        <v>1</v>
      </c>
      <c r="D499" s="20" t="s">
        <v>3186</v>
      </c>
      <c r="E499" s="20">
        <v>1.0</v>
      </c>
    </row>
    <row r="500">
      <c r="A500" s="182"/>
      <c r="B500" s="187" t="str">
        <f>IFERROR(__xludf.DUMMYFUNCTION("""COMPUTED_VALUE"""),"Jolly")</f>
        <v>Jolly</v>
      </c>
      <c r="C500" s="187">
        <f t="shared" si="1"/>
        <v>1</v>
      </c>
      <c r="D500" s="20" t="s">
        <v>3187</v>
      </c>
      <c r="E500" s="20">
        <v>1.0</v>
      </c>
    </row>
    <row r="501">
      <c r="A501" s="182"/>
      <c r="B501" s="187" t="str">
        <f>IFERROR(__xludf.DUMMYFUNCTION("""COMPUTED_VALUE"""),"Tamarin")</f>
        <v>Tamarin</v>
      </c>
      <c r="C501" s="187">
        <f t="shared" si="1"/>
        <v>1</v>
      </c>
      <c r="D501" s="20" t="s">
        <v>3188</v>
      </c>
      <c r="E501" s="20">
        <v>1.0</v>
      </c>
    </row>
    <row r="502">
      <c r="A502" s="182" t="str">
        <f>IFERROR(__xludf.DUMMYFUNCTION("""COMPUTED_VALUE"""),"Mountain")</f>
        <v>Mountain</v>
      </c>
      <c r="B502" s="187" t="str">
        <f>IFERROR(__xludf.DUMMYFUNCTION("""COMPUTED_VALUE"""),"Leech")</f>
        <v>Leech</v>
      </c>
      <c r="C502" s="187">
        <f t="shared" si="1"/>
        <v>1</v>
      </c>
      <c r="D502" s="20" t="s">
        <v>3189</v>
      </c>
      <c r="E502" s="20">
        <v>1.0</v>
      </c>
    </row>
    <row r="503">
      <c r="A503" s="182" t="str">
        <f>IFERROR(__xludf.DUMMYFUNCTION("""COMPUTED_VALUE"""),"Sage")</f>
        <v>Sage</v>
      </c>
      <c r="B503" s="187" t="str">
        <f>IFERROR(__xludf.DUMMYFUNCTION("""COMPUTED_VALUE"""),"Dragonfly")</f>
        <v>Dragonfly</v>
      </c>
      <c r="C503" s="187">
        <f t="shared" si="1"/>
        <v>1</v>
      </c>
      <c r="D503" s="20" t="s">
        <v>3190</v>
      </c>
      <c r="E503" s="20">
        <v>1.0</v>
      </c>
    </row>
    <row r="504">
      <c r="A504" s="182"/>
      <c r="B504" s="187" t="str">
        <f>IFERROR(__xludf.DUMMYFUNCTION("""COMPUTED_VALUE"""),"Nurseplant")</f>
        <v>Nurseplant</v>
      </c>
      <c r="C504" s="187">
        <f t="shared" si="1"/>
        <v>1</v>
      </c>
      <c r="D504" s="20" t="s">
        <v>3191</v>
      </c>
      <c r="E504" s="20">
        <v>1.0</v>
      </c>
    </row>
    <row r="505">
      <c r="A505" s="182"/>
      <c r="B505" s="187" t="str">
        <f>IFERROR(__xludf.DUMMYFUNCTION("""COMPUTED_VALUE"""),"Bloodthrone")</f>
        <v>Bloodthrone</v>
      </c>
      <c r="C505" s="187">
        <f t="shared" si="1"/>
        <v>3</v>
      </c>
      <c r="D505" s="20" t="s">
        <v>3192</v>
      </c>
      <c r="E505" s="20">
        <v>1.0</v>
      </c>
    </row>
    <row r="506">
      <c r="A506" s="182"/>
      <c r="B506" s="187" t="str">
        <f>IFERROR(__xludf.DUMMYFUNCTION("""COMPUTED_VALUE"""),"Nurturing")</f>
        <v>Nurturing</v>
      </c>
      <c r="C506" s="187">
        <f t="shared" si="1"/>
        <v>1</v>
      </c>
      <c r="D506" s="20" t="s">
        <v>3193</v>
      </c>
      <c r="E506" s="20">
        <v>1.0</v>
      </c>
    </row>
    <row r="507">
      <c r="A507" s="182" t="str">
        <f>IFERROR(__xludf.DUMMYFUNCTION("""COMPUTED_VALUE"""),"Nimbus")</f>
        <v>Nimbus</v>
      </c>
      <c r="B507" s="187" t="str">
        <f>IFERROR(__xludf.DUMMYFUNCTION("""COMPUTED_VALUE"""),"Rootsaurus")</f>
        <v>Rootsaurus</v>
      </c>
      <c r="C507" s="187">
        <f t="shared" si="1"/>
        <v>1</v>
      </c>
      <c r="D507" s="20" t="s">
        <v>3194</v>
      </c>
      <c r="E507" s="20">
        <v>1.0</v>
      </c>
    </row>
    <row r="508">
      <c r="A508" s="182" t="str">
        <f>IFERROR(__xludf.DUMMYFUNCTION("""COMPUTED_VALUE"""),"Claw")</f>
        <v>Claw</v>
      </c>
      <c r="B508" s="187" t="str">
        <f>IFERROR(__xludf.DUMMYFUNCTION("""COMPUTED_VALUE"""),"Carnage")</f>
        <v>Carnage</v>
      </c>
      <c r="C508" s="187">
        <f t="shared" si="1"/>
        <v>1</v>
      </c>
      <c r="D508" s="20" t="s">
        <v>3195</v>
      </c>
      <c r="E508" s="20">
        <v>1.0</v>
      </c>
    </row>
    <row r="509">
      <c r="A509" s="182"/>
      <c r="B509" s="187" t="str">
        <f>IFERROR(__xludf.DUMMYFUNCTION("""COMPUTED_VALUE"""),"Hornet")</f>
        <v>Hornet</v>
      </c>
      <c r="C509" s="187">
        <f t="shared" si="1"/>
        <v>1</v>
      </c>
      <c r="D509" s="20" t="s">
        <v>3196</v>
      </c>
      <c r="E509" s="20">
        <v>1.0</v>
      </c>
    </row>
    <row r="510">
      <c r="A510" s="182"/>
      <c r="B510" s="187" t="str">
        <f>IFERROR(__xludf.DUMMYFUNCTION("""COMPUTED_VALUE"""),"Champion")</f>
        <v>Champion</v>
      </c>
      <c r="C510" s="187">
        <f t="shared" si="1"/>
        <v>1</v>
      </c>
      <c r="D510" s="20" t="s">
        <v>3197</v>
      </c>
      <c r="E510" s="20">
        <v>1.0</v>
      </c>
    </row>
    <row r="511">
      <c r="A511" s="182"/>
      <c r="B511" s="187" t="str">
        <f>IFERROR(__xludf.DUMMYFUNCTION("""COMPUTED_VALUE"""),"Hell")</f>
        <v>Hell</v>
      </c>
      <c r="C511" s="187">
        <f t="shared" si="1"/>
        <v>1</v>
      </c>
      <c r="D511" s="20" t="s">
        <v>3198</v>
      </c>
      <c r="E511" s="20">
        <v>1.0</v>
      </c>
    </row>
    <row r="512">
      <c r="A512" s="182" t="str">
        <f>IFERROR(__xludf.DUMMYFUNCTION("""COMPUTED_VALUE"""),"Omen")</f>
        <v>Omen</v>
      </c>
      <c r="B512" s="187" t="str">
        <f>IFERROR(__xludf.DUMMYFUNCTION("""COMPUTED_VALUE"""),"Colorgorger")</f>
        <v>Colorgorger</v>
      </c>
      <c r="C512" s="187">
        <f t="shared" si="1"/>
        <v>1</v>
      </c>
      <c r="D512" s="20" t="s">
        <v>3199</v>
      </c>
      <c r="E512" s="20">
        <v>1.0</v>
      </c>
    </row>
    <row r="513">
      <c r="A513" s="182" t="str">
        <f>IFERROR(__xludf.DUMMYFUNCTION("""COMPUTED_VALUE"""),"Firefly")</f>
        <v>Firefly</v>
      </c>
      <c r="B513" s="187" t="str">
        <f>IFERROR(__xludf.DUMMYFUNCTION("""COMPUTED_VALUE"""),"Dark")</f>
        <v>Dark</v>
      </c>
      <c r="C513" s="187">
        <f t="shared" si="1"/>
        <v>1</v>
      </c>
      <c r="D513" s="20" t="s">
        <v>3200</v>
      </c>
      <c r="E513" s="20">
        <v>1.0</v>
      </c>
    </row>
    <row r="514">
      <c r="A514" s="182"/>
      <c r="B514" s="187" t="str">
        <f>IFERROR(__xludf.DUMMYFUNCTION("""COMPUTED_VALUE"""),"Spoon")</f>
        <v>Spoon</v>
      </c>
      <c r="C514" s="187">
        <f t="shared" si="1"/>
        <v>1</v>
      </c>
      <c r="D514" s="20" t="s">
        <v>3201</v>
      </c>
      <c r="E514" s="20">
        <v>1.0</v>
      </c>
    </row>
    <row r="515">
      <c r="A515" s="182"/>
      <c r="B515" s="187" t="str">
        <f>IFERROR(__xludf.DUMMYFUNCTION("""COMPUTED_VALUE"""),"Dawnbreak")</f>
        <v>Dawnbreak</v>
      </c>
      <c r="C515" s="187">
        <f t="shared" si="1"/>
        <v>1</v>
      </c>
      <c r="D515" s="20" t="s">
        <v>3202</v>
      </c>
      <c r="E515" s="20">
        <v>1.0</v>
      </c>
    </row>
    <row r="516">
      <c r="A516" s="182"/>
      <c r="B516" s="187" t="str">
        <f>IFERROR(__xludf.DUMMYFUNCTION("""COMPUTED_VALUE"""),"Wendigo")</f>
        <v>Wendigo</v>
      </c>
      <c r="C516" s="187">
        <f t="shared" si="1"/>
        <v>1</v>
      </c>
      <c r="D516" s="20" t="s">
        <v>3203</v>
      </c>
      <c r="E516" s="20">
        <v>1.0</v>
      </c>
    </row>
    <row r="517">
      <c r="A517" s="182" t="str">
        <f>IFERROR(__xludf.DUMMYFUNCTION("""COMPUTED_VALUE"""),"Pixie")</f>
        <v>Pixie</v>
      </c>
      <c r="B517" s="187" t="str">
        <f>IFERROR(__xludf.DUMMYFUNCTION("""COMPUTED_VALUE"""),"Depthdragger")</f>
        <v>Depthdragger</v>
      </c>
      <c r="C517" s="187">
        <f t="shared" si="1"/>
        <v>1</v>
      </c>
      <c r="D517" s="20" t="s">
        <v>3204</v>
      </c>
      <c r="E517" s="20">
        <v>1.0</v>
      </c>
    </row>
    <row r="518">
      <c r="A518" s="182" t="str">
        <f>IFERROR(__xludf.DUMMYFUNCTION("""COMPUTED_VALUE"""),"Summoner")</f>
        <v>Summoner</v>
      </c>
      <c r="B518" s="187" t="str">
        <f>IFERROR(__xludf.DUMMYFUNCTION("""COMPUTED_VALUE"""),"Discarded")</f>
        <v>Discarded</v>
      </c>
      <c r="C518" s="187">
        <f t="shared" si="1"/>
        <v>1</v>
      </c>
      <c r="D518" s="20" t="s">
        <v>3205</v>
      </c>
      <c r="E518" s="20">
        <v>1.0</v>
      </c>
    </row>
    <row r="519">
      <c r="A519" s="182"/>
      <c r="B519" s="187" t="str">
        <f>IFERROR(__xludf.DUMMYFUNCTION("""COMPUTED_VALUE"""),"Abomination")</f>
        <v>Abomination</v>
      </c>
      <c r="C519" s="187">
        <f t="shared" si="1"/>
        <v>2</v>
      </c>
      <c r="D519" s="20" t="s">
        <v>3206</v>
      </c>
      <c r="E519" s="20">
        <v>1.0</v>
      </c>
    </row>
    <row r="520">
      <c r="A520" s="182"/>
      <c r="B520" s="187" t="str">
        <f>IFERROR(__xludf.DUMMYFUNCTION("""COMPUTED_VALUE"""),"Doomgaze")</f>
        <v>Doomgaze</v>
      </c>
      <c r="C520" s="187">
        <f t="shared" si="1"/>
        <v>1</v>
      </c>
      <c r="D520" s="20" t="s">
        <v>3207</v>
      </c>
      <c r="E520" s="20">
        <v>1.0</v>
      </c>
    </row>
    <row r="521">
      <c r="A521" s="182"/>
      <c r="B521" s="187" t="str">
        <f>IFERROR(__xludf.DUMMYFUNCTION("""COMPUTED_VALUE"""),"Dread")</f>
        <v>Dread</v>
      </c>
      <c r="C521" s="187">
        <f t="shared" si="1"/>
        <v>2</v>
      </c>
      <c r="D521" s="20" t="s">
        <v>3208</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3209</v>
      </c>
      <c r="E523" s="20">
        <v>1.0</v>
      </c>
    </row>
    <row r="524">
      <c r="A524" s="182"/>
      <c r="B524" s="187" t="str">
        <f>IFERROR(__xludf.DUMMYFUNCTION("""COMPUTED_VALUE"""),"Nexus")</f>
        <v>Nexus</v>
      </c>
      <c r="C524" s="187">
        <f t="shared" si="1"/>
        <v>2</v>
      </c>
      <c r="D524" s="20" t="s">
        <v>3210</v>
      </c>
      <c r="E524" s="20">
        <v>1.0</v>
      </c>
    </row>
    <row r="525">
      <c r="A525" s="182"/>
      <c r="B525" s="187" t="str">
        <f>IFERROR(__xludf.DUMMYFUNCTION("""COMPUTED_VALUE"""),"Fatepeek")</f>
        <v>Fatepeek</v>
      </c>
      <c r="C525" s="187">
        <f t="shared" si="1"/>
        <v>1</v>
      </c>
      <c r="D525" s="20" t="s">
        <v>3211</v>
      </c>
      <c r="E525" s="20">
        <v>1.0</v>
      </c>
    </row>
    <row r="526">
      <c r="A526" s="182"/>
      <c r="B526" s="187" t="str">
        <f>IFERROR(__xludf.DUMMYFUNCTION("""COMPUTED_VALUE"""),"Imp")</f>
        <v>Imp</v>
      </c>
      <c r="C526" s="187">
        <f t="shared" si="1"/>
        <v>2</v>
      </c>
      <c r="D526" s="20" t="s">
        <v>3212</v>
      </c>
      <c r="E526" s="20">
        <v>1.0</v>
      </c>
    </row>
    <row r="527">
      <c r="A527" s="182" t="str">
        <f>IFERROR(__xludf.DUMMYFUNCTION("""COMPUTED_VALUE"""),"Shifting")</f>
        <v>Shifting</v>
      </c>
      <c r="B527" s="187" t="str">
        <f>IFERROR(__xludf.DUMMYFUNCTION("""COMPUTED_VALUE"""),"Eyed")</f>
        <v>Eyed</v>
      </c>
      <c r="C527" s="187">
        <f t="shared" si="1"/>
        <v>1</v>
      </c>
      <c r="D527" s="20" t="s">
        <v>3213</v>
      </c>
      <c r="E527" s="20">
        <v>1.0</v>
      </c>
    </row>
    <row r="528">
      <c r="A528" s="182" t="str">
        <f>IFERROR(__xludf.DUMMYFUNCTION("""COMPUTED_VALUE"""),"Sands")</f>
        <v>Sands</v>
      </c>
      <c r="B528" s="187" t="str">
        <f>IFERROR(__xludf.DUMMYFUNCTION("""COMPUTED_VALUE"""),"Plunderpillar")</f>
        <v>Plunderpillar</v>
      </c>
      <c r="C528" s="187">
        <f t="shared" si="1"/>
        <v>1</v>
      </c>
      <c r="D528" s="20" t="s">
        <v>3214</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3215</v>
      </c>
      <c r="E530" s="20">
        <v>1.0</v>
      </c>
    </row>
    <row r="531">
      <c r="A531" s="182"/>
      <c r="B531" s="187" t="str">
        <f>IFERROR(__xludf.DUMMYFUNCTION("""COMPUTED_VALUE"""),"Saurian")</f>
        <v>Saurian</v>
      </c>
      <c r="C531" s="187">
        <f t="shared" si="1"/>
        <v>1</v>
      </c>
      <c r="D531" s="20" t="s">
        <v>3216</v>
      </c>
      <c r="E531" s="20">
        <v>1.0</v>
      </c>
    </row>
    <row r="532">
      <c r="A532" s="182" t="str">
        <f>IFERROR(__xludf.DUMMYFUNCTION("""COMPUTED_VALUE"""),"Torii")</f>
        <v>Torii</v>
      </c>
      <c r="B532" s="187" t="str">
        <f>IFERROR(__xludf.DUMMYFUNCTION("""COMPUTED_VALUE"""),"Wraith")</f>
        <v>Wraith</v>
      </c>
      <c r="C532" s="187">
        <f t="shared" si="1"/>
        <v>1</v>
      </c>
      <c r="D532" s="20" t="s">
        <v>3217</v>
      </c>
      <c r="E532" s="20">
        <v>1.0</v>
      </c>
    </row>
    <row r="533">
      <c r="A533" s="182" t="str">
        <f>IFERROR(__xludf.DUMMYFUNCTION("""COMPUTED_VALUE"""),"Spirit")</f>
        <v>Spirit</v>
      </c>
      <c r="B533" s="187" t="str">
        <f>IFERROR(__xludf.DUMMYFUNCTION("""COMPUTED_VALUE"""),"Gravebound")</f>
        <v>Gravebound</v>
      </c>
      <c r="C533" s="187">
        <f t="shared" si="1"/>
        <v>1</v>
      </c>
      <c r="D533" s="20" t="s">
        <v>3218</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3219</v>
      </c>
      <c r="E535" s="20">
        <v>1.0</v>
      </c>
    </row>
    <row r="536">
      <c r="A536" s="182"/>
      <c r="B536" s="187" t="str">
        <f>IFERROR(__xludf.DUMMYFUNCTION("""COMPUTED_VALUE"""),"Greedspawn")</f>
        <v>Greedspawn</v>
      </c>
      <c r="C536" s="187">
        <f t="shared" si="1"/>
        <v>1</v>
      </c>
      <c r="D536" s="20" t="s">
        <v>3220</v>
      </c>
      <c r="E536" s="20">
        <v>1.0</v>
      </c>
    </row>
    <row r="537">
      <c r="A537" s="182" t="str">
        <f>IFERROR(__xludf.DUMMYFUNCTION("""COMPUTED_VALUE"""),"Red")</f>
        <v>Red</v>
      </c>
      <c r="B537" s="187" t="str">
        <f>IFERROR(__xludf.DUMMYFUNCTION("""COMPUTED_VALUE"""),"Grim")</f>
        <v>Grim</v>
      </c>
      <c r="C537" s="187">
        <f t="shared" si="1"/>
        <v>1</v>
      </c>
      <c r="D537" s="20" t="s">
        <v>3221</v>
      </c>
      <c r="E537" s="20">
        <v>1.0</v>
      </c>
    </row>
    <row r="538">
      <c r="A538" s="182" t="str">
        <f>IFERROR(__xludf.DUMMYFUNCTION("""COMPUTED_VALUE"""),"Crusader")</f>
        <v>Crusader</v>
      </c>
      <c r="B538" s="187" t="str">
        <f>IFERROR(__xludf.DUMMYFUNCTION("""COMPUTED_VALUE"""),"Shadowpounce")</f>
        <v>Shadowpounce</v>
      </c>
      <c r="C538" s="187">
        <f t="shared" si="1"/>
        <v>1</v>
      </c>
      <c r="D538" s="20" t="s">
        <v>3222</v>
      </c>
      <c r="E538" s="20">
        <v>1.0</v>
      </c>
    </row>
    <row r="539">
      <c r="A539" s="182"/>
      <c r="B539" s="187" t="str">
        <f>IFERROR(__xludf.DUMMYFUNCTION("""COMPUTED_VALUE"""),"Panther")</f>
        <v>Panther</v>
      </c>
      <c r="C539" s="187">
        <f t="shared" si="1"/>
        <v>1</v>
      </c>
      <c r="D539" s="20" t="s">
        <v>3223</v>
      </c>
      <c r="E539" s="20">
        <v>1.0</v>
      </c>
    </row>
    <row r="540">
      <c r="A540" s="182"/>
      <c r="B540" s="187" t="str">
        <f>IFERROR(__xludf.DUMMYFUNCTION("""COMPUTED_VALUE"""),"Shardtooth")</f>
        <v>Shardtooth</v>
      </c>
      <c r="C540" s="187">
        <f t="shared" si="1"/>
        <v>1</v>
      </c>
      <c r="D540" s="20" t="s">
        <v>3224</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3225</v>
      </c>
      <c r="E542" s="20">
        <v>1.0</v>
      </c>
    </row>
    <row r="543">
      <c r="A543" s="182" t="str">
        <f>IFERROR(__xludf.DUMMYFUNCTION("""COMPUTED_VALUE"""),"Acolyte")</f>
        <v>Acolyte</v>
      </c>
      <c r="B543" s="187" t="str">
        <f>IFERROR(__xludf.DUMMYFUNCTION("""COMPUTED_VALUE"""),"Sunflower")</f>
        <v>Sunflower</v>
      </c>
      <c r="C543" s="187">
        <f t="shared" si="1"/>
        <v>1</v>
      </c>
      <c r="D543" s="20" t="s">
        <v>3226</v>
      </c>
      <c r="E543" s="20">
        <v>1.0</v>
      </c>
    </row>
    <row r="544">
      <c r="A544" s="182"/>
      <c r="B544" s="187" t="str">
        <f>IFERROR(__xludf.DUMMYFUNCTION("""COMPUTED_VALUE"""),"Tiger")</f>
        <v>Tiger</v>
      </c>
      <c r="C544" s="187">
        <f t="shared" si="1"/>
        <v>1</v>
      </c>
      <c r="D544" s="20" t="s">
        <v>3227</v>
      </c>
      <c r="E544" s="20">
        <v>1.0</v>
      </c>
    </row>
    <row r="545">
      <c r="A545" s="182"/>
      <c r="B545" s="187" t="str">
        <f>IFERROR(__xludf.DUMMYFUNCTION("""COMPUTED_VALUE"""),"Meekbone")</f>
        <v>Meekbone</v>
      </c>
      <c r="C545" s="187">
        <f t="shared" si="1"/>
        <v>1</v>
      </c>
      <c r="D545" s="20" t="s">
        <v>3228</v>
      </c>
      <c r="E545" s="20">
        <v>1.0</v>
      </c>
    </row>
    <row r="546">
      <c r="A546" s="182"/>
      <c r="B546" s="187" t="str">
        <f>IFERROR(__xludf.DUMMYFUNCTION("""COMPUTED_VALUE"""),"Soldier")</f>
        <v>Soldier</v>
      </c>
      <c r="C546" s="187">
        <f t="shared" si="1"/>
        <v>1</v>
      </c>
      <c r="D546" s="20" t="s">
        <v>3229</v>
      </c>
      <c r="E546" s="20">
        <v>1.0</v>
      </c>
    </row>
    <row r="547">
      <c r="A547" s="182" t="str">
        <f>IFERROR(__xludf.DUMMYFUNCTION("""COMPUTED_VALUE"""),"Blood")</f>
        <v>Blood</v>
      </c>
      <c r="B547" s="187" t="str">
        <f>IFERROR(__xludf.DUMMYFUNCTION("""COMPUTED_VALUE"""),"Monarch")</f>
        <v>Monarch</v>
      </c>
      <c r="C547" s="187">
        <f t="shared" si="1"/>
        <v>1</v>
      </c>
      <c r="D547" s="20" t="s">
        <v>3230</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3231</v>
      </c>
      <c r="E550" s="20">
        <v>1.0</v>
      </c>
    </row>
    <row r="551">
      <c r="A551" s="182"/>
      <c r="B551" s="187" t="str">
        <f>IFERROR(__xludf.DUMMYFUNCTION("""COMPUTED_VALUE"""),"Arcane")</f>
        <v>Arcane</v>
      </c>
      <c r="C551" s="187">
        <f t="shared" si="1"/>
        <v>1</v>
      </c>
      <c r="D551" s="20" t="s">
        <v>3232</v>
      </c>
      <c r="E551" s="20">
        <v>1.0</v>
      </c>
    </row>
    <row r="552">
      <c r="A552" s="182" t="str">
        <f>IFERROR(__xludf.DUMMYFUNCTION("""COMPUTED_VALUE"""),"Sand")</f>
        <v>Sand</v>
      </c>
      <c r="B552" s="187" t="str">
        <f>IFERROR(__xludf.DUMMYFUNCTION("""COMPUTED_VALUE"""),"Gorgosaur")</f>
        <v>Gorgosaur</v>
      </c>
      <c r="C552" s="187">
        <f t="shared" si="1"/>
        <v>1</v>
      </c>
      <c r="D552" s="20" t="s">
        <v>3233</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3234</v>
      </c>
      <c r="E554" s="20">
        <v>1.0</v>
      </c>
    </row>
    <row r="555">
      <c r="A555" s="182"/>
      <c r="B555" s="187" t="str">
        <f>IFERROR(__xludf.DUMMYFUNCTION("""COMPUTED_VALUE"""),"Grove")</f>
        <v>Grove</v>
      </c>
      <c r="C555" s="187">
        <f t="shared" si="1"/>
        <v>2</v>
      </c>
      <c r="D555" s="20" t="s">
        <v>3235</v>
      </c>
      <c r="E555" s="20">
        <v>1.0</v>
      </c>
    </row>
    <row r="556">
      <c r="A556" s="182"/>
      <c r="B556" s="187" t="str">
        <f>IFERROR(__xludf.DUMMYFUNCTION("""COMPUTED_VALUE"""),"Omenshadow")</f>
        <v>Omenshadow</v>
      </c>
      <c r="C556" s="187">
        <f t="shared" si="1"/>
        <v>1</v>
      </c>
      <c r="D556" s="20" t="s">
        <v>3236</v>
      </c>
      <c r="E556" s="20">
        <v>1.0</v>
      </c>
    </row>
    <row r="557">
      <c r="A557" s="182" t="str">
        <f>IFERROR(__xludf.DUMMYFUNCTION("""COMPUTED_VALUE"""),"Shardhorde")</f>
        <v>Shardhorde</v>
      </c>
      <c r="B557" s="187" t="str">
        <f>IFERROR(__xludf.DUMMYFUNCTION("""COMPUTED_VALUE"""),"Mantis")</f>
        <v>Mantis</v>
      </c>
      <c r="C557" s="187">
        <f t="shared" si="1"/>
        <v>1</v>
      </c>
      <c r="D557" s="20" t="s">
        <v>3237</v>
      </c>
      <c r="E557" s="20">
        <v>1.0</v>
      </c>
    </row>
    <row r="558">
      <c r="A558" s="182" t="str">
        <f>IFERROR(__xludf.DUMMYFUNCTION("""COMPUTED_VALUE"""),"Galewhelp")</f>
        <v>Galewhelp</v>
      </c>
      <c r="B558" s="187" t="str">
        <f>IFERROR(__xludf.DUMMYFUNCTION("""COMPUTED_VALUE"""),"Queen")</f>
        <v>Queen</v>
      </c>
      <c r="C558" s="187">
        <f t="shared" si="1"/>
        <v>2</v>
      </c>
      <c r="D558" s="20" t="s">
        <v>3238</v>
      </c>
      <c r="E558" s="20">
        <v>1.0</v>
      </c>
    </row>
    <row r="559">
      <c r="A559" s="182"/>
      <c r="B559" s="187" t="str">
        <f>IFERROR(__xludf.DUMMYFUNCTION("""COMPUTED_VALUE"""),"Purple")</f>
        <v>Purple</v>
      </c>
      <c r="C559" s="187">
        <f t="shared" si="1"/>
        <v>2</v>
      </c>
      <c r="D559" s="20" t="s">
        <v>3239</v>
      </c>
      <c r="E559" s="20">
        <v>1.0</v>
      </c>
    </row>
    <row r="560">
      <c r="A560" s="182"/>
      <c r="B560" s="187" t="str">
        <f>IFERROR(__xludf.DUMMYFUNCTION("""COMPUTED_VALUE"""),"Reborn")</f>
        <v>Reborn</v>
      </c>
      <c r="C560" s="187">
        <f t="shared" si="1"/>
        <v>1</v>
      </c>
      <c r="D560" s="20" t="s">
        <v>3240</v>
      </c>
      <c r="E560" s="20">
        <v>1.0</v>
      </c>
    </row>
    <row r="561">
      <c r="A561" s="182"/>
      <c r="B561" s="187" t="str">
        <f>IFERROR(__xludf.DUMMYFUNCTION("""COMPUTED_VALUE"""),"Stargazer")</f>
        <v>Stargazer</v>
      </c>
      <c r="C561" s="187">
        <f t="shared" si="1"/>
        <v>1</v>
      </c>
      <c r="D561" s="20" t="s">
        <v>3241</v>
      </c>
      <c r="E561" s="20">
        <v>1.0</v>
      </c>
    </row>
    <row r="562">
      <c r="A562" s="182" t="str">
        <f>IFERROR(__xludf.DUMMYFUNCTION("""COMPUTED_VALUE"""),"Amberlock")</f>
        <v>Amberlock</v>
      </c>
      <c r="B562" s="187" t="str">
        <f>IFERROR(__xludf.DUMMYFUNCTION("""COMPUTED_VALUE"""),"Relentless")</f>
        <v>Relentless</v>
      </c>
      <c r="C562" s="187">
        <f t="shared" si="1"/>
        <v>1</v>
      </c>
      <c r="D562" s="20" t="s">
        <v>3242</v>
      </c>
      <c r="E562" s="20">
        <v>1.0</v>
      </c>
    </row>
    <row r="563">
      <c r="A563" s="182" t="str">
        <f>IFERROR(__xludf.DUMMYFUNCTION("""COMPUTED_VALUE"""),"Dragonling")</f>
        <v>Dragonling</v>
      </c>
      <c r="B563" s="187" t="str">
        <f>IFERROR(__xludf.DUMMYFUNCTION("""COMPUTED_VALUE"""),"Runic")</f>
        <v>Runic</v>
      </c>
      <c r="C563" s="187">
        <f t="shared" si="1"/>
        <v>1</v>
      </c>
      <c r="D563" s="20" t="s">
        <v>3243</v>
      </c>
      <c r="E563" s="20">
        <v>1.0</v>
      </c>
    </row>
    <row r="564">
      <c r="A564" s="182"/>
      <c r="B564" s="187" t="str">
        <f>IFERROR(__xludf.DUMMYFUNCTION("""COMPUTED_VALUE"""),"Arachnid")</f>
        <v>Arachnid</v>
      </c>
      <c r="C564" s="187">
        <f t="shared" si="1"/>
        <v>1</v>
      </c>
      <c r="D564" s="20" t="s">
        <v>3244</v>
      </c>
      <c r="E564" s="20">
        <v>1.0</v>
      </c>
    </row>
    <row r="565">
      <c r="A565" s="182"/>
      <c r="B565" s="187" t="str">
        <f>IFERROR(__xludf.DUMMYFUNCTION("""COMPUTED_VALUE"""),"Teapot")</f>
        <v>Teapot</v>
      </c>
      <c r="C565" s="187">
        <f t="shared" si="1"/>
        <v>1</v>
      </c>
      <c r="D565" s="20" t="s">
        <v>3245</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3246</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3247</v>
      </c>
      <c r="E569" s="20">
        <v>1.0</v>
      </c>
    </row>
    <row r="570">
      <c r="A570" s="182"/>
      <c r="B570" s="187" t="str">
        <f>IFERROR(__xludf.DUMMYFUNCTION("""COMPUTED_VALUE"""),"Living")</f>
        <v>Living</v>
      </c>
      <c r="C570" s="187">
        <f t="shared" si="1"/>
        <v>1</v>
      </c>
      <c r="D570" s="20" t="s">
        <v>3248</v>
      </c>
      <c r="E570" s="20">
        <v>1.0</v>
      </c>
    </row>
    <row r="571">
      <c r="A571" s="182"/>
      <c r="B571" s="187" t="str">
        <f>IFERROR(__xludf.DUMMYFUNCTION("""COMPUTED_VALUE"""),"Thicket")</f>
        <v>Thicket</v>
      </c>
      <c r="C571" s="187">
        <f t="shared" si="1"/>
        <v>1</v>
      </c>
      <c r="D571" s="20" t="s">
        <v>3249</v>
      </c>
      <c r="E571" s="20">
        <v>1.0</v>
      </c>
    </row>
    <row r="572">
      <c r="A572" s="182" t="str">
        <f>IFERROR(__xludf.DUMMYFUNCTION("""COMPUTED_VALUE"""),"Dragonwind")</f>
        <v>Dragonwind</v>
      </c>
      <c r="B572" s="187" t="str">
        <f>IFERROR(__xludf.DUMMYFUNCTION("""COMPUTED_VALUE"""),"Shrouded")</f>
        <v>Shrouded</v>
      </c>
      <c r="C572" s="187">
        <f t="shared" si="1"/>
        <v>1</v>
      </c>
      <c r="D572" s="20" t="s">
        <v>3250</v>
      </c>
      <c r="E572" s="20">
        <v>1.0</v>
      </c>
    </row>
    <row r="573">
      <c r="A573" s="182" t="str">
        <f>IFERROR(__xludf.DUMMYFUNCTION("""COMPUTED_VALUE"""),"Harbinger")</f>
        <v>Harbinger</v>
      </c>
      <c r="B573" s="187" t="str">
        <f>IFERROR(__xludf.DUMMYFUNCTION("""COMPUTED_VALUE"""),"Advocate")</f>
        <v>Advocate</v>
      </c>
      <c r="C573" s="187">
        <f t="shared" si="1"/>
        <v>1</v>
      </c>
      <c r="D573" s="20" t="s">
        <v>3251</v>
      </c>
      <c r="E573" s="20">
        <v>1.0</v>
      </c>
    </row>
    <row r="574">
      <c r="A574" s="182"/>
      <c r="B574" s="187" t="str">
        <f>IFERROR(__xludf.DUMMYFUNCTION("""COMPUTED_VALUE"""),"Fiend")</f>
        <v>Fiend</v>
      </c>
      <c r="C574" s="187">
        <f t="shared" si="1"/>
        <v>1</v>
      </c>
      <c r="D574" s="20" t="s">
        <v>3252</v>
      </c>
      <c r="E574" s="20">
        <v>1.0</v>
      </c>
    </row>
    <row r="575">
      <c r="A575" s="182"/>
      <c r="B575" s="187" t="str">
        <f>IFERROR(__xludf.DUMMYFUNCTION("""COMPUTED_VALUE"""),"Invigorating")</f>
        <v>Invigorating</v>
      </c>
      <c r="C575" s="187">
        <f t="shared" si="1"/>
        <v>1</v>
      </c>
      <c r="D575" s="20" t="s">
        <v>3253</v>
      </c>
      <c r="E575" s="20">
        <v>1.0</v>
      </c>
    </row>
    <row r="576">
      <c r="A576" s="182"/>
      <c r="B576" s="187" t="str">
        <f>IFERROR(__xludf.DUMMYFUNCTION("""COMPUTED_VALUE"""),"Lotus")</f>
        <v>Lotus</v>
      </c>
      <c r="C576" s="187">
        <f t="shared" si="1"/>
        <v>1</v>
      </c>
      <c r="D576" s="20" t="s">
        <v>3254</v>
      </c>
      <c r="E576" s="20">
        <v>1.0</v>
      </c>
    </row>
    <row r="577">
      <c r="A577" s="182" t="str">
        <f>IFERROR(__xludf.DUMMYFUNCTION("""COMPUTED_VALUE"""),"Sparkwielder")</f>
        <v>Sparkwielder</v>
      </c>
      <c r="B577" s="187" t="str">
        <f>IFERROR(__xludf.DUMMYFUNCTION("""COMPUTED_VALUE"""),"Bloom")</f>
        <v>Bloom</v>
      </c>
      <c r="C577" s="187">
        <f t="shared" si="1"/>
        <v>1</v>
      </c>
      <c r="D577" s="20" t="s">
        <v>3255</v>
      </c>
      <c r="E577" s="20">
        <v>1.0</v>
      </c>
    </row>
    <row r="578">
      <c r="A578" s="182"/>
      <c r="B578" s="187" t="str">
        <f>IFERROR(__xludf.DUMMYFUNCTION("""COMPUTED_VALUE"""),"Photosynthaurus")</f>
        <v>Photosynthaurus</v>
      </c>
      <c r="C578" s="187">
        <f t="shared" si="1"/>
        <v>1</v>
      </c>
      <c r="D578" s="20" t="s">
        <v>3256</v>
      </c>
      <c r="E578" s="20">
        <v>1.0</v>
      </c>
    </row>
    <row r="579">
      <c r="A579" s="182"/>
      <c r="B579" s="187" t="str">
        <f>IFERROR(__xludf.DUMMYFUNCTION("""COMPUTED_VALUE"""),"Southern")</f>
        <v>Southern</v>
      </c>
      <c r="C579" s="187">
        <f t="shared" si="1"/>
        <v>1</v>
      </c>
      <c r="D579" s="20" t="s">
        <v>3257</v>
      </c>
      <c r="E579" s="20">
        <v>1.0</v>
      </c>
    </row>
    <row r="580">
      <c r="A580" s="182"/>
      <c r="B580" s="187" t="str">
        <f>IFERROR(__xludf.DUMMYFUNCTION("""COMPUTED_VALUE"""),"Reach")</f>
        <v>Reach</v>
      </c>
      <c r="C580" s="187">
        <f t="shared" si="1"/>
        <v>1</v>
      </c>
      <c r="D580" s="20" t="s">
        <v>3258</v>
      </c>
      <c r="E580" s="20">
        <v>1.0</v>
      </c>
    </row>
    <row r="581">
      <c r="A581" s="182"/>
      <c r="B581" s="187" t="str">
        <f>IFERROR(__xludf.DUMMYFUNCTION("""COMPUTED_VALUE"""),"Bulwark")</f>
        <v>Bulwark</v>
      </c>
      <c r="C581" s="187">
        <f t="shared" si="1"/>
        <v>1</v>
      </c>
      <c r="D581" s="20" t="s">
        <v>3259</v>
      </c>
      <c r="E581" s="20">
        <v>1.0</v>
      </c>
    </row>
    <row r="582">
      <c r="A582" s="182" t="str">
        <f>IFERROR(__xludf.DUMMYFUNCTION("""COMPUTED_VALUE"""),"Gashopper")</f>
        <v>Gashopper</v>
      </c>
      <c r="B582" s="187" t="str">
        <f>IFERROR(__xludf.DUMMYFUNCTION("""COMPUTED_VALUE"""),"Thoughtfeaster")</f>
        <v>Thoughtfeaster</v>
      </c>
      <c r="C582" s="187">
        <f t="shared" si="1"/>
        <v>1</v>
      </c>
      <c r="D582" s="20" t="s">
        <v>3260</v>
      </c>
      <c r="E582" s="20">
        <v>1.0</v>
      </c>
    </row>
    <row r="583">
      <c r="A583" s="182"/>
      <c r="B583" s="187" t="str">
        <f>IFERROR(__xludf.DUMMYFUNCTION("""COMPUTED_VALUE"""),"Tombstone")</f>
        <v>Tombstone</v>
      </c>
      <c r="C583" s="187">
        <f t="shared" si="1"/>
        <v>1</v>
      </c>
      <c r="D583" s="20" t="s">
        <v>3261</v>
      </c>
      <c r="E583" s="20">
        <v>1.0</v>
      </c>
    </row>
    <row r="584">
      <c r="A584" s="182"/>
      <c r="B584" s="187" t="str">
        <f>IFERROR(__xludf.DUMMYFUNCTION("""COMPUTED_VALUE"""),"Umbral")</f>
        <v>Umbral</v>
      </c>
      <c r="C584" s="187">
        <f t="shared" si="1"/>
        <v>1</v>
      </c>
      <c r="D584" s="20" t="s">
        <v>3262</v>
      </c>
      <c r="E584" s="20">
        <v>1.0</v>
      </c>
    </row>
    <row r="585">
      <c r="A585" s="182"/>
      <c r="B585" s="187" t="str">
        <f>IFERROR(__xludf.DUMMYFUNCTION("""COMPUTED_VALUE"""),"Voidkiss")</f>
        <v>Voidkiss</v>
      </c>
      <c r="C585" s="187">
        <f t="shared" si="1"/>
        <v>1</v>
      </c>
      <c r="D585" s="20" t="s">
        <v>3263</v>
      </c>
      <c r="E585" s="20">
        <v>1.0</v>
      </c>
    </row>
    <row r="586">
      <c r="A586" s="182"/>
      <c r="B586" s="187" t="str">
        <f>IFERROR(__xludf.DUMMYFUNCTION("""COMPUTED_VALUE"""),"Siren")</f>
        <v>Siren</v>
      </c>
      <c r="C586" s="187">
        <f t="shared" si="1"/>
        <v>1</v>
      </c>
      <c r="D586" s="20" t="s">
        <v>3264</v>
      </c>
      <c r="E586" s="20">
        <v>1.0</v>
      </c>
    </row>
    <row r="587">
      <c r="A587" s="182" t="str">
        <f>IFERROR(__xludf.DUMMYFUNCTION("""COMPUTED_VALUE"""),"Hailbringer")</f>
        <v>Hailbringer</v>
      </c>
      <c r="B587" s="187" t="str">
        <f>IFERROR(__xludf.DUMMYFUNCTION("""COMPUTED_VALUE"""),"Rootstrosity")</f>
        <v>Rootstrosity</v>
      </c>
      <c r="C587" s="187">
        <f t="shared" si="1"/>
        <v>1</v>
      </c>
      <c r="D587" s="20" t="s">
        <v>3265</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3266</v>
      </c>
      <c r="E589" s="20">
        <v>1.0</v>
      </c>
    </row>
    <row r="590">
      <c r="A590" s="182"/>
      <c r="B590" s="187" t="str">
        <f>IFERROR(__xludf.DUMMYFUNCTION("""COMPUTED_VALUE"""),"Whispering")</f>
        <v>Whispering</v>
      </c>
      <c r="C590" s="187">
        <f t="shared" si="1"/>
        <v>1</v>
      </c>
      <c r="D590" s="20" t="s">
        <v>3267</v>
      </c>
      <c r="E590" s="20">
        <v>1.0</v>
      </c>
    </row>
    <row r="591">
      <c r="A591" s="182"/>
      <c r="B591" s="187" t="str">
        <f>IFERROR(__xludf.DUMMYFUNCTION("""COMPUTED_VALUE"""),"Tome")</f>
        <v>Tome</v>
      </c>
      <c r="C591" s="187">
        <f t="shared" si="1"/>
        <v>1</v>
      </c>
      <c r="D591" s="20" t="s">
        <v>3268</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3269</v>
      </c>
      <c r="E593" s="20">
        <v>1.0</v>
      </c>
    </row>
    <row r="594">
      <c r="A594" s="182"/>
      <c r="B594" s="187" t="str">
        <f>IFERROR(__xludf.DUMMYFUNCTION("""COMPUTED_VALUE"""),"Heathborn")</f>
        <v>Heathborn</v>
      </c>
      <c r="C594" s="187">
        <f t="shared" si="1"/>
        <v>1</v>
      </c>
      <c r="D594" s="20" t="s">
        <v>3270</v>
      </c>
      <c r="E594" s="20">
        <v>1.0</v>
      </c>
    </row>
    <row r="595">
      <c r="A595" s="182"/>
      <c r="B595" s="187" t="str">
        <f>IFERROR(__xludf.DUMMYFUNCTION("""COMPUTED_VALUE"""),"Protector")</f>
        <v>Protector</v>
      </c>
      <c r="C595" s="187">
        <f t="shared" si="1"/>
        <v>1</v>
      </c>
      <c r="D595" s="20" t="s">
        <v>3271</v>
      </c>
      <c r="E595" s="20">
        <v>1.0</v>
      </c>
    </row>
    <row r="596">
      <c r="A596" s="182"/>
      <c r="B596" s="187" t="str">
        <f>IFERROR(__xludf.DUMMYFUNCTION("""COMPUTED_VALUE"""),"Wastelands")</f>
        <v>Wastelands</v>
      </c>
      <c r="C596" s="187">
        <f t="shared" si="1"/>
        <v>1</v>
      </c>
      <c r="D596" s="20" t="s">
        <v>3272</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3273</v>
      </c>
      <c r="E598" s="20">
        <v>1.0</v>
      </c>
    </row>
    <row r="599">
      <c r="A599" s="182"/>
      <c r="B599" s="187" t="str">
        <f>IFERROR(__xludf.DUMMYFUNCTION("""COMPUTED_VALUE"""),"Crystalline")</f>
        <v>Crystalline</v>
      </c>
      <c r="C599" s="187">
        <f t="shared" si="1"/>
        <v>1</v>
      </c>
      <c r="D599" s="20" t="s">
        <v>3274</v>
      </c>
      <c r="E599" s="20">
        <v>1.0</v>
      </c>
    </row>
    <row r="600">
      <c r="A600" s="182"/>
      <c r="B600" s="187" t="str">
        <f>IFERROR(__xludf.DUMMYFUNCTION("""COMPUTED_VALUE"""),"Parasite")</f>
        <v>Parasite</v>
      </c>
      <c r="C600" s="187">
        <f t="shared" si="1"/>
        <v>1</v>
      </c>
      <c r="D600" s="20" t="s">
        <v>3275</v>
      </c>
      <c r="E600" s="20">
        <v>1.0</v>
      </c>
    </row>
    <row r="601">
      <c r="A601" s="182"/>
      <c r="B601" s="187" t="str">
        <f>IFERROR(__xludf.DUMMYFUNCTION("""COMPUTED_VALUE"""),"Fortune's")</f>
        <v>Fortune's</v>
      </c>
      <c r="C601" s="187">
        <f t="shared" si="1"/>
        <v>1</v>
      </c>
      <c r="D601" s="20" t="s">
        <v>3276</v>
      </c>
      <c r="E601" s="20">
        <v>1.0</v>
      </c>
    </row>
    <row r="602">
      <c r="A602" s="182" t="str">
        <f>IFERROR(__xludf.DUMMYFUNCTION("""COMPUTED_VALUE"""),"Glinteye")</f>
        <v>Glinteye</v>
      </c>
      <c r="B602" s="187" t="str">
        <f>IFERROR(__xludf.DUMMYFUNCTION("""COMPUTED_VALUE"""),"Favorite")</f>
        <v>Favorite</v>
      </c>
      <c r="C602" s="187">
        <f t="shared" si="1"/>
        <v>1</v>
      </c>
      <c r="D602" s="20" t="s">
        <v>3277</v>
      </c>
      <c r="E602" s="20">
        <v>1.0</v>
      </c>
    </row>
    <row r="603">
      <c r="A603" s="182" t="str">
        <f>IFERROR(__xludf.DUMMYFUNCTION("""COMPUTED_VALUE"""),"Hoarder")</f>
        <v>Hoarder</v>
      </c>
      <c r="B603" s="187" t="str">
        <f>IFERROR(__xludf.DUMMYFUNCTION("""COMPUTED_VALUE"""),"Gigantic")</f>
        <v>Gigantic</v>
      </c>
      <c r="C603" s="187">
        <f t="shared" si="1"/>
        <v>1</v>
      </c>
      <c r="D603" s="20" t="s">
        <v>3278</v>
      </c>
      <c r="E603" s="20">
        <v>1.0</v>
      </c>
    </row>
    <row r="604">
      <c r="A604" s="182"/>
      <c r="B604" s="187" t="str">
        <f>IFERROR(__xludf.DUMMYFUNCTION("""COMPUTED_VALUE"""),"Terrormaw")</f>
        <v>Terrormaw</v>
      </c>
      <c r="C604" s="187">
        <f t="shared" si="1"/>
        <v>1</v>
      </c>
      <c r="D604" s="20" t="s">
        <v>3279</v>
      </c>
      <c r="E604" s="20">
        <v>1.0</v>
      </c>
    </row>
    <row r="605">
      <c r="A605" s="182"/>
      <c r="B605" s="187" t="str">
        <f>IFERROR(__xludf.DUMMYFUNCTION("""COMPUTED_VALUE"""),"Null")</f>
        <v>Null</v>
      </c>
      <c r="C605" s="187">
        <f t="shared" si="1"/>
        <v>1</v>
      </c>
      <c r="D605" s="20" t="s">
        <v>3280</v>
      </c>
      <c r="E605" s="20">
        <v>1.0</v>
      </c>
    </row>
    <row r="606">
      <c r="A606" s="182"/>
      <c r="B606" s="187" t="str">
        <f>IFERROR(__xludf.DUMMYFUNCTION("""COMPUTED_VALUE"""),"Ghost")</f>
        <v>Ghost</v>
      </c>
      <c r="C606" s="187">
        <f t="shared" si="1"/>
        <v>1</v>
      </c>
      <c r="D606" s="20" t="s">
        <v>3281</v>
      </c>
      <c r="E606" s="20">
        <v>1.0</v>
      </c>
    </row>
    <row r="607">
      <c r="A607" s="182" t="str">
        <f>IFERROR(__xludf.DUMMYFUNCTION("""COMPUTED_VALUE"""),"The")</f>
        <v>The</v>
      </c>
      <c r="B607" s="187" t="str">
        <f>IFERROR(__xludf.DUMMYFUNCTION("""COMPUTED_VALUE"""),"Bear")</f>
        <v>Bear</v>
      </c>
      <c r="C607" s="187">
        <f t="shared" si="1"/>
        <v>1</v>
      </c>
      <c r="D607" s="20" t="s">
        <v>3282</v>
      </c>
      <c r="E607" s="20">
        <v>1.0</v>
      </c>
    </row>
    <row r="608">
      <c r="A608" s="182" t="str">
        <f>IFERROR(__xludf.DUMMYFUNCTION("""COMPUTED_VALUE"""),"Culling")</f>
        <v>Culling</v>
      </c>
      <c r="B608" s="187" t="str">
        <f>IFERROR(__xludf.DUMMYFUNCTION("""COMPUTED_VALUE"""),"Cub")</f>
        <v>Cub</v>
      </c>
      <c r="C608" s="187">
        <f t="shared" si="1"/>
        <v>1</v>
      </c>
      <c r="D608" s="20" t="s">
        <v>3283</v>
      </c>
      <c r="E608" s="20">
        <v>1.0</v>
      </c>
    </row>
    <row r="609">
      <c r="A609" s="182" t="str">
        <f>IFERROR(__xludf.DUMMYFUNCTION("""COMPUTED_VALUE"""),"Claw")</f>
        <v>Claw</v>
      </c>
      <c r="B609" s="187" t="str">
        <f>IFERROR(__xludf.DUMMYFUNCTION("""COMPUTED_VALUE"""),"Necroconut")</f>
        <v>Necroconut</v>
      </c>
      <c r="C609" s="187">
        <f t="shared" si="1"/>
        <v>1</v>
      </c>
      <c r="D609" s="20" t="s">
        <v>3284</v>
      </c>
      <c r="E609" s="20">
        <v>1.0</v>
      </c>
    </row>
    <row r="610">
      <c r="A610" s="182"/>
      <c r="B610" s="187" t="str">
        <f>IFERROR(__xludf.DUMMYFUNCTION("""COMPUTED_VALUE"""),"Crab")</f>
        <v>Crab</v>
      </c>
      <c r="C610" s="187">
        <f t="shared" si="1"/>
        <v>1</v>
      </c>
      <c r="D610" s="20" t="s">
        <v>3285</v>
      </c>
      <c r="E610" s="20">
        <v>1.0</v>
      </c>
    </row>
    <row r="611">
      <c r="A611" s="182"/>
      <c r="B611" s="187" t="str">
        <f>IFERROR(__xludf.DUMMYFUNCTION("""COMPUTED_VALUE"""),"Rotting")</f>
        <v>Rotting</v>
      </c>
      <c r="C611" s="187">
        <f t="shared" si="1"/>
        <v>1</v>
      </c>
      <c r="D611" s="20" t="s">
        <v>3286</v>
      </c>
      <c r="E611" s="20">
        <v>1.0</v>
      </c>
    </row>
    <row r="612">
      <c r="A612" s="182" t="str">
        <f>IFERROR(__xludf.DUMMYFUNCTION("""COMPUTED_VALUE"""),"Thunderfox")</f>
        <v>Thunderfox</v>
      </c>
      <c r="B612" s="187" t="str">
        <f>IFERROR(__xludf.DUMMYFUNCTION("""COMPUTED_VALUE"""),"Alicorn")</f>
        <v>Alicorn</v>
      </c>
      <c r="C612" s="187">
        <f t="shared" si="1"/>
        <v>1</v>
      </c>
      <c r="D612" s="20" t="s">
        <v>3287</v>
      </c>
      <c r="E612" s="20">
        <v>1.0</v>
      </c>
    </row>
    <row r="613">
      <c r="A613" s="182"/>
      <c r="B613" s="187" t="str">
        <f>IFERROR(__xludf.DUMMYFUNCTION("""COMPUTED_VALUE"""),"Initiate")</f>
        <v>Initiate</v>
      </c>
      <c r="C613" s="187">
        <f t="shared" si="1"/>
        <v>1</v>
      </c>
      <c r="D613" s="20" t="s">
        <v>3288</v>
      </c>
      <c r="E613" s="20">
        <v>1.0</v>
      </c>
    </row>
    <row r="614">
      <c r="A614" s="182"/>
      <c r="B614" s="187" t="str">
        <f>IFERROR(__xludf.DUMMYFUNCTION("""COMPUTED_VALUE"""),"Cryptroach")</f>
        <v>Cryptroach</v>
      </c>
      <c r="C614" s="187">
        <f t="shared" si="1"/>
        <v>1</v>
      </c>
      <c r="D614" s="20" t="s">
        <v>3289</v>
      </c>
      <c r="E614" s="20">
        <v>1.0</v>
      </c>
    </row>
    <row r="615">
      <c r="A615" s="182"/>
      <c r="B615" s="187" t="str">
        <f>IFERROR(__xludf.DUMMYFUNCTION("""COMPUTED_VALUE"""),"Abyssal")</f>
        <v>Abyssal</v>
      </c>
      <c r="C615" s="187">
        <f t="shared" si="1"/>
        <v>1</v>
      </c>
      <c r="D615" s="20" t="s">
        <v>3290</v>
      </c>
      <c r="E615" s="20">
        <v>1.0</v>
      </c>
    </row>
    <row r="616">
      <c r="A616" s="182"/>
      <c r="B616" s="187" t="str">
        <f>IFERROR(__xludf.DUMMYFUNCTION("""COMPUTED_VALUE"""),"Silencer")</f>
        <v>Silencer</v>
      </c>
      <c r="C616" s="187">
        <f t="shared" si="1"/>
        <v>1</v>
      </c>
      <c r="D616" s="20" t="s">
        <v>3291</v>
      </c>
      <c r="E616" s="20">
        <v>1.0</v>
      </c>
    </row>
    <row r="617">
      <c r="A617" s="182" t="str">
        <f>IFERROR(__xludf.DUMMYFUNCTION("""COMPUTED_VALUE"""),"Raijin's")</f>
        <v>Raijin's</v>
      </c>
      <c r="B617" s="187" t="str">
        <f>IFERROR(__xludf.DUMMYFUNCTION("""COMPUTED_VALUE"""),"Blightcoven")</f>
        <v>Blightcoven</v>
      </c>
      <c r="C617" s="187">
        <f t="shared" si="1"/>
        <v>1</v>
      </c>
      <c r="D617" s="20" t="s">
        <v>3292</v>
      </c>
      <c r="E617" s="20">
        <v>1.0</v>
      </c>
    </row>
    <row r="618">
      <c r="A618" s="182" t="str">
        <f>IFERROR(__xludf.DUMMYFUNCTION("""COMPUTED_VALUE"""),"Familiar")</f>
        <v>Familiar</v>
      </c>
      <c r="B618" s="187" t="str">
        <f>IFERROR(__xludf.DUMMYFUNCTION("""COMPUTED_VALUE"""),"Puppeteer")</f>
        <v>Puppeteer</v>
      </c>
      <c r="C618" s="187">
        <f t="shared" si="1"/>
        <v>1</v>
      </c>
      <c r="D618" s="20" t="s">
        <v>3293</v>
      </c>
      <c r="E618" s="20">
        <v>1.0</v>
      </c>
    </row>
    <row r="619">
      <c r="A619" s="182"/>
      <c r="B619" s="187" t="str">
        <f>IFERROR(__xludf.DUMMYFUNCTION("""COMPUTED_VALUE"""),"Ambassador")</f>
        <v>Ambassador</v>
      </c>
      <c r="C619" s="187">
        <f t="shared" si="1"/>
        <v>2</v>
      </c>
      <c r="D619" s="20" t="s">
        <v>3294</v>
      </c>
      <c r="E619" s="20">
        <v>1.0</v>
      </c>
    </row>
    <row r="620">
      <c r="A620" s="182"/>
      <c r="B620" s="187" t="str">
        <f>IFERROR(__xludf.DUMMYFUNCTION("""COMPUTED_VALUE"""),"Emissary")</f>
        <v>Emissary</v>
      </c>
      <c r="C620" s="187">
        <f t="shared" si="1"/>
        <v>1</v>
      </c>
      <c r="D620" s="20" t="s">
        <v>3295</v>
      </c>
      <c r="E620" s="20">
        <v>1.0</v>
      </c>
    </row>
    <row r="621">
      <c r="A621" s="182"/>
      <c r="B621" s="187" t="str">
        <f>IFERROR(__xludf.DUMMYFUNCTION("""COMPUTED_VALUE"""),"Darkness")</f>
        <v>Darkness</v>
      </c>
      <c r="C621" s="187">
        <f t="shared" si="1"/>
        <v>1</v>
      </c>
      <c r="D621" s="20" t="s">
        <v>3296</v>
      </c>
      <c r="E621" s="20">
        <v>1.0</v>
      </c>
    </row>
    <row r="622">
      <c r="A622" s="182" t="str">
        <f>IFERROR(__xludf.DUMMYFUNCTION("""COMPUTED_VALUE"""),"Twin")</f>
        <v>Twin</v>
      </c>
      <c r="B622" s="187" t="str">
        <f>IFERROR(__xludf.DUMMYFUNCTION("""COMPUTED_VALUE"""),"Chronicler")</f>
        <v>Chronicler</v>
      </c>
      <c r="C622" s="187">
        <f t="shared" si="1"/>
        <v>1</v>
      </c>
      <c r="D622" s="20" t="s">
        <v>3297</v>
      </c>
      <c r="E622" s="20">
        <v>1.0</v>
      </c>
    </row>
    <row r="623">
      <c r="A623" s="182" t="str">
        <f>IFERROR(__xludf.DUMMYFUNCTION("""COMPUTED_VALUE"""),"Thundertail")</f>
        <v>Thundertail</v>
      </c>
      <c r="B623" s="187" t="str">
        <f>IFERROR(__xludf.DUMMYFUNCTION("""COMPUTED_VALUE"""),"Serenader")</f>
        <v>Serenader</v>
      </c>
      <c r="C623" s="187">
        <f t="shared" si="1"/>
        <v>1</v>
      </c>
      <c r="D623" s="20" t="s">
        <v>3298</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3299</v>
      </c>
      <c r="E625" s="20">
        <v>1.0</v>
      </c>
    </row>
    <row r="626">
      <c r="A626" s="182"/>
      <c r="B626" s="187" t="str">
        <f>IFERROR(__xludf.DUMMYFUNCTION("""COMPUTED_VALUE"""),"Ghoulflesh")</f>
        <v>Ghoulflesh</v>
      </c>
      <c r="C626" s="187">
        <f t="shared" si="1"/>
        <v>1</v>
      </c>
      <c r="D626" s="20" t="s">
        <v>3300</v>
      </c>
      <c r="E626" s="20">
        <v>1.0</v>
      </c>
    </row>
    <row r="627">
      <c r="A627" s="182" t="str">
        <f>IFERROR(__xludf.DUMMYFUNCTION("""COMPUTED_VALUE"""),"Vengeful")</f>
        <v>Vengeful</v>
      </c>
      <c r="B627" s="187" t="str">
        <f>IFERROR(__xludf.DUMMYFUNCTION("""COMPUTED_VALUE"""),"Devourer")</f>
        <v>Devourer</v>
      </c>
      <c r="C627" s="187">
        <f t="shared" si="1"/>
        <v>1</v>
      </c>
      <c r="D627" s="20" t="s">
        <v>3301</v>
      </c>
      <c r="E627" s="20">
        <v>1.0</v>
      </c>
    </row>
    <row r="628">
      <c r="A628" s="182" t="str">
        <f>IFERROR(__xludf.DUMMYFUNCTION("""COMPUTED_VALUE"""),"Gust")</f>
        <v>Gust</v>
      </c>
      <c r="B628" s="187" t="str">
        <f>IFERROR(__xludf.DUMMYFUNCTION("""COMPUTED_VALUE"""),"Grinning")</f>
        <v>Grinning</v>
      </c>
      <c r="C628" s="187">
        <f t="shared" si="1"/>
        <v>1</v>
      </c>
      <c r="D628" s="20" t="s">
        <v>3302</v>
      </c>
      <c r="E628" s="20">
        <v>1.0</v>
      </c>
    </row>
    <row r="629">
      <c r="A629" s="182"/>
      <c r="B629" s="187" t="str">
        <f>IFERROR(__xludf.DUMMYFUNCTION("""COMPUTED_VALUE"""),"Amphora")</f>
        <v>Amphora</v>
      </c>
      <c r="C629" s="187">
        <f t="shared" si="1"/>
        <v>1</v>
      </c>
      <c r="D629" s="20" t="s">
        <v>3303</v>
      </c>
      <c r="E629" s="20">
        <v>1.0</v>
      </c>
    </row>
    <row r="630">
      <c r="A630" s="182"/>
      <c r="B630" s="187" t="str">
        <f>IFERROR(__xludf.DUMMYFUNCTION("""COMPUTED_VALUE"""),"Intrusive")</f>
        <v>Intrusive</v>
      </c>
      <c r="C630" s="187">
        <f t="shared" si="1"/>
        <v>1</v>
      </c>
      <c r="D630" s="20" t="s">
        <v>3304</v>
      </c>
      <c r="E630" s="20">
        <v>1.0</v>
      </c>
    </row>
    <row r="631">
      <c r="A631" s="182"/>
      <c r="B631" s="187" t="str">
        <f>IFERROR(__xludf.DUMMYFUNCTION("""COMPUTED_VALUE"""),"Heaven")</f>
        <v>Heaven</v>
      </c>
      <c r="C631" s="187">
        <f t="shared" si="1"/>
        <v>1</v>
      </c>
      <c r="D631" s="20" t="s">
        <v>3305</v>
      </c>
      <c r="E631" s="20">
        <v>1.0</v>
      </c>
    </row>
    <row r="632">
      <c r="A632" s="182" t="str">
        <f>IFERROR(__xludf.DUMMYFUNCTION("""COMPUTED_VALUE"""),"Runecursed")</f>
        <v>Runecursed</v>
      </c>
      <c r="B632" s="187" t="str">
        <f>IFERROR(__xludf.DUMMYFUNCTION("""COMPUTED_VALUE"""),"Pestilence")</f>
        <v>Pestilence</v>
      </c>
      <c r="C632" s="187">
        <f t="shared" si="1"/>
        <v>1</v>
      </c>
      <c r="D632" s="20" t="s">
        <v>3306</v>
      </c>
      <c r="E632" s="20">
        <v>1.0</v>
      </c>
    </row>
    <row r="633">
      <c r="A633" s="182" t="str">
        <f>IFERROR(__xludf.DUMMYFUNCTION("""COMPUTED_VALUE"""),"Wyvern")</f>
        <v>Wyvern</v>
      </c>
      <c r="B633" s="187" t="str">
        <f>IFERROR(__xludf.DUMMYFUNCTION("""COMPUTED_VALUE"""),"Haze")</f>
        <v>Haze</v>
      </c>
      <c r="C633" s="187">
        <f t="shared" si="1"/>
        <v>1</v>
      </c>
      <c r="D633" s="20" t="s">
        <v>3307</v>
      </c>
      <c r="E633" s="20">
        <v>1.0</v>
      </c>
    </row>
    <row r="634">
      <c r="A634" s="182"/>
      <c r="B634" s="187" t="str">
        <f>IFERROR(__xludf.DUMMYFUNCTION("""COMPUTED_VALUE"""),"Lamp")</f>
        <v>Lamp</v>
      </c>
      <c r="C634" s="187">
        <f t="shared" si="1"/>
        <v>1</v>
      </c>
      <c r="D634" s="20" t="s">
        <v>3308</v>
      </c>
      <c r="E634" s="20">
        <v>1.0</v>
      </c>
    </row>
    <row r="635">
      <c r="A635" s="182"/>
      <c r="B635" s="187" t="str">
        <f>IFERROR(__xludf.DUMMYFUNCTION("""COMPUTED_VALUE"""),"Oblivion")</f>
        <v>Oblivion</v>
      </c>
      <c r="C635" s="187">
        <f t="shared" si="1"/>
        <v>1</v>
      </c>
      <c r="D635" s="20" t="s">
        <v>3309</v>
      </c>
      <c r="E635" s="20">
        <v>1.0</v>
      </c>
    </row>
    <row r="636">
      <c r="A636" s="182"/>
      <c r="B636" s="187" t="str">
        <f>IFERROR(__xludf.DUMMYFUNCTION("""COMPUTED_VALUE"""),"Rejuvenating")</f>
        <v>Rejuvenating</v>
      </c>
      <c r="C636" s="187">
        <f t="shared" si="1"/>
        <v>1</v>
      </c>
      <c r="D636" s="20" t="s">
        <v>3310</v>
      </c>
      <c r="E636" s="20">
        <v>1.0</v>
      </c>
    </row>
    <row r="637">
      <c r="A637" s="182" t="str">
        <f>IFERROR(__xludf.DUMMYFUNCTION("""COMPUTED_VALUE"""),"Skulloath")</f>
        <v>Skulloath</v>
      </c>
      <c r="B637" s="187" t="str">
        <f>IFERROR(__xludf.DUMMYFUNCTION("""COMPUTED_VALUE"""),"Blinking")</f>
        <v>Blinking</v>
      </c>
      <c r="C637" s="187">
        <f t="shared" si="1"/>
        <v>1</v>
      </c>
      <c r="D637" s="20" t="s">
        <v>3311</v>
      </c>
      <c r="E637" s="20">
        <v>1.0</v>
      </c>
    </row>
    <row r="638">
      <c r="A638" s="182" t="str">
        <f>IFERROR(__xludf.DUMMYFUNCTION("""COMPUTED_VALUE"""),"Lootclaimer")</f>
        <v>Lootclaimer</v>
      </c>
      <c r="B638" s="187" t="str">
        <f>IFERROR(__xludf.DUMMYFUNCTION("""COMPUTED_VALUE"""),"Onyxion")</f>
        <v>Onyxion</v>
      </c>
      <c r="C638" s="187">
        <f t="shared" si="1"/>
        <v>1</v>
      </c>
      <c r="D638" s="20" t="s">
        <v>3312</v>
      </c>
      <c r="E638" s="20">
        <v>1.0</v>
      </c>
    </row>
    <row r="639">
      <c r="A639" s="182"/>
      <c r="B639" s="187" t="str">
        <f>IFERROR(__xludf.DUMMYFUNCTION("""COMPUTED_VALUE"""),"Thalis")</f>
        <v>Thalis</v>
      </c>
      <c r="C639" s="187">
        <f t="shared" si="1"/>
        <v>1</v>
      </c>
      <c r="D639" s="20" t="s">
        <v>3313</v>
      </c>
      <c r="E639" s="20">
        <v>1.0</v>
      </c>
    </row>
    <row r="640">
      <c r="A640" s="182"/>
      <c r="B640" s="187" t="str">
        <f>IFERROR(__xludf.DUMMYFUNCTION("""COMPUTED_VALUE"""),"Fuming")</f>
        <v>Fuming</v>
      </c>
      <c r="C640" s="187">
        <f t="shared" si="1"/>
        <v>1</v>
      </c>
      <c r="D640" s="20" t="s">
        <v>3314</v>
      </c>
      <c r="E640" s="20">
        <v>1.0</v>
      </c>
    </row>
    <row r="641">
      <c r="A641" s="182"/>
      <c r="B641" s="187" t="str">
        <f>IFERROR(__xludf.DUMMYFUNCTION("""COMPUTED_VALUE"""),"Fukuisaur")</f>
        <v>Fukuisaur</v>
      </c>
      <c r="C641" s="187">
        <f t="shared" si="1"/>
        <v>1</v>
      </c>
      <c r="D641" s="20" t="s">
        <v>3315</v>
      </c>
      <c r="E641" s="20">
        <v>1.0</v>
      </c>
    </row>
    <row r="642">
      <c r="A642" s="182" t="str">
        <f>IFERROR(__xludf.DUMMYFUNCTION("""COMPUTED_VALUE"""),"Spell")</f>
        <v>Spell</v>
      </c>
      <c r="B642" s="187" t="str">
        <f>IFERROR(__xludf.DUMMYFUNCTION("""COMPUTED_VALUE"""),"Spreading")</f>
        <v>Spreading</v>
      </c>
      <c r="C642" s="187">
        <f t="shared" si="1"/>
        <v>1</v>
      </c>
      <c r="D642" s="20" t="s">
        <v>3316</v>
      </c>
      <c r="E642" s="20">
        <v>1.0</v>
      </c>
    </row>
    <row r="643">
      <c r="A643" s="182" t="str">
        <f>IFERROR(__xludf.DUMMYFUNCTION("""COMPUTED_VALUE"""),"Cat")</f>
        <v>Cat</v>
      </c>
      <c r="B643" s="187" t="str">
        <f>IFERROR(__xludf.DUMMYFUNCTION("""COMPUTED_VALUE"""),"Spore")</f>
        <v>Spore</v>
      </c>
      <c r="C643" s="187">
        <f t="shared" si="1"/>
        <v>1</v>
      </c>
      <c r="D643" s="20" t="s">
        <v>3317</v>
      </c>
      <c r="E643" s="20">
        <v>1.0</v>
      </c>
    </row>
    <row r="644">
      <c r="A644" s="182"/>
      <c r="B644" s="187" t="str">
        <f>IFERROR(__xludf.DUMMYFUNCTION("""COMPUTED_VALUE"""),"Nightmare")</f>
        <v>Nightmare</v>
      </c>
      <c r="C644" s="187">
        <f t="shared" si="1"/>
        <v>2</v>
      </c>
      <c r="D644" s="20" t="s">
        <v>2336</v>
      </c>
      <c r="E644" s="20">
        <v>1.0</v>
      </c>
    </row>
    <row r="645">
      <c r="A645" s="182"/>
      <c r="B645" s="187" t="str">
        <f>IFERROR(__xludf.DUMMYFUNCTION("""COMPUTED_VALUE"""),"Chapel")</f>
        <v>Chapel</v>
      </c>
      <c r="C645" s="187">
        <f t="shared" si="1"/>
        <v>1</v>
      </c>
      <c r="D645" s="20" t="s">
        <v>3318</v>
      </c>
      <c r="E645" s="20">
        <v>1.0</v>
      </c>
    </row>
    <row r="646">
      <c r="A646" s="182"/>
      <c r="B646" s="187" t="str">
        <f>IFERROR(__xludf.DUMMYFUNCTION("""COMPUTED_VALUE"""),"Watcher")</f>
        <v>Watcher</v>
      </c>
      <c r="C646" s="187">
        <f t="shared" si="1"/>
        <v>1</v>
      </c>
      <c r="D646" s="20" t="s">
        <v>3319</v>
      </c>
      <c r="E646" s="20">
        <v>1.0</v>
      </c>
    </row>
    <row r="647">
      <c r="A647" s="182" t="str">
        <f>IFERROR(__xludf.DUMMYFUNCTION("""COMPUTED_VALUE"""),"Vermillion")</f>
        <v>Vermillion</v>
      </c>
      <c r="B647" s="187" t="str">
        <f>IFERROR(__xludf.DUMMYFUNCTION("""COMPUTED_VALUE"""),"Luring")</f>
        <v>Luring</v>
      </c>
      <c r="C647" s="187">
        <f t="shared" si="1"/>
        <v>1</v>
      </c>
      <c r="D647" s="20" t="s">
        <v>3320</v>
      </c>
      <c r="E647" s="20">
        <v>1.0</v>
      </c>
    </row>
    <row r="648">
      <c r="A648" s="182" t="str">
        <f>IFERROR(__xludf.DUMMYFUNCTION("""COMPUTED_VALUE"""),"Firebird")</f>
        <v>Firebird</v>
      </c>
      <c r="B648" s="187" t="str">
        <f>IFERROR(__xludf.DUMMYFUNCTION("""COMPUTED_VALUE"""),"Flametooth")</f>
        <v>Flametooth</v>
      </c>
      <c r="C648" s="187">
        <f t="shared" si="1"/>
        <v>1</v>
      </c>
      <c r="D648" s="20" t="s">
        <v>3321</v>
      </c>
      <c r="E648" s="20">
        <v>1.0</v>
      </c>
    </row>
    <row r="649">
      <c r="A649" s="182"/>
      <c r="B649" s="187" t="str">
        <f>IFERROR(__xludf.DUMMYFUNCTION("""COMPUTED_VALUE"""),"Shardsplosion")</f>
        <v>Shardsplosion</v>
      </c>
      <c r="C649" s="187">
        <f t="shared" si="1"/>
        <v>1</v>
      </c>
      <c r="D649" s="20" t="s">
        <v>3322</v>
      </c>
      <c r="E649" s="20">
        <v>1.0</v>
      </c>
    </row>
    <row r="650">
      <c r="A650" s="182"/>
      <c r="B650" s="187" t="str">
        <f>IFERROR(__xludf.DUMMYFUNCTION("""COMPUTED_VALUE"""),"Dragoncaller")</f>
        <v>Dragoncaller</v>
      </c>
      <c r="C650" s="187">
        <f t="shared" si="1"/>
        <v>1</v>
      </c>
      <c r="D650" s="20" t="s">
        <v>3323</v>
      </c>
      <c r="E650" s="20">
        <v>1.0</v>
      </c>
    </row>
    <row r="651">
      <c r="A651" s="182"/>
      <c r="B651" s="187" t="str">
        <f>IFERROR(__xludf.DUMMYFUNCTION("""COMPUTED_VALUE"""),"Stalagmite")</f>
        <v>Stalagmite</v>
      </c>
      <c r="C651" s="187">
        <f t="shared" si="1"/>
        <v>1</v>
      </c>
      <c r="D651" s="20" t="s">
        <v>3324</v>
      </c>
      <c r="E651" s="20">
        <v>1.0</v>
      </c>
    </row>
    <row r="652">
      <c r="A652" s="182" t="str">
        <f>IFERROR(__xludf.DUMMYFUNCTION("""COMPUTED_VALUE"""),"Oasisdweller")</f>
        <v>Oasisdweller</v>
      </c>
      <c r="B652" s="187" t="str">
        <f>IFERROR(__xludf.DUMMYFUNCTION("""COMPUTED_VALUE"""),"Mirage")</f>
        <v>Mirage</v>
      </c>
      <c r="C652" s="187">
        <f t="shared" si="1"/>
        <v>1</v>
      </c>
      <c r="D652" s="20" t="s">
        <v>3325</v>
      </c>
      <c r="E652" s="20">
        <v>1.0</v>
      </c>
    </row>
    <row r="653">
      <c r="A653" s="182"/>
      <c r="B653" s="187" t="str">
        <f>IFERROR(__xludf.DUMMYFUNCTION("""COMPUTED_VALUE"""),"Heavenbound")</f>
        <v>Heavenbound</v>
      </c>
      <c r="C653" s="187">
        <f t="shared" si="1"/>
        <v>1</v>
      </c>
      <c r="D653" s="20" t="s">
        <v>3326</v>
      </c>
      <c r="E653" s="20">
        <v>1.0</v>
      </c>
    </row>
    <row r="654">
      <c r="A654" s="182"/>
      <c r="B654" s="187" t="str">
        <f>IFERROR(__xludf.DUMMYFUNCTION("""COMPUTED_VALUE"""),"Heka-Mage")</f>
        <v>Heka-Mage</v>
      </c>
      <c r="C654" s="187">
        <f t="shared" si="1"/>
        <v>1</v>
      </c>
      <c r="D654" s="20" t="s">
        <v>3327</v>
      </c>
      <c r="E654" s="20">
        <v>1.0</v>
      </c>
    </row>
    <row r="655">
      <c r="A655" s="182"/>
      <c r="B655" s="187" t="str">
        <f>IFERROR(__xludf.DUMMYFUNCTION("""COMPUTED_VALUE"""),"Twilight")</f>
        <v>Twilight</v>
      </c>
      <c r="C655" s="187">
        <f t="shared" si="1"/>
        <v>2</v>
      </c>
      <c r="D655" s="20" t="s">
        <v>3328</v>
      </c>
      <c r="E655" s="20">
        <v>1.0</v>
      </c>
    </row>
    <row r="656">
      <c r="A656" s="182"/>
      <c r="B656" s="187" t="str">
        <f>IFERROR(__xludf.DUMMYFUNCTION("""COMPUTED_VALUE"""),"Sorceress")</f>
        <v>Sorceress</v>
      </c>
      <c r="C656" s="187">
        <f t="shared" si="1"/>
        <v>1</v>
      </c>
      <c r="D656" s="20" t="s">
        <v>3329</v>
      </c>
      <c r="E656" s="20">
        <v>1.0</v>
      </c>
    </row>
    <row r="657">
      <c r="A657" s="182" t="str">
        <f>IFERROR(__xludf.DUMMYFUNCTION("""COMPUTED_VALUE"""),"Portalrunner")</f>
        <v>Portalrunner</v>
      </c>
      <c r="B657" s="187" t="str">
        <f>IFERROR(__xludf.DUMMYFUNCTION("""COMPUTED_VALUE"""),"Twinfang")</f>
        <v>Twinfang</v>
      </c>
      <c r="C657" s="187">
        <f t="shared" si="1"/>
        <v>1</v>
      </c>
      <c r="D657" s="20" t="s">
        <v>2367</v>
      </c>
      <c r="E657" s="20">
        <v>1.0</v>
      </c>
    </row>
    <row r="658">
      <c r="A658" s="182"/>
      <c r="B658" s="187" t="str">
        <f>IFERROR(__xludf.DUMMYFUNCTION("""COMPUTED_VALUE"""),"Huntcaller")</f>
        <v>Huntcaller</v>
      </c>
      <c r="C658" s="187">
        <f t="shared" si="1"/>
        <v>1</v>
      </c>
      <c r="D658" s="20" t="s">
        <v>2369</v>
      </c>
      <c r="E658" s="20">
        <v>1.0</v>
      </c>
    </row>
    <row r="659">
      <c r="A659" s="182"/>
      <c r="B659" s="187" t="str">
        <f>IFERROR(__xludf.DUMMYFUNCTION("""COMPUTED_VALUE"""),"Vanguard")</f>
        <v>Vanguard</v>
      </c>
      <c r="C659" s="187">
        <f t="shared" si="1"/>
        <v>1</v>
      </c>
      <c r="D659" s="20" t="s">
        <v>3330</v>
      </c>
      <c r="E659" s="20">
        <v>1.0</v>
      </c>
    </row>
    <row r="660">
      <c r="A660" s="182"/>
      <c r="B660" s="187" t="str">
        <f>IFERROR(__xludf.DUMMYFUNCTION("""COMPUTED_VALUE"""),"#VALUE!")</f>
        <v>#VALUE!</v>
      </c>
      <c r="C660" s="187">
        <f t="shared" si="1"/>
        <v>1</v>
      </c>
      <c r="D660" s="20" t="s">
        <v>3331</v>
      </c>
      <c r="E660" s="20">
        <v>1.0</v>
      </c>
    </row>
    <row r="661">
      <c r="A661" s="182"/>
      <c r="B661" s="187" t="str">
        <f>IFERROR(__xludf.DUMMYFUNCTION("""COMPUTED_VALUE"""),"Behemoth")</f>
        <v>Behemoth</v>
      </c>
      <c r="C661" s="187">
        <f t="shared" si="1"/>
        <v>2</v>
      </c>
      <c r="D661" s="20" t="s">
        <v>3332</v>
      </c>
      <c r="E661" s="20">
        <v>1.0</v>
      </c>
    </row>
    <row r="662">
      <c r="A662" s="182" t="str">
        <f>IFERROR(__xludf.DUMMYFUNCTION("""COMPUTED_VALUE"""),"Cinderguard")</f>
        <v>Cinderguard</v>
      </c>
      <c r="B662" s="187" t="str">
        <f>IFERROR(__xludf.DUMMYFUNCTION("""COMPUTED_VALUE"""),"Guider")</f>
        <v>Guider</v>
      </c>
      <c r="C662" s="187">
        <f t="shared" si="1"/>
        <v>1</v>
      </c>
      <c r="D662" s="20" t="s">
        <v>3333</v>
      </c>
      <c r="E662" s="20">
        <v>1.0</v>
      </c>
    </row>
    <row r="663">
      <c r="A663" s="182" t="str">
        <f>IFERROR(__xludf.DUMMYFUNCTION("""COMPUTED_VALUE"""),"Irregulars")</f>
        <v>Irregulars</v>
      </c>
      <c r="B663" s="187" t="str">
        <f>IFERROR(__xludf.DUMMYFUNCTION("""COMPUTED_VALUE"""),"Yesterknight")</f>
        <v>Yesterknight</v>
      </c>
      <c r="C663" s="187">
        <f t="shared" si="1"/>
        <v>1</v>
      </c>
      <c r="D663" s="20" t="s">
        <v>3334</v>
      </c>
      <c r="E663" s="20">
        <v>1.0</v>
      </c>
    </row>
    <row r="664">
      <c r="A664" s="182"/>
      <c r="B664" s="187" t="str">
        <f>IFERROR(__xludf.DUMMYFUNCTION("""COMPUTED_VALUE"""),"Alchemist")</f>
        <v>Alchemist</v>
      </c>
      <c r="C664" s="187">
        <f t="shared" si="1"/>
        <v>1</v>
      </c>
      <c r="D664" s="20" t="s">
        <v>3335</v>
      </c>
      <c r="E664" s="20">
        <v>1.0</v>
      </c>
    </row>
    <row r="665">
      <c r="A665" s="182"/>
      <c r="B665" s="187" t="str">
        <f>IFERROR(__xludf.DUMMYFUNCTION("""COMPUTED_VALUE"""),"Mirrorkin")</f>
        <v>Mirrorkin</v>
      </c>
      <c r="C665" s="187">
        <f t="shared" si="1"/>
        <v>1</v>
      </c>
      <c r="D665" s="20" t="s">
        <v>3336</v>
      </c>
      <c r="E665" s="20">
        <v>1.0</v>
      </c>
    </row>
    <row r="666">
      <c r="A666" s="182"/>
      <c r="B666" s="187" t="str">
        <f>IFERROR(__xludf.DUMMYFUNCTION("""COMPUTED_VALUE"""),"Ticking")</f>
        <v>Ticking</v>
      </c>
      <c r="C666" s="187">
        <f t="shared" si="1"/>
        <v>1</v>
      </c>
      <c r="D666" s="20" t="s">
        <v>3337</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3338</v>
      </c>
      <c r="E668" s="20">
        <v>1.0</v>
      </c>
    </row>
    <row r="669">
      <c r="A669" s="182"/>
      <c r="B669" s="187" t="str">
        <f>IFERROR(__xludf.DUMMYFUNCTION("""COMPUTED_VALUE"""),"Conduit")</f>
        <v>Conduit</v>
      </c>
      <c r="C669" s="187">
        <f t="shared" si="1"/>
        <v>1</v>
      </c>
      <c r="D669" s="20" t="s">
        <v>3339</v>
      </c>
      <c r="E669" s="20">
        <v>1.0</v>
      </c>
    </row>
    <row r="670">
      <c r="A670" s="182"/>
      <c r="B670" s="187" t="str">
        <f>IFERROR(__xludf.DUMMYFUNCTION("""COMPUTED_VALUE"""),"Scale")</f>
        <v>Scale</v>
      </c>
      <c r="C670" s="187">
        <f t="shared" si="1"/>
        <v>1</v>
      </c>
      <c r="D670" s="20" t="s">
        <v>3340</v>
      </c>
      <c r="E670" s="20">
        <v>1.0</v>
      </c>
    </row>
    <row r="671">
      <c r="A671" s="182"/>
      <c r="B671" s="187" t="str">
        <f>IFERROR(__xludf.DUMMYFUNCTION("""COMPUTED_VALUE"""),"Nethersilk")</f>
        <v>Nethersilk</v>
      </c>
      <c r="C671" s="187">
        <f t="shared" si="1"/>
        <v>1</v>
      </c>
      <c r="D671" s="20" t="s">
        <v>2394</v>
      </c>
      <c r="E671" s="20">
        <v>1.0</v>
      </c>
    </row>
    <row r="672">
      <c r="A672" s="182" t="str">
        <f>IFERROR(__xludf.DUMMYFUNCTION("""COMPUTED_VALUE"""),"Crazed")</f>
        <v>Crazed</v>
      </c>
      <c r="B672" s="187" t="str">
        <f>IFERROR(__xludf.DUMMYFUNCTION("""COMPUTED_VALUE"""),"Moth")</f>
        <v>Moth</v>
      </c>
      <c r="C672" s="187">
        <f t="shared" si="1"/>
        <v>1</v>
      </c>
      <c r="D672" s="20" t="s">
        <v>3341</v>
      </c>
      <c r="E672" s="20">
        <v>1.0</v>
      </c>
    </row>
    <row r="673">
      <c r="A673" s="182" t="str">
        <f>IFERROR(__xludf.DUMMYFUNCTION("""COMPUTED_VALUE"""),"Hermit")</f>
        <v>Hermit</v>
      </c>
      <c r="B673" s="187" t="str">
        <f>IFERROR(__xludf.DUMMYFUNCTION("""COMPUTED_VALUE"""),"Penguin")</f>
        <v>Penguin</v>
      </c>
      <c r="C673" s="187">
        <f t="shared" si="1"/>
        <v>1</v>
      </c>
      <c r="D673" s="20" t="s">
        <v>3342</v>
      </c>
      <c r="E673" s="20">
        <v>1.0</v>
      </c>
    </row>
    <row r="674">
      <c r="A674" s="182"/>
      <c r="B674" s="187" t="str">
        <f>IFERROR(__xludf.DUMMYFUNCTION("""COMPUTED_VALUE"""),"Possessed")</f>
        <v>Possessed</v>
      </c>
      <c r="C674" s="187">
        <f t="shared" si="1"/>
        <v>1</v>
      </c>
      <c r="D674" s="20" t="s">
        <v>3343</v>
      </c>
      <c r="E674" s="20">
        <v>1.0</v>
      </c>
    </row>
    <row r="675">
      <c r="A675" s="182"/>
      <c r="B675" s="187" t="str">
        <f>IFERROR(__xludf.DUMMYFUNCTION("""COMPUTED_VALUE"""),"Vermin")</f>
        <v>Vermin</v>
      </c>
      <c r="C675" s="187">
        <f t="shared" si="1"/>
        <v>1</v>
      </c>
      <c r="D675" s="20" t="s">
        <v>3344</v>
      </c>
      <c r="E675" s="20">
        <v>1.0</v>
      </c>
    </row>
    <row r="676">
      <c r="A676" s="182"/>
      <c r="B676" s="187" t="str">
        <f>IFERROR(__xludf.DUMMYFUNCTION("""COMPUTED_VALUE"""),"Brood")</f>
        <v>Brood</v>
      </c>
      <c r="C676" s="187">
        <f t="shared" si="1"/>
        <v>1</v>
      </c>
      <c r="D676" s="20" t="s">
        <v>3345</v>
      </c>
      <c r="E676" s="20">
        <v>1.0</v>
      </c>
    </row>
    <row r="677">
      <c r="A677" s="182" t="str">
        <f>IFERROR(__xludf.DUMMYFUNCTION("""COMPUTED_VALUE"""),"Galeweaver")</f>
        <v>Galeweaver</v>
      </c>
      <c r="B677" s="187" t="str">
        <f>IFERROR(__xludf.DUMMYFUNCTION("""COMPUTED_VALUE"""),"Shadowsting")</f>
        <v>Shadowsting</v>
      </c>
      <c r="C677" s="187">
        <f t="shared" si="1"/>
        <v>1</v>
      </c>
      <c r="D677" s="20" t="s">
        <v>3346</v>
      </c>
      <c r="E677" s="20">
        <v>1.0</v>
      </c>
    </row>
    <row r="678">
      <c r="A678" s="182"/>
      <c r="B678" s="187" t="str">
        <f>IFERROR(__xludf.DUMMYFUNCTION("""COMPUTED_VALUE"""),"Shiverskull")</f>
        <v>Shiverskull</v>
      </c>
      <c r="C678" s="187">
        <f t="shared" si="1"/>
        <v>1</v>
      </c>
      <c r="D678" s="20" t="s">
        <v>3347</v>
      </c>
      <c r="E678" s="20">
        <v>1.0</v>
      </c>
    </row>
    <row r="679">
      <c r="A679" s="182"/>
      <c r="B679" s="187" t="str">
        <f>IFERROR(__xludf.DUMMYFUNCTION("""COMPUTED_VALUE"""),"Skull")</f>
        <v>Skull</v>
      </c>
      <c r="C679" s="187">
        <f t="shared" si="1"/>
        <v>1</v>
      </c>
      <c r="D679" s="20" t="s">
        <v>3348</v>
      </c>
      <c r="E679" s="20">
        <v>1.0</v>
      </c>
    </row>
    <row r="680">
      <c r="A680" s="182"/>
      <c r="B680" s="187" t="str">
        <f>IFERROR(__xludf.DUMMYFUNCTION("""COMPUTED_VALUE"""),"Crow")</f>
        <v>Crow</v>
      </c>
      <c r="C680" s="187">
        <f t="shared" si="1"/>
        <v>1</v>
      </c>
      <c r="D680" s="20" t="s">
        <v>3349</v>
      </c>
      <c r="E680" s="20">
        <v>1.0</v>
      </c>
    </row>
    <row r="681">
      <c r="A681" s="182"/>
      <c r="B681" s="187" t="str">
        <f>IFERROR(__xludf.DUMMYFUNCTION("""COMPUTED_VALUE"""),"Symbiotic")</f>
        <v>Symbiotic</v>
      </c>
      <c r="C681" s="187">
        <f t="shared" si="1"/>
        <v>1</v>
      </c>
      <c r="D681" s="20" t="s">
        <v>3350</v>
      </c>
      <c r="E681" s="20">
        <v>1.0</v>
      </c>
    </row>
    <row r="682">
      <c r="A682" s="182" t="str">
        <f>IFERROR(__xludf.DUMMYFUNCTION("""COMPUTED_VALUE"""),"Lurking")</f>
        <v>Lurking</v>
      </c>
      <c r="B682" s="187" t="str">
        <f>IFERROR(__xludf.DUMMYFUNCTION("""COMPUTED_VALUE"""),"Crawler")</f>
        <v>Crawler</v>
      </c>
      <c r="C682" s="187">
        <f t="shared" si="1"/>
        <v>1</v>
      </c>
      <c r="D682" s="20" t="s">
        <v>3351</v>
      </c>
      <c r="E682" s="20">
        <v>1.0</v>
      </c>
    </row>
    <row r="683">
      <c r="A683" s="182" t="str">
        <f>IFERROR(__xludf.DUMMYFUNCTION("""COMPUTED_VALUE"""),"Canopystomper")</f>
        <v>Canopystomper</v>
      </c>
      <c r="B683" s="187" t="str">
        <f>IFERROR(__xludf.DUMMYFUNCTION("""COMPUTED_VALUE"""),"Nightreaper")</f>
        <v>Nightreaper</v>
      </c>
      <c r="C683" s="187">
        <f t="shared" si="1"/>
        <v>1</v>
      </c>
      <c r="D683" s="20" t="s">
        <v>2430</v>
      </c>
      <c r="E683" s="20">
        <v>1.0</v>
      </c>
    </row>
    <row r="684">
      <c r="A684" s="182"/>
      <c r="B684" s="187" t="str">
        <f>IFERROR(__xludf.DUMMYFUNCTION("""COMPUTED_VALUE"""),"King")</f>
        <v>King</v>
      </c>
      <c r="C684" s="187">
        <f t="shared" si="1"/>
        <v>1</v>
      </c>
      <c r="D684" s="20" t="s">
        <v>3352</v>
      </c>
      <c r="E684" s="20">
        <v>1.0</v>
      </c>
    </row>
    <row r="685">
      <c r="A685" s="182"/>
      <c r="B685" s="187" t="str">
        <f>IFERROR(__xludf.DUMMYFUNCTION("""COMPUTED_VALUE"""),"Gorgon")</f>
        <v>Gorgon</v>
      </c>
      <c r="C685" s="187">
        <f t="shared" si="1"/>
        <v>1</v>
      </c>
      <c r="D685" s="20" t="s">
        <v>3353</v>
      </c>
      <c r="E685" s="20">
        <v>1.0</v>
      </c>
    </row>
    <row r="686">
      <c r="A686" s="182"/>
      <c r="B686" s="187" t="str">
        <f>IFERROR(__xludf.DUMMYFUNCTION("""COMPUTED_VALUE"""),"Serpentress")</f>
        <v>Serpentress</v>
      </c>
      <c r="C686" s="187">
        <f t="shared" si="1"/>
        <v>1</v>
      </c>
      <c r="D686" s="20" t="s">
        <v>3354</v>
      </c>
      <c r="E686" s="20">
        <v>1.0</v>
      </c>
    </row>
    <row r="687">
      <c r="A687" s="182" t="str">
        <f>IFERROR(__xludf.DUMMYFUNCTION("""COMPUTED_VALUE"""),"Resourceful")</f>
        <v>Resourceful</v>
      </c>
      <c r="B687" s="187" t="str">
        <f>IFERROR(__xludf.DUMMYFUNCTION("""COMPUTED_VALUE"""),"Ill-Tempered")</f>
        <v>Ill-Tempered</v>
      </c>
      <c r="C687" s="187">
        <f t="shared" si="1"/>
        <v>1</v>
      </c>
      <c r="D687" s="20" t="s">
        <v>3355</v>
      </c>
      <c r="E687" s="20">
        <v>1.0</v>
      </c>
    </row>
    <row r="688">
      <c r="A688" s="182" t="str">
        <f>IFERROR(__xludf.DUMMYFUNCTION("""COMPUTED_VALUE"""),"Poacher")</f>
        <v>Poacher</v>
      </c>
      <c r="B688" s="187" t="str">
        <f>IFERROR(__xludf.DUMMYFUNCTION("""COMPUTED_VALUE"""),"Nightbloom")</f>
        <v>Nightbloom</v>
      </c>
      <c r="C688" s="187">
        <f t="shared" si="1"/>
        <v>1</v>
      </c>
      <c r="D688" s="20" t="s">
        <v>2453</v>
      </c>
      <c r="E688" s="20">
        <v>1.0</v>
      </c>
    </row>
    <row r="689">
      <c r="A689" s="182"/>
      <c r="B689" s="187" t="str">
        <f>IFERROR(__xludf.DUMMYFUNCTION("""COMPUTED_VALUE"""),"Owl")</f>
        <v>Owl</v>
      </c>
      <c r="C689" s="187">
        <f t="shared" si="1"/>
        <v>1</v>
      </c>
      <c r="D689" s="20" t="s">
        <v>3356</v>
      </c>
      <c r="E689" s="20">
        <v>1.0</v>
      </c>
    </row>
    <row r="690">
      <c r="A690" s="182"/>
      <c r="B690" s="187" t="str">
        <f>IFERROR(__xludf.DUMMYFUNCTION("""COMPUTED_VALUE"""),"Shroom")</f>
        <v>Shroom</v>
      </c>
      <c r="C690" s="187">
        <f t="shared" si="1"/>
        <v>1</v>
      </c>
      <c r="D690" s="20" t="s">
        <v>3357</v>
      </c>
      <c r="E690" s="20">
        <v>1.0</v>
      </c>
    </row>
    <row r="691">
      <c r="A691" s="182"/>
      <c r="B691" s="187" t="str">
        <f>IFERROR(__xludf.DUMMYFUNCTION("""COMPUTED_VALUE"""),"Hellblade")</f>
        <v>Hellblade</v>
      </c>
      <c r="C691" s="187">
        <f t="shared" si="1"/>
        <v>1</v>
      </c>
      <c r="D691" s="20" t="s">
        <v>3358</v>
      </c>
      <c r="E691" s="20">
        <v>1.0</v>
      </c>
    </row>
    <row r="692">
      <c r="A692" s="182" t="str">
        <f>IFERROR(__xludf.DUMMYFUNCTION("""COMPUTED_VALUE"""),"Infernoblight")</f>
        <v>Infernoblight</v>
      </c>
      <c r="B692" s="187" t="str">
        <f>IFERROR(__xludf.DUMMYFUNCTION("""COMPUTED_VALUE"""),"Eclipse")</f>
        <v>Eclipse</v>
      </c>
      <c r="C692" s="187">
        <f t="shared" si="1"/>
        <v>1</v>
      </c>
      <c r="D692" s="20" t="s">
        <v>3359</v>
      </c>
      <c r="E692" s="20">
        <v>1.0</v>
      </c>
    </row>
    <row r="693">
      <c r="A693" s="182"/>
      <c r="B693" s="187" t="str">
        <f>IFERROR(__xludf.DUMMYFUNCTION("""COMPUTED_VALUE"""),"Scythe")</f>
        <v>Scythe</v>
      </c>
      <c r="C693" s="187">
        <f t="shared" si="1"/>
        <v>1</v>
      </c>
      <c r="D693" s="20" t="s">
        <v>3360</v>
      </c>
      <c r="E693" s="20">
        <v>1.0</v>
      </c>
    </row>
    <row r="694">
      <c r="A694" s="182"/>
      <c r="B694" s="187" t="str">
        <f>IFERROR(__xludf.DUMMYFUNCTION("""COMPUTED_VALUE"""),"Rotten")</f>
        <v>Rotten</v>
      </c>
      <c r="C694" s="187">
        <f t="shared" si="1"/>
        <v>1</v>
      </c>
      <c r="D694" s="20" t="s">
        <v>3361</v>
      </c>
      <c r="E694" s="20">
        <v>1.0</v>
      </c>
    </row>
    <row r="695">
      <c r="A695" s="182"/>
      <c r="B695" s="187" t="str">
        <f>IFERROR(__xludf.DUMMYFUNCTION("""COMPUTED_VALUE"""),"Stalker")</f>
        <v>Stalker</v>
      </c>
      <c r="C695" s="187">
        <f t="shared" si="1"/>
        <v>1</v>
      </c>
      <c r="D695" s="20" t="s">
        <v>3362</v>
      </c>
      <c r="E695" s="20">
        <v>1.0</v>
      </c>
    </row>
    <row r="696">
      <c r="A696" s="182"/>
      <c r="B696" s="187" t="str">
        <f>IFERROR(__xludf.DUMMYFUNCTION("""COMPUTED_VALUE"""),"Wringing")</f>
        <v>Wringing</v>
      </c>
      <c r="C696" s="187">
        <f t="shared" si="1"/>
        <v>1</v>
      </c>
      <c r="D696" s="20" t="s">
        <v>2504</v>
      </c>
      <c r="E696" s="20">
        <v>1.0</v>
      </c>
    </row>
    <row r="697">
      <c r="A697" s="182" t="str">
        <f>IFERROR(__xludf.DUMMYFUNCTION("""COMPUTED_VALUE"""),"The")</f>
        <v>The</v>
      </c>
      <c r="B697" s="187" t="str">
        <f>IFERROR(__xludf.DUMMYFUNCTION("""COMPUTED_VALUE"""),"Clawing")</f>
        <v>Clawing</v>
      </c>
      <c r="C697" s="187">
        <f t="shared" si="1"/>
        <v>1</v>
      </c>
      <c r="D697" s="20" t="s">
        <v>3363</v>
      </c>
      <c r="E697" s="20">
        <v>1.0</v>
      </c>
    </row>
    <row r="698">
      <c r="A698" s="182" t="str">
        <f>IFERROR(__xludf.DUMMYFUNCTION("""COMPUTED_VALUE"""),"Skyshrieker")</f>
        <v>Skyshrieker</v>
      </c>
      <c r="B698" s="187" t="str">
        <f>IFERROR(__xludf.DUMMYFUNCTION("""COMPUTED_VALUE"""),"Centipede")</f>
        <v>Centipede</v>
      </c>
      <c r="C698" s="187">
        <f t="shared" si="1"/>
        <v>1</v>
      </c>
      <c r="D698" s="20" t="s">
        <v>3364</v>
      </c>
      <c r="E698" s="20">
        <v>1.0</v>
      </c>
    </row>
    <row r="699">
      <c r="A699" s="182"/>
      <c r="B699" s="187" t="str">
        <f>IFERROR(__xludf.DUMMYFUNCTION("""COMPUTED_VALUE"""),"Voidsinger")</f>
        <v>Voidsinger</v>
      </c>
      <c r="C699" s="187">
        <f t="shared" si="1"/>
        <v>1</v>
      </c>
      <c r="D699" s="20" t="s">
        <v>3365</v>
      </c>
      <c r="E699" s="20">
        <v>1.0</v>
      </c>
    </row>
    <row r="700">
      <c r="A700" s="182"/>
      <c r="B700" s="187" t="str">
        <f>IFERROR(__xludf.DUMMYFUNCTION("""COMPUTED_VALUE"""),"Graverobbing")</f>
        <v>Graverobbing</v>
      </c>
      <c r="C700" s="187">
        <f t="shared" si="1"/>
        <v>1</v>
      </c>
      <c r="D700" s="20" t="s">
        <v>3366</v>
      </c>
      <c r="E700" s="20">
        <v>1.0</v>
      </c>
    </row>
    <row r="701">
      <c r="A701" s="182"/>
      <c r="B701" s="187" t="str">
        <f>IFERROR(__xludf.DUMMYFUNCTION("""COMPUTED_VALUE"""),"Robot")</f>
        <v>Robot</v>
      </c>
      <c r="C701" s="187">
        <f t="shared" si="1"/>
        <v>1</v>
      </c>
      <c r="D701" s="20" t="s">
        <v>3367</v>
      </c>
      <c r="E701" s="20">
        <v>1.0</v>
      </c>
    </row>
    <row r="702">
      <c r="A702" s="182" t="str">
        <f>IFERROR(__xludf.DUMMYFUNCTION("""COMPUTED_VALUE"""),"Mistborn")</f>
        <v>Mistborn</v>
      </c>
      <c r="B702" s="187" t="str">
        <f>IFERROR(__xludf.DUMMYFUNCTION("""COMPUTED_VALUE"""),"Bandage")</f>
        <v>Bandage</v>
      </c>
      <c r="C702" s="187">
        <f t="shared" si="1"/>
        <v>1</v>
      </c>
      <c r="D702" s="20" t="s">
        <v>3368</v>
      </c>
      <c r="E702" s="20">
        <v>1.0</v>
      </c>
    </row>
    <row r="703">
      <c r="A703" s="182" t="str">
        <f>IFERROR(__xludf.DUMMYFUNCTION("""COMPUTED_VALUE"""),"Serpent")</f>
        <v>Serpent</v>
      </c>
      <c r="B703" s="187" t="str">
        <f>IFERROR(__xludf.DUMMYFUNCTION("""COMPUTED_VALUE"""),"Deadfield")</f>
        <v>Deadfield</v>
      </c>
      <c r="C703" s="187">
        <f t="shared" si="1"/>
        <v>1</v>
      </c>
      <c r="D703" s="20" t="s">
        <v>3369</v>
      </c>
      <c r="E703" s="20">
        <v>1.0</v>
      </c>
    </row>
    <row r="704">
      <c r="A704" s="182"/>
      <c r="B704" s="187" t="str">
        <f>IFERROR(__xludf.DUMMYFUNCTION("""COMPUTED_VALUE"""),"Tiller")</f>
        <v>Tiller</v>
      </c>
      <c r="C704" s="187">
        <f t="shared" si="1"/>
        <v>1</v>
      </c>
      <c r="D704" s="20" t="s">
        <v>2549</v>
      </c>
      <c r="E704" s="20">
        <v>1.0</v>
      </c>
    </row>
    <row r="705">
      <c r="A705" s="182"/>
      <c r="B705" s="187" t="str">
        <f>IFERROR(__xludf.DUMMYFUNCTION("""COMPUTED_VALUE"""),"Frightweaver")</f>
        <v>Frightweaver</v>
      </c>
      <c r="C705" s="187">
        <f t="shared" si="1"/>
        <v>1</v>
      </c>
      <c r="D705" s="20" t="s">
        <v>3370</v>
      </c>
      <c r="E705" s="20">
        <v>1.0</v>
      </c>
    </row>
    <row r="706">
      <c r="A706" s="182"/>
      <c r="B706" s="187" t="str">
        <f>IFERROR(__xludf.DUMMYFUNCTION("""COMPUTED_VALUE"""),"Mini")</f>
        <v>Mini</v>
      </c>
      <c r="C706" s="187">
        <f t="shared" si="1"/>
        <v>1</v>
      </c>
      <c r="D706" s="20" t="s">
        <v>3371</v>
      </c>
      <c r="E706" s="20">
        <v>1.0</v>
      </c>
    </row>
    <row r="707">
      <c r="A707" s="182" t="str">
        <f>IFERROR(__xludf.DUMMYFUNCTION("""COMPUTED_VALUE"""),"Bringer")</f>
        <v>Bringer</v>
      </c>
      <c r="B707" s="187" t="str">
        <f>IFERROR(__xludf.DUMMYFUNCTION("""COMPUTED_VALUE"""),"Clocktower")</f>
        <v>Clocktower</v>
      </c>
      <c r="C707" s="187">
        <f t="shared" si="1"/>
        <v>1</v>
      </c>
      <c r="D707" s="20" t="s">
        <v>3372</v>
      </c>
      <c r="E707" s="20">
        <v>1.0</v>
      </c>
    </row>
    <row r="708">
      <c r="A708" s="182" t="str">
        <f>IFERROR(__xludf.DUMMYFUNCTION("""COMPUTED_VALUE"""),"of")</f>
        <v>of</v>
      </c>
      <c r="B708" s="187" t="str">
        <f>IFERROR(__xludf.DUMMYFUNCTION("""COMPUTED_VALUE"""),"Drake")</f>
        <v>Drake</v>
      </c>
      <c r="C708" s="187">
        <f t="shared" si="1"/>
        <v>1</v>
      </c>
      <c r="D708" s="20" t="s">
        <v>3373</v>
      </c>
      <c r="E708" s="20">
        <v>1.0</v>
      </c>
    </row>
    <row r="709">
      <c r="A709" s="182" t="str">
        <f>IFERROR(__xludf.DUMMYFUNCTION("""COMPUTED_VALUE"""),"Bad")</f>
        <v>Bad</v>
      </c>
      <c r="B709" s="187" t="str">
        <f>IFERROR(__xludf.DUMMYFUNCTION("""COMPUTED_VALUE"""),"Roaming")</f>
        <v>Roaming</v>
      </c>
      <c r="C709" s="187">
        <f t="shared" si="1"/>
        <v>1</v>
      </c>
      <c r="D709" s="20" t="s">
        <v>3374</v>
      </c>
      <c r="E709" s="20">
        <v>1.0</v>
      </c>
    </row>
    <row r="710">
      <c r="A710" s="182" t="str">
        <f>IFERROR(__xludf.DUMMYFUNCTION("""COMPUTED_VALUE"""),"Omens")</f>
        <v>Omens</v>
      </c>
      <c r="B710" s="187" t="str">
        <f>IFERROR(__xludf.DUMMYFUNCTION("""COMPUTED_VALUE"""),"Cherub")</f>
        <v>Cherub</v>
      </c>
      <c r="C710" s="187">
        <f t="shared" si="1"/>
        <v>1</v>
      </c>
      <c r="D710" s="20" t="s">
        <v>2577</v>
      </c>
      <c r="E710" s="20">
        <v>1.0</v>
      </c>
    </row>
    <row r="711">
      <c r="A711" s="182"/>
      <c r="B711" s="187" t="str">
        <f>IFERROR(__xludf.DUMMYFUNCTION("""COMPUTED_VALUE"""),"Bessy")</f>
        <v>Bessy</v>
      </c>
      <c r="C711" s="187">
        <f t="shared" si="1"/>
        <v>1</v>
      </c>
      <c r="D711" s="20" t="s">
        <v>3375</v>
      </c>
      <c r="E711" s="20">
        <v>1.0</v>
      </c>
    </row>
    <row r="712">
      <c r="A712" s="182" t="str">
        <f>IFERROR(__xludf.DUMMYFUNCTION("""COMPUTED_VALUE"""),"Gaunt")</f>
        <v>Gaunt</v>
      </c>
      <c r="B712" s="187" t="str">
        <f>IFERROR(__xludf.DUMMYFUNCTION("""COMPUTED_VALUE"""),"Realmshifter")</f>
        <v>Realmshifter</v>
      </c>
      <c r="C712" s="187">
        <f t="shared" si="1"/>
        <v>1</v>
      </c>
      <c r="D712" s="20" t="s">
        <v>3376</v>
      </c>
      <c r="E712" s="20">
        <v>1.0</v>
      </c>
    </row>
    <row r="713">
      <c r="A713" s="182" t="str">
        <f>IFERROR(__xludf.DUMMYFUNCTION("""COMPUTED_VALUE"""),"Visitation")</f>
        <v>Visitation</v>
      </c>
      <c r="B713" s="187" t="str">
        <f>IFERROR(__xludf.DUMMYFUNCTION("""COMPUTED_VALUE"""),"Shapeshifter")</f>
        <v>Shapeshifter</v>
      </c>
      <c r="C713" s="187">
        <f t="shared" si="1"/>
        <v>1</v>
      </c>
      <c r="D713" s="20" t="s">
        <v>3377</v>
      </c>
      <c r="E713" s="20">
        <v>1.0</v>
      </c>
    </row>
    <row r="714">
      <c r="A714" s="182"/>
      <c r="B714" s="187" t="str">
        <f>IFERROR(__xludf.DUMMYFUNCTION("""COMPUTED_VALUE"""),"Big")</f>
        <v>Big</v>
      </c>
      <c r="C714" s="187">
        <f t="shared" si="1"/>
        <v>1</v>
      </c>
      <c r="D714" s="20" t="s">
        <v>3378</v>
      </c>
      <c r="E714" s="20">
        <v>1.0</v>
      </c>
    </row>
    <row r="715">
      <c r="A715" s="182"/>
      <c r="B715" s="187" t="str">
        <f>IFERROR(__xludf.DUMMYFUNCTION("""COMPUTED_VALUE"""),"Dino")</f>
        <v>Dino</v>
      </c>
      <c r="C715" s="187">
        <f t="shared" si="1"/>
        <v>2</v>
      </c>
      <c r="D715" s="20" t="s">
        <v>3379</v>
      </c>
      <c r="E715" s="20">
        <v>1.0</v>
      </c>
    </row>
    <row r="716">
      <c r="A716" s="182"/>
      <c r="B716" s="187" t="str">
        <f>IFERROR(__xludf.DUMMYFUNCTION("""COMPUTED_VALUE"""),"Boy")</f>
        <v>Boy</v>
      </c>
      <c r="C716" s="187">
        <f t="shared" si="1"/>
        <v>2</v>
      </c>
      <c r="D716" s="20" t="s">
        <v>3380</v>
      </c>
      <c r="E716" s="20">
        <v>1.0</v>
      </c>
    </row>
    <row r="717">
      <c r="A717" s="182" t="str">
        <f>IFERROR(__xludf.DUMMYFUNCTION("""COMPUTED_VALUE"""),"Lightning")</f>
        <v>Lightning</v>
      </c>
      <c r="B717" s="187" t="str">
        <f>IFERROR(__xludf.DUMMYFUNCTION("""COMPUTED_VALUE"""),"Middle")</f>
        <v>Middle</v>
      </c>
      <c r="C717" s="187">
        <f t="shared" si="1"/>
        <v>1</v>
      </c>
      <c r="D717" s="20" t="s">
        <v>2618</v>
      </c>
      <c r="E717" s="20">
        <v>1.0</v>
      </c>
    </row>
    <row r="718">
      <c r="A718" s="182" t="str">
        <f>IFERROR(__xludf.DUMMYFUNCTION("""COMPUTED_VALUE"""),"Manticore")</f>
        <v>Manticore</v>
      </c>
      <c r="B718" s="187" t="str">
        <f>IFERROR(__xludf.DUMMYFUNCTION("""COMPUTED_VALUE"""),"Tsagan")</f>
        <v>Tsagan</v>
      </c>
      <c r="C718" s="187">
        <f t="shared" si="1"/>
        <v>1</v>
      </c>
      <c r="D718" s="20" t="s">
        <v>2625</v>
      </c>
      <c r="E718" s="20">
        <v>1.0</v>
      </c>
    </row>
    <row r="719">
      <c r="A719" s="182"/>
      <c r="B719" s="187" t="str">
        <f>IFERROR(__xludf.DUMMYFUNCTION("""COMPUTED_VALUE"""),"Battlegrounds")</f>
        <v>Battlegrounds</v>
      </c>
      <c r="C719" s="187">
        <f t="shared" si="1"/>
        <v>1</v>
      </c>
      <c r="D719" s="20" t="s">
        <v>3381</v>
      </c>
      <c r="E719" s="20">
        <v>1.0</v>
      </c>
    </row>
    <row r="720">
      <c r="A720" s="182"/>
      <c r="B720" s="187" t="str">
        <f>IFERROR(__xludf.DUMMYFUNCTION("""COMPUTED_VALUE"""),"Metropoleia")</f>
        <v>Metropoleia</v>
      </c>
      <c r="C720" s="187">
        <f t="shared" si="1"/>
        <v>2</v>
      </c>
      <c r="D720" s="20" t="s">
        <v>3382</v>
      </c>
      <c r="E720" s="20">
        <v>1.0</v>
      </c>
    </row>
    <row r="721">
      <c r="A721" s="182"/>
      <c r="B721" s="187" t="str">
        <f>IFERROR(__xludf.DUMMYFUNCTION("""COMPUTED_VALUE"""),"Black")</f>
        <v>Black</v>
      </c>
      <c r="C721" s="187">
        <f t="shared" si="1"/>
        <v>1</v>
      </c>
      <c r="D721" s="20" t="s">
        <v>3383</v>
      </c>
      <c r="E721" s="20">
        <v>1.0</v>
      </c>
    </row>
    <row r="722">
      <c r="A722" s="182" t="str">
        <f>IFERROR(__xludf.DUMMYFUNCTION("""COMPUTED_VALUE"""),"Featherfrost")</f>
        <v>Featherfrost</v>
      </c>
      <c r="B722" s="187" t="str">
        <f>IFERROR(__xludf.DUMMYFUNCTION("""COMPUTED_VALUE"""),"Colosseum")</f>
        <v>Colosseum</v>
      </c>
      <c r="C722" s="187">
        <f t="shared" si="1"/>
        <v>1</v>
      </c>
      <c r="D722" s="20" t="s">
        <v>3384</v>
      </c>
      <c r="E722" s="20">
        <v>1.0</v>
      </c>
    </row>
    <row r="723">
      <c r="A723" s="182" t="str">
        <f>IFERROR(__xludf.DUMMYFUNCTION("""COMPUTED_VALUE"""),"Harpy")</f>
        <v>Harpy</v>
      </c>
      <c r="B723" s="187" t="str">
        <f>IFERROR(__xludf.DUMMYFUNCTION("""COMPUTED_VALUE"""),"Miststrider")</f>
        <v>Miststrider</v>
      </c>
      <c r="C723" s="187">
        <f t="shared" si="1"/>
        <v>2</v>
      </c>
      <c r="D723" s="20" t="s">
        <v>3385</v>
      </c>
      <c r="E723" s="20">
        <v>1.0</v>
      </c>
    </row>
    <row r="724">
      <c r="A724" s="182"/>
      <c r="B724" s="187" t="str">
        <f>IFERROR(__xludf.DUMMYFUNCTION("""COMPUTED_VALUE"""),"Hideout")</f>
        <v>Hideout</v>
      </c>
      <c r="C724" s="187">
        <f t="shared" si="1"/>
        <v>1</v>
      </c>
      <c r="D724" s="20" t="s">
        <v>3386</v>
      </c>
      <c r="E724" s="20">
        <v>1.0</v>
      </c>
    </row>
    <row r="725">
      <c r="A725" s="182"/>
      <c r="B725" s="187" t="str">
        <f>IFERROR(__xludf.DUMMYFUNCTION("""COMPUTED_VALUE"""),"Coatlanti")</f>
        <v>Coatlanti</v>
      </c>
      <c r="C725" s="187">
        <f t="shared" si="1"/>
        <v>1</v>
      </c>
      <c r="D725" s="20" t="s">
        <v>3387</v>
      </c>
      <c r="E725" s="20">
        <v>1.0</v>
      </c>
    </row>
    <row r="726">
      <c r="A726" s="182"/>
      <c r="B726" s="187" t="str">
        <f>IFERROR(__xludf.DUMMYFUNCTION("""COMPUTED_VALUE"""),"Underbrush")</f>
        <v>Underbrush</v>
      </c>
      <c r="C726" s="187">
        <f t="shared" si="1"/>
        <v>1</v>
      </c>
      <c r="D726" s="20" t="s">
        <v>3388</v>
      </c>
      <c r="E726" s="20">
        <v>1.0</v>
      </c>
    </row>
    <row r="727">
      <c r="A727" s="182" t="str">
        <f>IFERROR(__xludf.DUMMYFUNCTION("""COMPUTED_VALUE"""),"Raging")</f>
        <v>Raging</v>
      </c>
      <c r="B727" s="187" t="str">
        <f>IFERROR(__xludf.DUMMYFUNCTION("""COMPUTED_VALUE"""),"Moonspire")</f>
        <v>Moonspire</v>
      </c>
      <c r="C727" s="187">
        <f t="shared" si="1"/>
        <v>1</v>
      </c>
      <c r="D727" s="20" t="s">
        <v>3389</v>
      </c>
      <c r="E727" s="20">
        <v>1.0</v>
      </c>
    </row>
    <row r="728">
      <c r="A728" s="182" t="str">
        <f>IFERROR(__xludf.DUMMYFUNCTION("""COMPUTED_VALUE"""),"Minotaur")</f>
        <v>Minotaur</v>
      </c>
      <c r="B728" s="187" t="str">
        <f>IFERROR(__xludf.DUMMYFUNCTION("""COMPUTED_VALUE"""),"Outpost")</f>
        <v>Outpost</v>
      </c>
      <c r="C728" s="187">
        <f t="shared" si="1"/>
        <v>1</v>
      </c>
      <c r="D728" s="20" t="s">
        <v>3390</v>
      </c>
      <c r="E728" s="20">
        <v>1.0</v>
      </c>
    </row>
    <row r="729">
      <c r="A729" s="182"/>
      <c r="B729" s="187" t="str">
        <f>IFERROR(__xludf.DUMMYFUNCTION("""COMPUTED_VALUE"""),"Thundercrest")</f>
        <v>Thundercrest</v>
      </c>
      <c r="C729" s="187">
        <f t="shared" si="1"/>
        <v>1</v>
      </c>
      <c r="D729" s="20" t="s">
        <v>3391</v>
      </c>
      <c r="E729" s="20">
        <v>1.0</v>
      </c>
    </row>
    <row r="730">
      <c r="A730" s="182"/>
      <c r="B730" s="187" t="str">
        <f>IFERROR(__xludf.DUMMYFUNCTION("""COMPUTED_VALUE"""),"Peaks")</f>
        <v>Peaks</v>
      </c>
      <c r="C730" s="187">
        <f t="shared" si="1"/>
        <v>1</v>
      </c>
      <c r="D730" s="20" t="s">
        <v>3392</v>
      </c>
      <c r="E730" s="20">
        <v>1.0</v>
      </c>
    </row>
    <row r="731">
      <c r="A731" s="182"/>
      <c r="B731" s="187" t="str">
        <f>IFERROR(__xludf.DUMMYFUNCTION("""COMPUTED_VALUE"""),"Empire")</f>
        <v>Empire</v>
      </c>
      <c r="C731" s="187">
        <f t="shared" si="1"/>
        <v>1</v>
      </c>
      <c r="D731" s="20" t="s">
        <v>3393</v>
      </c>
      <c r="E731" s="20">
        <v>1.0</v>
      </c>
    </row>
    <row r="732">
      <c r="A732" s="182" t="str">
        <f>IFERROR(__xludf.DUMMYFUNCTION("""COMPUTED_VALUE"""),"Raijin")</f>
        <v>Raijin</v>
      </c>
      <c r="B732" s="187" t="str">
        <f>IFERROR(__xludf.DUMMYFUNCTION("""COMPUTED_VALUE"""),"Barracks")</f>
        <v>Barracks</v>
      </c>
      <c r="C732" s="187">
        <f t="shared" si="1"/>
        <v>1</v>
      </c>
      <c r="D732" s="20" t="s">
        <v>3394</v>
      </c>
      <c r="E732" s="20">
        <v>1.0</v>
      </c>
    </row>
    <row r="733">
      <c r="A733" s="182"/>
      <c r="B733" s="187" t="str">
        <f>IFERROR(__xludf.DUMMYFUNCTION("""COMPUTED_VALUE"""),"Xotchli")</f>
        <v>Xotchli</v>
      </c>
      <c r="C733" s="187">
        <f t="shared" si="1"/>
        <v>1</v>
      </c>
      <c r="D733" s="20" t="s">
        <v>3395</v>
      </c>
      <c r="E733" s="20">
        <v>1.0</v>
      </c>
    </row>
    <row r="734">
      <c r="A734" s="182"/>
      <c r="B734" s="187" t="str">
        <f>IFERROR(__xludf.DUMMYFUNCTION("""COMPUTED_VALUE"""),"Sanctuary")</f>
        <v>Sanctuary</v>
      </c>
      <c r="C734" s="187">
        <f t="shared" si="1"/>
        <v>1</v>
      </c>
      <c r="D734" s="20" t="s">
        <v>3396</v>
      </c>
      <c r="E734" s="20">
        <v>1.0</v>
      </c>
    </row>
    <row r="735">
      <c r="A735" s="182"/>
      <c r="B735" s="187" t="str">
        <f>IFERROR(__xludf.DUMMYFUNCTION("""COMPUTED_VALUE"""),"Undercity")</f>
        <v>Undercity</v>
      </c>
      <c r="C735" s="187">
        <f t="shared" si="1"/>
        <v>1</v>
      </c>
      <c r="D735" s="20" t="s">
        <v>3397</v>
      </c>
      <c r="E735" s="20">
        <v>1.0</v>
      </c>
    </row>
    <row r="736">
      <c r="A736" s="182"/>
      <c r="B736" s="187" t="str">
        <f>IFERROR(__xludf.DUMMYFUNCTION("""COMPUTED_VALUE"""),"Crypts")</f>
        <v>Crypts</v>
      </c>
      <c r="C736" s="187">
        <f t="shared" si="1"/>
        <v>1</v>
      </c>
      <c r="D736" s="20" t="s">
        <v>3398</v>
      </c>
      <c r="E736" s="20">
        <v>1.0</v>
      </c>
    </row>
    <row r="737">
      <c r="A737" s="182" t="str">
        <f>IFERROR(__xludf.DUMMYFUNCTION("""COMPUTED_VALUE"""),"Venomshade")</f>
        <v>Venomshade</v>
      </c>
      <c r="B737" s="187" t="str">
        <f>IFERROR(__xludf.DUMMYFUNCTION("""COMPUTED_VALUE"""),"Treasury")</f>
        <v>Treasury</v>
      </c>
      <c r="C737" s="187">
        <f t="shared" si="1"/>
        <v>1</v>
      </c>
      <c r="D737" s="20" t="s">
        <v>3399</v>
      </c>
      <c r="E737" s="20">
        <v>1.0</v>
      </c>
    </row>
    <row r="738">
      <c r="A738" s="182" t="str">
        <f>IFERROR(__xludf.DUMMYFUNCTION("""COMPUTED_VALUE"""),"Lamia")</f>
        <v>Lamia</v>
      </c>
      <c r="B738" s="187" t="str">
        <f>IFERROR(__xludf.DUMMYFUNCTION("""COMPUTED_VALUE"""),"Bataarbad")</f>
        <v>Bataarbad</v>
      </c>
      <c r="C738" s="187">
        <f t="shared" si="1"/>
        <v>1</v>
      </c>
      <c r="D738" s="20" t="s">
        <v>3400</v>
      </c>
      <c r="E738" s="20">
        <v>1.0</v>
      </c>
    </row>
    <row r="739">
      <c r="A739" s="182"/>
      <c r="B739" s="187" t="str">
        <f>IFERROR(__xludf.DUMMYFUNCTION("""COMPUTED_VALUE"""),"Expanse")</f>
        <v>Expanse</v>
      </c>
      <c r="C739" s="187">
        <f t="shared" si="1"/>
        <v>1</v>
      </c>
      <c r="D739" s="20" t="s">
        <v>3401</v>
      </c>
      <c r="E739" s="20">
        <v>1.0</v>
      </c>
    </row>
    <row r="740">
      <c r="A740" s="182"/>
      <c r="B740" s="187" t="str">
        <f>IFERROR(__xludf.DUMMYFUNCTION("""COMPUTED_VALUE"""),"Sunburst")</f>
        <v>Sunburst</v>
      </c>
      <c r="C740" s="187">
        <f t="shared" si="1"/>
        <v>1</v>
      </c>
      <c r="D740" s="20" t="s">
        <v>3402</v>
      </c>
      <c r="E740" s="20">
        <v>1.0</v>
      </c>
    </row>
    <row r="741">
      <c r="A741" s="182"/>
      <c r="B741" s="187" t="str">
        <f>IFERROR(__xludf.DUMMYFUNCTION("""COMPUTED_VALUE"""),"Valley")</f>
        <v>Valley</v>
      </c>
      <c r="C741" s="187">
        <f t="shared" si="1"/>
        <v>2</v>
      </c>
      <c r="D741" s="20" t="s">
        <v>3403</v>
      </c>
      <c r="E741" s="20">
        <v>1.0</v>
      </c>
    </row>
    <row r="742">
      <c r="A742" s="182" t="str">
        <f>IFERROR(__xludf.DUMMYFUNCTION("""COMPUTED_VALUE"""),"Volcano")</f>
        <v>Volcano</v>
      </c>
      <c r="B742" s="187" t="str">
        <f>IFERROR(__xludf.DUMMYFUNCTION("""COMPUTED_VALUE"""),"Terrain")</f>
        <v>Terrain</v>
      </c>
      <c r="C742" s="187">
        <f t="shared" si="1"/>
        <v>9</v>
      </c>
      <c r="D742" s="20" t="s">
        <v>3404</v>
      </c>
      <c r="E742" s="20">
        <v>1.0</v>
      </c>
    </row>
    <row r="743">
      <c r="A743" s="182" t="str">
        <f>IFERROR(__xludf.DUMMYFUNCTION("""COMPUTED_VALUE"""),"Embodiment")</f>
        <v>Embodiment</v>
      </c>
      <c r="B743" s="187" t="str">
        <f>IFERROR(__xludf.DUMMYFUNCTION("""COMPUTED_VALUE"""),"#1")</f>
        <v>#1</v>
      </c>
      <c r="C743" s="187">
        <f t="shared" si="1"/>
        <v>1</v>
      </c>
      <c r="D743" s="20" t="s">
        <v>3405</v>
      </c>
      <c r="E743" s="20">
        <v>1.0</v>
      </c>
    </row>
    <row r="744">
      <c r="A744" s="182"/>
      <c r="B744" s="187" t="str">
        <f>IFERROR(__xludf.DUMMYFUNCTION("""COMPUTED_VALUE"""),"#2")</f>
        <v>#2</v>
      </c>
      <c r="C744" s="187">
        <f t="shared" si="1"/>
        <v>1</v>
      </c>
      <c r="D744" s="20" t="s">
        <v>3406</v>
      </c>
      <c r="E744" s="20">
        <v>1.0</v>
      </c>
    </row>
    <row r="745">
      <c r="A745" s="182"/>
      <c r="B745" s="187" t="str">
        <f>IFERROR(__xludf.DUMMYFUNCTION("""COMPUTED_VALUE"""),"#3")</f>
        <v>#3</v>
      </c>
      <c r="C745" s="187">
        <f t="shared" si="1"/>
        <v>1</v>
      </c>
      <c r="D745" s="20" t="s">
        <v>3407</v>
      </c>
      <c r="E745" s="20">
        <v>1.0</v>
      </c>
    </row>
    <row r="746">
      <c r="A746" s="182"/>
      <c r="B746" s="187" t="str">
        <f>IFERROR(__xludf.DUMMYFUNCTION("""COMPUTED_VALUE"""),"#4")</f>
        <v>#4</v>
      </c>
      <c r="C746" s="187">
        <f t="shared" si="1"/>
        <v>1</v>
      </c>
      <c r="D746" s="20" t="s">
        <v>3408</v>
      </c>
      <c r="E746" s="20">
        <v>1.0</v>
      </c>
    </row>
    <row r="747">
      <c r="A747" s="182" t="str">
        <f>IFERROR(__xludf.DUMMYFUNCTION("""COMPUTED_VALUE"""),"Shardhorde")</f>
        <v>Shardhorde</v>
      </c>
      <c r="B747" s="187" t="str">
        <f>IFERROR(__xludf.DUMMYFUNCTION("""COMPUTED_VALUE"""),"#5")</f>
        <v>#5</v>
      </c>
      <c r="C747" s="187">
        <f t="shared" si="1"/>
        <v>1</v>
      </c>
      <c r="D747" s="20" t="s">
        <v>3409</v>
      </c>
      <c r="E747" s="20">
        <v>1.0</v>
      </c>
    </row>
    <row r="748">
      <c r="A748" s="182" t="str">
        <f>IFERROR(__xludf.DUMMYFUNCTION("""COMPUTED_VALUE"""),"Leviathan")</f>
        <v>Leviathan</v>
      </c>
      <c r="B748" s="187" t="str">
        <f>IFERROR(__xludf.DUMMYFUNCTION("""COMPUTED_VALUE"""),"#6")</f>
        <v>#6</v>
      </c>
      <c r="C748" s="187">
        <f t="shared" si="1"/>
        <v>1</v>
      </c>
      <c r="D748" s="20" t="s">
        <v>3410</v>
      </c>
      <c r="E748" s="20">
        <v>1.0</v>
      </c>
    </row>
    <row r="749">
      <c r="A749" s="182"/>
      <c r="B749" s="187" t="str">
        <f>IFERROR(__xludf.DUMMYFUNCTION("""COMPUTED_VALUE"""),"#7")</f>
        <v>#7</v>
      </c>
      <c r="C749" s="187">
        <f t="shared" si="1"/>
        <v>1</v>
      </c>
      <c r="D749" s="20" t="s">
        <v>3411</v>
      </c>
      <c r="E749" s="20">
        <v>1.0</v>
      </c>
    </row>
    <row r="750">
      <c r="A750" s="182"/>
      <c r="B750" s="187" t="str">
        <f>IFERROR(__xludf.DUMMYFUNCTION("""COMPUTED_VALUE"""),"#8")</f>
        <v>#8</v>
      </c>
      <c r="C750" s="187">
        <f t="shared" si="1"/>
        <v>1</v>
      </c>
      <c r="D750" s="20" t="s">
        <v>3412</v>
      </c>
      <c r="E750" s="20">
        <v>1.0</v>
      </c>
    </row>
    <row r="751">
      <c r="A751" s="182"/>
      <c r="B751" s="187" t="str">
        <f>IFERROR(__xludf.DUMMYFUNCTION("""COMPUTED_VALUE"""),"#9")</f>
        <v>#9</v>
      </c>
      <c r="C751" s="187">
        <f t="shared" si="1"/>
        <v>1</v>
      </c>
      <c r="D751" s="20" t="s">
        <v>3413</v>
      </c>
      <c r="E751" s="20">
        <v>1.0</v>
      </c>
    </row>
    <row r="752">
      <c r="A752" s="182" t="str">
        <f>IFERROR(__xludf.DUMMYFUNCTION("""COMPUTED_VALUE"""),"Tectonic")</f>
        <v>Tectonic</v>
      </c>
      <c r="B752" s="187" t="str">
        <f>IFERROR(__xludf.DUMMYFUNCTION("""COMPUTED_VALUE"""),"Sainkhu")</f>
        <v>Sainkhu</v>
      </c>
      <c r="C752" s="187">
        <f t="shared" si="1"/>
        <v>1</v>
      </c>
      <c r="D752" s="20" t="s">
        <v>3414</v>
      </c>
      <c r="E752" s="20">
        <v>1.0</v>
      </c>
    </row>
    <row r="753">
      <c r="A753" s="182" t="str">
        <f>IFERROR(__xludf.DUMMYFUNCTION("""COMPUTED_VALUE"""),"Shifter")</f>
        <v>Shifter</v>
      </c>
      <c r="B753" s="187" t="str">
        <f>IFERROR(__xludf.DUMMYFUNCTION("""COMPUTED_VALUE"""),"Groves")</f>
        <v>Groves</v>
      </c>
      <c r="C753" s="187">
        <f t="shared" si="1"/>
        <v>1</v>
      </c>
      <c r="D753" s="20" t="s">
        <v>3415</v>
      </c>
      <c r="E753" s="20">
        <v>1.0</v>
      </c>
    </row>
    <row r="754">
      <c r="A754" s="182"/>
      <c r="B754" s="187" t="str">
        <f>IFERROR(__xludf.DUMMYFUNCTION("""COMPUTED_VALUE"""),"Duststorm")</f>
        <v>Duststorm</v>
      </c>
      <c r="C754" s="187">
        <f t="shared" si="1"/>
        <v>1</v>
      </c>
      <c r="D754" s="20" t="s">
        <v>3416</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IFERROR(__xludf.DUMMYFUNCTION("""COMPUTED_VALUE"""),"Serenader")</f>
        <v>Serenader</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3417</v>
      </c>
      <c r="L1" s="188" t="s">
        <v>3418</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2291</v>
      </c>
      <c r="G352" s="34" t="s">
        <v>2292</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2294</v>
      </c>
      <c r="G353" s="34" t="s">
        <v>2295</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2297</v>
      </c>
      <c r="F354" s="34" t="s">
        <v>2298</v>
      </c>
      <c r="G354" s="34" t="s">
        <v>2299</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2301</v>
      </c>
      <c r="G355" s="34" t="s">
        <v>2302</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2304</v>
      </c>
      <c r="G356" s="34" t="s">
        <v>2305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1888</v>
      </c>
      <c r="D357" s="34">
        <v>1.0</v>
      </c>
      <c r="E357" s="34" t="s">
        <v>1176</v>
      </c>
      <c r="F357" s="34" t="s">
        <v>2307</v>
      </c>
      <c r="G357" s="34" t="s">
        <v>2308</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2310</v>
      </c>
      <c r="G358" s="34" t="s">
        <v>2311</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2313</v>
      </c>
      <c r="G359" s="34" t="s">
        <v>2314</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2316</v>
      </c>
      <c r="G360" s="34" t="s">
        <v>2317</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2319</v>
      </c>
      <c r="G361" s="34" t="s">
        <v>2320</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2322</v>
      </c>
      <c r="F362" s="34" t="s">
        <v>2323</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2325</v>
      </c>
      <c r="F363" s="34" t="s">
        <v>2326</v>
      </c>
      <c r="G363" s="34"/>
      <c r="H363" s="34">
        <v>3.0</v>
      </c>
      <c r="I363" s="34" t="s">
        <v>2327</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2329</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2331</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2333</v>
      </c>
      <c r="F366" s="34" t="s">
        <v>2334</v>
      </c>
      <c r="G366" s="34"/>
      <c r="H366" s="34">
        <v>6.0</v>
      </c>
      <c r="I366" s="34" t="s">
        <v>2335</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2337</v>
      </c>
      <c r="F367" s="34" t="s">
        <v>2338</v>
      </c>
      <c r="G367" s="34"/>
      <c r="H367" s="34">
        <v>5.0</v>
      </c>
      <c r="I367" s="34" t="s">
        <v>2339</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2341</v>
      </c>
      <c r="F368" s="34" t="s">
        <v>2342</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2344</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2346</v>
      </c>
      <c r="F370" s="34" t="s">
        <v>2347</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2349</v>
      </c>
      <c r="F371" s="34" t="s">
        <v>2350</v>
      </c>
      <c r="G371" s="34"/>
      <c r="H371" s="34">
        <v>3.0</v>
      </c>
      <c r="I371" s="34" t="s">
        <v>2351</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2353</v>
      </c>
      <c r="F372" s="34" t="s">
        <v>2354</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2356</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2358</v>
      </c>
      <c r="F374" s="34" t="s">
        <v>2359</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2361</v>
      </c>
      <c r="D375" s="34">
        <v>3.0</v>
      </c>
      <c r="E375" s="34" t="s">
        <v>30</v>
      </c>
      <c r="F375" s="34" t="s">
        <v>2362</v>
      </c>
      <c r="G375" s="34"/>
      <c r="H375" s="34">
        <v>3.0</v>
      </c>
      <c r="I375" s="34" t="s">
        <v>2363</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2365</v>
      </c>
      <c r="F376" s="34" t="s">
        <v>2366</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2368</v>
      </c>
      <c r="G377" s="34" t="s">
        <v>3419</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2370</v>
      </c>
      <c r="F378" s="34" t="s">
        <v>2371</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2373</v>
      </c>
      <c r="G379" s="34" t="s">
        <v>3419</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2376</v>
      </c>
      <c r="G380" s="34" t="s">
        <v>3420</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2378</v>
      </c>
      <c r="F381" s="34" t="s">
        <v>2379</v>
      </c>
      <c r="G381" s="34" t="s">
        <v>3419</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2381</v>
      </c>
      <c r="G382" s="34" t="s">
        <v>3419</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2383</v>
      </c>
      <c r="G383" s="34" t="s">
        <v>3421</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2385</v>
      </c>
      <c r="G384" s="34" t="s">
        <v>3422</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2389</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2392</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3419</v>
      </c>
      <c r="H388" s="34" t="s">
        <v>28</v>
      </c>
      <c r="I388" s="34"/>
      <c r="J388" s="20" t="s">
        <v>3419</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2395</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2400</v>
      </c>
      <c r="F390" s="34" t="s">
        <v>2401</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2404</v>
      </c>
      <c r="F391" s="34" t="s">
        <v>2405</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2404</v>
      </c>
      <c r="F392" s="34" t="s">
        <v>2407</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2404</v>
      </c>
      <c r="F393" s="34" t="s">
        <v>2409</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2404</v>
      </c>
      <c r="F394" s="34" t="s">
        <v>2411</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2404</v>
      </c>
      <c r="F395" s="34" t="s">
        <v>2413</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2415</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2418</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2420</v>
      </c>
      <c r="G398" s="34" t="s">
        <v>2421</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2423</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2425</v>
      </c>
      <c r="G400" s="34" t="s">
        <v>2426</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2428</v>
      </c>
      <c r="G401" s="34" t="s">
        <v>2429</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2431</v>
      </c>
      <c r="G402" s="34" t="s">
        <v>2432</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2435</v>
      </c>
      <c r="G403" s="34" t="s">
        <v>2436</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2443</v>
      </c>
      <c r="F404" s="34" t="s">
        <v>2444</v>
      </c>
      <c r="G404" s="34" t="s">
        <v>2445</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2454</v>
      </c>
      <c r="G405" s="34" t="s">
        <v>2455</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2464</v>
      </c>
      <c r="F406" s="34" t="s">
        <v>2465</v>
      </c>
      <c r="G406" s="34" t="s">
        <v>2466</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2472</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2483</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2495</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2505</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2516</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2530</v>
      </c>
      <c r="F414" s="34" t="s">
        <v>62</v>
      </c>
      <c r="G414" s="34"/>
      <c r="H414" s="34">
        <v>5.0</v>
      </c>
      <c r="I414" s="34" t="s">
        <v>2531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2537</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2544</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2550</v>
      </c>
      <c r="G417" s="34" t="s">
        <v>2551</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2557</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2564</v>
      </c>
      <c r="G419" s="34" t="s">
        <v>2565</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2571</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2578</v>
      </c>
      <c r="G421" s="34" t="s">
        <v>2579</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2590</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2596</v>
      </c>
      <c r="H423" s="34">
        <v>6.0</v>
      </c>
      <c r="I423" s="34" t="s">
        <v>2597</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2602</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2613</v>
      </c>
      <c r="G425" s="34" t="s">
        <v>2614</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2619</v>
      </c>
      <c r="G426" s="34" t="s">
        <v>2620</v>
      </c>
      <c r="H426" s="34">
        <v>2.0</v>
      </c>
      <c r="I426" s="34" t="s">
        <v>2621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2626</v>
      </c>
      <c r="G427" s="34" t="s">
        <v>2627</v>
      </c>
      <c r="H427" s="34">
        <v>2.0</v>
      </c>
      <c r="I427" s="34" t="s">
        <v>2621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2634</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2636</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2638</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2638</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2641</v>
      </c>
      <c r="G432" s="34"/>
      <c r="H432" s="34"/>
      <c r="I432" s="34"/>
      <c r="J432" s="20" t="s">
        <v>2638</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2643</v>
      </c>
      <c r="G433" s="34"/>
      <c r="H433" s="34"/>
      <c r="I433" s="34"/>
      <c r="J433" s="20" t="s">
        <v>2638</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2645</v>
      </c>
      <c r="G434" s="34"/>
      <c r="H434" s="34"/>
      <c r="I434" s="34"/>
      <c r="J434" s="20" t="s">
        <v>2638</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2647</v>
      </c>
      <c r="G435" s="34"/>
      <c r="H435" s="34"/>
      <c r="I435" s="34"/>
      <c r="J435" s="20" t="s">
        <v>2638</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2643</v>
      </c>
      <c r="G436" s="34"/>
      <c r="H436" s="34"/>
      <c r="I436" s="34"/>
      <c r="J436" s="20" t="s">
        <v>2638</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2650</v>
      </c>
      <c r="G437" s="34"/>
      <c r="H437" s="34"/>
      <c r="I437" s="34"/>
      <c r="J437" s="20" t="s">
        <v>2638</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2652</v>
      </c>
      <c r="G438" s="34"/>
      <c r="H438" s="34"/>
      <c r="I438" s="34"/>
      <c r="J438" s="20" t="s">
        <v>2638</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2654</v>
      </c>
      <c r="G439" s="34"/>
      <c r="H439" s="34"/>
      <c r="I439" s="34"/>
      <c r="J439" s="20" t="s">
        <v>2638</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2638</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2657</v>
      </c>
      <c r="G441" s="34"/>
      <c r="H441" s="34"/>
      <c r="I441" s="34"/>
      <c r="J441" s="20" t="s">
        <v>2638</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2659</v>
      </c>
      <c r="G442" s="34"/>
      <c r="H442" s="34"/>
      <c r="I442" s="34"/>
      <c r="J442" s="20" t="s">
        <v>2638</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2661</v>
      </c>
      <c r="G443" s="34"/>
      <c r="H443" s="34"/>
      <c r="I443" s="34"/>
      <c r="J443" s="20" t="s">
        <v>2638</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2638</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2638</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2638</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2638</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2638</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2638</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2638</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2638</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2638</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2672</v>
      </c>
      <c r="G453" s="34"/>
      <c r="H453" s="34"/>
      <c r="I453" s="34"/>
      <c r="J453" s="20" t="s">
        <v>2638</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2674</v>
      </c>
      <c r="G454" s="34"/>
      <c r="H454" s="34"/>
      <c r="I454" s="34"/>
      <c r="J454" s="20" t="s">
        <v>2638</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2676</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3418</v>
      </c>
      <c r="B1" s="192" t="s">
        <v>3423</v>
      </c>
      <c r="C1" s="193"/>
      <c r="D1" s="194" t="s">
        <v>3424</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3425</v>
      </c>
      <c r="D2" s="16" t="s">
        <v>3426</v>
      </c>
      <c r="E2" s="16" t="s">
        <v>3427</v>
      </c>
    </row>
    <row r="3">
      <c r="A3" s="96" t="s">
        <v>420</v>
      </c>
      <c r="B3" s="16" t="s">
        <v>3428</v>
      </c>
      <c r="D3" s="16" t="s">
        <v>3429</v>
      </c>
      <c r="E3" s="16" t="s">
        <v>3430</v>
      </c>
    </row>
    <row r="4">
      <c r="A4" s="96" t="s">
        <v>1040</v>
      </c>
      <c r="B4" s="16" t="s">
        <v>3431</v>
      </c>
      <c r="D4" s="16" t="s">
        <v>3432</v>
      </c>
      <c r="E4" s="16" t="s">
        <v>3433</v>
      </c>
    </row>
    <row r="5">
      <c r="A5" s="96" t="s">
        <v>1502</v>
      </c>
      <c r="B5" s="16" t="s">
        <v>3434</v>
      </c>
      <c r="D5" s="16" t="s">
        <v>3435</v>
      </c>
      <c r="E5" s="16" t="s">
        <v>3436</v>
      </c>
    </row>
    <row r="6">
      <c r="A6" s="96" t="s">
        <v>1888</v>
      </c>
      <c r="B6" s="16" t="s">
        <v>3437</v>
      </c>
      <c r="D6" s="16" t="s">
        <v>3438</v>
      </c>
      <c r="E6" s="16" t="s">
        <v>3439</v>
      </c>
    </row>
    <row r="7">
      <c r="A7" s="96" t="s">
        <v>3429</v>
      </c>
      <c r="B7" s="16" t="s">
        <v>3440</v>
      </c>
      <c r="D7" s="16" t="s">
        <v>3441</v>
      </c>
      <c r="E7" s="16" t="s">
        <v>3442</v>
      </c>
    </row>
    <row r="8">
      <c r="A8" s="96" t="s">
        <v>3443</v>
      </c>
      <c r="B8" s="16" t="s">
        <v>3444</v>
      </c>
      <c r="D8" s="16" t="s">
        <v>3445</v>
      </c>
      <c r="E8" s="16" t="s">
        <v>3446</v>
      </c>
    </row>
    <row r="9">
      <c r="A9" s="96" t="s">
        <v>3447</v>
      </c>
      <c r="B9" s="16" t="s">
        <v>3448</v>
      </c>
      <c r="D9" s="16" t="s">
        <v>3449</v>
      </c>
      <c r="E9" s="16" t="s">
        <v>3450</v>
      </c>
    </row>
    <row r="10">
      <c r="A10" s="96" t="s">
        <v>3449</v>
      </c>
      <c r="B10" s="16" t="s">
        <v>3451</v>
      </c>
      <c r="D10" s="16" t="s">
        <v>3452</v>
      </c>
      <c r="E10" s="16" t="s">
        <v>3453</v>
      </c>
    </row>
    <row r="11">
      <c r="A11" s="96" t="s">
        <v>3454</v>
      </c>
      <c r="B11" s="16" t="s">
        <v>3455</v>
      </c>
      <c r="D11" s="16" t="s">
        <v>3456</v>
      </c>
      <c r="E11" s="16" t="s">
        <v>3457</v>
      </c>
    </row>
    <row r="12">
      <c r="A12" s="96" t="s">
        <v>3458</v>
      </c>
      <c r="B12" s="16" t="s">
        <v>3459</v>
      </c>
      <c r="D12" s="16" t="s">
        <v>3460</v>
      </c>
      <c r="E12" s="16" t="s">
        <v>3461</v>
      </c>
    </row>
    <row r="13">
      <c r="A13" s="96" t="s">
        <v>3462</v>
      </c>
      <c r="B13" s="16" t="s">
        <v>3463</v>
      </c>
      <c r="D13" s="16" t="s">
        <v>3464</v>
      </c>
      <c r="E13" s="16" t="s">
        <v>3465</v>
      </c>
    </row>
    <row r="14">
      <c r="A14" s="16" t="s">
        <v>3426</v>
      </c>
      <c r="B14" s="16" t="s">
        <v>3466</v>
      </c>
      <c r="D14" s="16" t="s">
        <v>3467</v>
      </c>
      <c r="E14" s="16" t="s">
        <v>3468</v>
      </c>
    </row>
    <row r="15">
      <c r="D15" s="16" t="s">
        <v>1261</v>
      </c>
      <c r="E15" s="16" t="s">
        <v>3469</v>
      </c>
    </row>
    <row r="16">
      <c r="D16" s="16" t="s">
        <v>391</v>
      </c>
      <c r="E16" s="16" t="s">
        <v>3470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3471</v>
      </c>
      <c r="B1" s="195"/>
      <c r="D1" s="196" t="s">
        <v>3472</v>
      </c>
      <c r="E1" s="196" t="s">
        <v>3473</v>
      </c>
      <c r="F1" s="197" t="s">
        <v>3474</v>
      </c>
      <c r="G1" s="198" t="s">
        <v>3475</v>
      </c>
      <c r="H1" s="199" t="s">
        <v>3</v>
      </c>
      <c r="I1" s="199" t="s">
        <v>3476</v>
      </c>
      <c r="J1" s="199" t="s">
        <v>3477</v>
      </c>
      <c r="K1" s="199" t="s">
        <v>3478</v>
      </c>
      <c r="L1" s="199" t="s">
        <v>7</v>
      </c>
      <c r="M1" s="200" t="s">
        <v>3479</v>
      </c>
      <c r="N1" s="200" t="s">
        <v>9</v>
      </c>
      <c r="O1" s="201" t="s">
        <v>3480</v>
      </c>
    </row>
    <row r="2">
      <c r="A2" s="202">
        <v>3.0</v>
      </c>
      <c r="B2" s="196"/>
      <c r="D2" s="7" t="s">
        <v>1332</v>
      </c>
      <c r="E2" s="7" t="s">
        <v>3481</v>
      </c>
      <c r="F2" s="54">
        <v>2.0</v>
      </c>
      <c r="G2" s="29" t="s">
        <v>3482</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3481</v>
      </c>
      <c r="F3" s="206">
        <v>1.0</v>
      </c>
      <c r="G3" s="29" t="s">
        <v>3483</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3484</v>
      </c>
      <c r="B4" s="16">
        <f>IFERROR(__xludf.DUMMYFUNCTION("QUERY($D$1:O968,""select sum(F) where E like '%"" &amp; $A$2 &amp; ""%' label sum(F) ''"")"),30.0)</f>
        <v>30</v>
      </c>
      <c r="D4" s="7" t="s">
        <v>1227</v>
      </c>
      <c r="E4" s="7" t="s">
        <v>3481</v>
      </c>
      <c r="F4" s="206">
        <v>1.0</v>
      </c>
      <c r="G4" s="29" t="s">
        <v>3482</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3485</v>
      </c>
      <c r="B5" s="16">
        <f>IFERROR(__xludf.DUMMYFUNCTION("IFNA(QUERY($D$1:O968,""select count(G) where E like '%"" &amp; $A$2 &amp; ""%' and G = 'Alternative' label count(G) ''""),0)"),7.0)</f>
        <v>7</v>
      </c>
      <c r="D5" s="16" t="s">
        <v>1247</v>
      </c>
      <c r="E5" s="7" t="s">
        <v>3481</v>
      </c>
      <c r="F5" s="206">
        <v>1.0</v>
      </c>
      <c r="G5" s="29" t="s">
        <v>3483</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3486</v>
      </c>
      <c r="B6" s="16">
        <f>IFERROR(__xludf.DUMMYFUNCTION("QUERY($D$1:O968,""select sum(O) where E like '%"" &amp; $A$2 &amp; ""%' label sum(O) ''"")/$B$4"),2.7666666666666666)</f>
        <v>2.766666667</v>
      </c>
      <c r="D6" s="7" t="s">
        <v>1358</v>
      </c>
      <c r="E6" s="7" t="s">
        <v>3481</v>
      </c>
      <c r="F6" s="206">
        <v>1.0</v>
      </c>
      <c r="G6" s="29" t="s">
        <v>3482</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3481</v>
      </c>
      <c r="F7" s="206">
        <v>2.0</v>
      </c>
      <c r="G7" s="29" t="s">
        <v>3482</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3481</v>
      </c>
      <c r="F8" s="206">
        <v>2.0</v>
      </c>
      <c r="G8" s="29" t="s">
        <v>3483</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3481</v>
      </c>
      <c r="F9" s="206">
        <v>1.0</v>
      </c>
      <c r="G9" s="29" t="s">
        <v>3482</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3481</v>
      </c>
      <c r="F10" s="206">
        <v>2.0</v>
      </c>
      <c r="G10" s="29" t="s">
        <v>3483</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3481</v>
      </c>
      <c r="F11" s="206">
        <v>2.0</v>
      </c>
      <c r="G11" s="29" t="s">
        <v>3483</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3481</v>
      </c>
      <c r="F12" s="206">
        <v>1.0</v>
      </c>
      <c r="G12" s="29" t="s">
        <v>3483</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3481</v>
      </c>
      <c r="F13" s="206">
        <v>1.0</v>
      </c>
      <c r="G13" s="29" t="s">
        <v>3483</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3481</v>
      </c>
      <c r="F14" s="206">
        <v>2.0</v>
      </c>
      <c r="G14" s="29" t="s">
        <v>3483</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3487</v>
      </c>
      <c r="D15" s="24" t="s">
        <v>1491</v>
      </c>
      <c r="E15" s="7" t="s">
        <v>3481</v>
      </c>
      <c r="F15" s="206">
        <v>1.0</v>
      </c>
      <c r="G15" s="29" t="s">
        <v>3483</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3488</v>
      </c>
      <c r="D16" s="28" t="s">
        <v>847</v>
      </c>
      <c r="E16" s="7" t="s">
        <v>3481</v>
      </c>
      <c r="F16" s="206">
        <v>1.0</v>
      </c>
      <c r="G16" s="29" t="s">
        <v>3483</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3489</v>
      </c>
      <c r="D17" s="16" t="s">
        <v>1450</v>
      </c>
      <c r="E17" s="7" t="s">
        <v>3481</v>
      </c>
      <c r="F17" s="206">
        <v>2.0</v>
      </c>
      <c r="G17" s="29" t="s">
        <v>3483</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3490</v>
      </c>
      <c r="D18" s="22" t="s">
        <v>569</v>
      </c>
      <c r="E18" s="7" t="s">
        <v>3481</v>
      </c>
      <c r="F18" s="206">
        <v>2.0</v>
      </c>
      <c r="G18" s="29" t="s">
        <v>3482</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3491</v>
      </c>
      <c r="D19" s="16" t="s">
        <v>1565</v>
      </c>
      <c r="E19" s="7" t="s">
        <v>3481</v>
      </c>
      <c r="F19" s="206">
        <v>2.0</v>
      </c>
      <c r="G19" s="29" t="s">
        <v>3483</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3481</v>
      </c>
      <c r="F20" s="206">
        <v>1.0</v>
      </c>
      <c r="G20" s="29" t="s">
        <v>3483</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3481</v>
      </c>
      <c r="F21" s="206">
        <v>1.0</v>
      </c>
      <c r="G21" s="29" t="s">
        <v>3483</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3481</v>
      </c>
      <c r="F22" s="206">
        <v>1.0</v>
      </c>
      <c r="G22" s="29" t="s">
        <v>3482</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3492</v>
      </c>
      <c r="F23" s="206">
        <v>1.0</v>
      </c>
      <c r="G23" s="29" t="s">
        <v>3482</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3492</v>
      </c>
      <c r="F24" s="206">
        <v>1.0</v>
      </c>
      <c r="G24" s="29" t="s">
        <v>3482</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3492</v>
      </c>
      <c r="F25" s="206">
        <v>1.0</v>
      </c>
      <c r="G25" s="29" t="s">
        <v>3483</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3492</v>
      </c>
      <c r="F26" s="206">
        <v>2.0</v>
      </c>
      <c r="G26" s="29" t="s">
        <v>3482</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2487</v>
      </c>
      <c r="E27" s="7" t="s">
        <v>3492</v>
      </c>
      <c r="F27" s="213">
        <v>2.0</v>
      </c>
      <c r="G27" s="29" t="s">
        <v>3483</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3492</v>
      </c>
      <c r="F28" s="206">
        <v>1.0</v>
      </c>
      <c r="G28" s="29" t="s">
        <v>3482</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2290</v>
      </c>
      <c r="E29" s="22" t="s">
        <v>3492</v>
      </c>
      <c r="F29" s="206">
        <v>1.0</v>
      </c>
      <c r="G29" s="29" t="s">
        <v>3483</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3492</v>
      </c>
      <c r="F30" s="206">
        <v>2.0</v>
      </c>
      <c r="G30" s="29" t="s">
        <v>3483</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2296</v>
      </c>
      <c r="E31" s="54" t="s">
        <v>3492</v>
      </c>
      <c r="F31" s="206">
        <v>1.0</v>
      </c>
      <c r="G31" s="29" t="s">
        <v>3482</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3492</v>
      </c>
      <c r="F32" s="206">
        <v>2.0</v>
      </c>
      <c r="G32" s="29" t="s">
        <v>3483</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2523</v>
      </c>
      <c r="E33" s="7" t="s">
        <v>3492</v>
      </c>
      <c r="F33" s="213">
        <v>2.0</v>
      </c>
      <c r="G33" s="29" t="s">
        <v>3482</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3492</v>
      </c>
      <c r="F34" s="206">
        <v>2.0</v>
      </c>
      <c r="G34" s="29" t="s">
        <v>3483</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2515</v>
      </c>
      <c r="E35" s="22" t="s">
        <v>3492</v>
      </c>
      <c r="F35" s="213">
        <v>1.0</v>
      </c>
      <c r="G35" s="29" t="s">
        <v>3483</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3492</v>
      </c>
      <c r="F36" s="206">
        <v>2.0</v>
      </c>
      <c r="G36" s="29" t="s">
        <v>3483</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3492</v>
      </c>
      <c r="F37" s="206">
        <v>1.0</v>
      </c>
      <c r="G37" s="29" t="s">
        <v>3482</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3492</v>
      </c>
      <c r="F38" s="206">
        <v>2.0</v>
      </c>
      <c r="G38" s="29" t="s">
        <v>3483</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3492</v>
      </c>
      <c r="F39" s="213">
        <v>1.0</v>
      </c>
      <c r="G39" s="29" t="s">
        <v>3483</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3492</v>
      </c>
      <c r="F40" s="206">
        <v>1.0</v>
      </c>
      <c r="G40" s="29" t="s">
        <v>3483</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2494</v>
      </c>
      <c r="E41" s="7" t="s">
        <v>3492</v>
      </c>
      <c r="F41" s="206">
        <v>2.0</v>
      </c>
      <c r="G41" s="29" t="s">
        <v>3483</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3492</v>
      </c>
      <c r="F42" s="206">
        <v>1.0</v>
      </c>
      <c r="G42" s="29" t="s">
        <v>3483</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2471</v>
      </c>
      <c r="E43" s="16" t="s">
        <v>3492</v>
      </c>
      <c r="F43" s="206">
        <v>1.0</v>
      </c>
      <c r="G43" s="29" t="s">
        <v>3483</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3493</v>
      </c>
      <c r="F44" s="16">
        <v>2.0</v>
      </c>
      <c r="G44" s="16" t="s">
        <v>3482</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3493</v>
      </c>
      <c r="F45" s="16">
        <v>1.0</v>
      </c>
      <c r="G45" s="16" t="s">
        <v>3482</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3493</v>
      </c>
      <c r="F46" s="16">
        <v>1.0</v>
      </c>
      <c r="G46" s="16" t="s">
        <v>3482</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3493</v>
      </c>
      <c r="F47" s="16">
        <v>1.0</v>
      </c>
      <c r="G47" s="16" t="s">
        <v>3483</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2556</v>
      </c>
      <c r="E48" s="16" t="s">
        <v>3493</v>
      </c>
      <c r="F48" s="16">
        <v>1.0</v>
      </c>
      <c r="G48" s="16" t="s">
        <v>3483</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3493</v>
      </c>
      <c r="F49" s="16">
        <v>1.0</v>
      </c>
      <c r="G49" s="16" t="s">
        <v>3483</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3494</v>
      </c>
      <c r="E50" s="16" t="s">
        <v>3493</v>
      </c>
      <c r="F50" s="16">
        <v>1.0</v>
      </c>
      <c r="G50" s="16" t="s">
        <v>3483</v>
      </c>
      <c r="H50" s="203" t="str">
        <f t="array" ref="H50">IFNA(XLOOKUP($D50,Cards!$A:$A,Cards!D:D),"")</f>
        <v/>
      </c>
      <c r="I50" s="203" t="str">
        <f t="array" ref="I50">IFNA(XLOOKUP($D50,Cards!$A:$A,Cards!C:C),"")</f>
        <v/>
      </c>
      <c r="J50" s="203" t="str">
        <f t="array" ref="J50">IFNA(XLOOKUP($D50,Cards!$A:$A,Cards!E:E),"")</f>
        <v/>
      </c>
      <c r="K50" s="203" t="str">
        <f t="array" ref="K50">IFNA(XLOOKUP($D50,Cards!$A:$A,Cards!F:F),"")</f>
        <v/>
      </c>
      <c r="L50" s="204" t="str">
        <f t="array" ref="L50">IFNA(XLOOKUP($D50,Cards!$A:$A,Cards!H:H),"")</f>
        <v/>
      </c>
      <c r="M50" s="204" t="str">
        <f t="array" ref="M50">IFNA(XLOOKUP($D50,Cards!$A:$A,Cards!I:I),"")</f>
        <v/>
      </c>
      <c r="N50" s="204" t="str">
        <f t="array" ref="N50">IFNA(XLOOKUP($D50,Cards!$A:$A,Cards!J:J),"")</f>
        <v/>
      </c>
      <c r="O50" s="205">
        <f t="shared" si="1"/>
        <v>0</v>
      </c>
    </row>
    <row r="51">
      <c r="D51" s="16" t="s">
        <v>156</v>
      </c>
      <c r="E51" s="16" t="s">
        <v>3493</v>
      </c>
      <c r="F51" s="16">
        <v>2.0</v>
      </c>
      <c r="G51" s="16" t="s">
        <v>3483</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3493</v>
      </c>
      <c r="F52" s="16">
        <v>1.0</v>
      </c>
      <c r="G52" s="16" t="s">
        <v>3483</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3493</v>
      </c>
      <c r="F53" s="16">
        <v>1.0</v>
      </c>
      <c r="G53" s="16" t="s">
        <v>3483</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3493</v>
      </c>
      <c r="F54" s="16">
        <v>2.0</v>
      </c>
      <c r="G54" s="16" t="s">
        <v>3483</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3493</v>
      </c>
      <c r="F55" s="16">
        <v>2.0</v>
      </c>
      <c r="G55" s="16" t="s">
        <v>3483</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3493</v>
      </c>
      <c r="F56" s="16">
        <v>1.0</v>
      </c>
      <c r="G56" s="16" t="s">
        <v>3482</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3493</v>
      </c>
      <c r="F57" s="16">
        <v>2.0</v>
      </c>
      <c r="G57" s="16" t="s">
        <v>3483</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3493</v>
      </c>
      <c r="F58" s="16">
        <v>2.0</v>
      </c>
      <c r="G58" s="16" t="s">
        <v>3483</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3493</v>
      </c>
      <c r="F59" s="16">
        <v>1.0</v>
      </c>
      <c r="G59" s="16" t="s">
        <v>3482</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3493</v>
      </c>
      <c r="F60" s="16">
        <v>2.0</v>
      </c>
      <c r="G60" s="16" t="s">
        <v>3483</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2312</v>
      </c>
      <c r="E61" s="16" t="s">
        <v>3493</v>
      </c>
      <c r="F61" s="16">
        <v>2.0</v>
      </c>
      <c r="G61" s="16" t="s">
        <v>3482</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2504</v>
      </c>
      <c r="E62" s="16" t="s">
        <v>3493</v>
      </c>
      <c r="F62" s="16">
        <v>1.0</v>
      </c>
      <c r="G62" s="16" t="s">
        <v>3482</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2303</v>
      </c>
      <c r="E63" s="16" t="s">
        <v>3493</v>
      </c>
      <c r="F63" s="16">
        <v>2.0</v>
      </c>
      <c r="G63" s="16" t="s">
        <v>3483</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2306</v>
      </c>
      <c r="E64" s="16" t="s">
        <v>3493</v>
      </c>
      <c r="F64" s="16">
        <v>1.0</v>
      </c>
      <c r="G64" s="16" t="s">
        <v>3483</v>
      </c>
      <c r="H64" s="203">
        <f t="array" ref="H64">IFNA(XLOOKUP($D64,Cards!$A:$A,Cards!D:D),"")</f>
        <v>1</v>
      </c>
      <c r="I64" s="203" t="str">
        <f t="array" ref="I64">IFNA(XLOOKUP($D64,Cards!$A:$A,Cards!C:C),"")</f>
        <v>Void</v>
      </c>
      <c r="J64" s="203" t="str">
        <f t="array" ref="J64">IFNA(XLOOKUP($D64,Cards!$A:$A,Cards!E:E),"")</f>
        <v>Undead</v>
      </c>
      <c r="K64" s="203" t="str">
        <f t="array" ref="K64">IFNA(XLOOKUP($D64,Cards!$A:$A,Cards!F:F),"")</f>
        <v>Deploy: Glimpse twice for each adjacent Void Unit.</v>
      </c>
      <c r="L64" s="204">
        <f t="array" ref="L64">IFNA(XLOOKUP($D64,Cards!$A:$A,Cards!H:H),"")</f>
        <v>3</v>
      </c>
      <c r="M64" s="204" t="str">
        <f t="array" ref="M64">IFNA(XLOOKUP($D64,Cards!$A:$A,Cards!I:I),"")</f>
        <v>V, ?, ?</v>
      </c>
      <c r="N64" s="204" t="str">
        <f t="array" ref="N64">IFNA(XLOOKUP($D64,Cards!$A:$A,Cards!J:J),"")</f>
        <v>Common</v>
      </c>
      <c r="O64" s="205">
        <f t="shared" si="1"/>
        <v>3</v>
      </c>
    </row>
    <row r="65">
      <c r="D65" s="16" t="s">
        <v>1047</v>
      </c>
      <c r="E65" s="16" t="s">
        <v>3495</v>
      </c>
      <c r="F65" s="16">
        <v>1.0</v>
      </c>
      <c r="G65" s="16" t="s">
        <v>3482</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3495</v>
      </c>
      <c r="F66" s="16">
        <v>1.0</v>
      </c>
      <c r="G66" s="16" t="s">
        <v>3483</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3495</v>
      </c>
      <c r="F67" s="16">
        <v>1.0</v>
      </c>
      <c r="G67" s="16" t="s">
        <v>3483</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3495</v>
      </c>
      <c r="F68" s="16">
        <v>2.0</v>
      </c>
      <c r="G68" s="16" t="s">
        <v>3482</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3495</v>
      </c>
      <c r="F69" s="16">
        <v>2.0</v>
      </c>
      <c r="G69" s="16" t="s">
        <v>3482</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3495</v>
      </c>
      <c r="F70" s="16">
        <v>1.0</v>
      </c>
      <c r="G70" s="16" t="s">
        <v>3483</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3495</v>
      </c>
      <c r="F71" s="16">
        <v>1.0</v>
      </c>
      <c r="G71" s="16" t="s">
        <v>3483</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3495</v>
      </c>
      <c r="F72" s="16">
        <v>1.0</v>
      </c>
      <c r="G72" s="16" t="s">
        <v>3483</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3495</v>
      </c>
      <c r="F73" s="16">
        <v>2.0</v>
      </c>
      <c r="G73" s="16" t="s">
        <v>3482</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3495</v>
      </c>
      <c r="F74" s="16">
        <v>2.0</v>
      </c>
      <c r="G74" s="16" t="s">
        <v>3482</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3495</v>
      </c>
      <c r="F75" s="16">
        <v>1.0</v>
      </c>
      <c r="G75" s="16" t="s">
        <v>3483</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3495</v>
      </c>
      <c r="F76" s="16">
        <v>1.0</v>
      </c>
      <c r="G76" s="16" t="s">
        <v>3482</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3495</v>
      </c>
      <c r="F77" s="16">
        <v>2.0</v>
      </c>
      <c r="G77" s="16" t="s">
        <v>3483</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3495</v>
      </c>
      <c r="F78" s="16">
        <v>1.0</v>
      </c>
      <c r="G78" s="16" t="s">
        <v>3483</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3495</v>
      </c>
      <c r="F79" s="16">
        <v>1.0</v>
      </c>
      <c r="G79" s="16" t="s">
        <v>3483</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3495</v>
      </c>
      <c r="F80" s="16">
        <v>2.0</v>
      </c>
      <c r="G80" s="16" t="s">
        <v>3482</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3495</v>
      </c>
      <c r="F81" s="16">
        <v>1.0</v>
      </c>
      <c r="G81" s="16" t="s">
        <v>3483</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3495</v>
      </c>
      <c r="F82" s="16">
        <v>2.0</v>
      </c>
      <c r="G82" s="16" t="s">
        <v>3483</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3495</v>
      </c>
      <c r="F83" s="16">
        <v>2.0</v>
      </c>
      <c r="G83" s="16" t="s">
        <v>3483</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3495</v>
      </c>
      <c r="F84" s="16">
        <v>2.0</v>
      </c>
      <c r="G84" s="16" t="s">
        <v>3483</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3495</v>
      </c>
      <c r="F85" s="16">
        <v>1.0</v>
      </c>
      <c r="G85" s="16" t="s">
        <v>3483</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3483</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3483</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3483</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3483</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3496</v>
      </c>
      <c r="E1" s="193" t="s">
        <v>5</v>
      </c>
      <c r="F1" s="193" t="s">
        <v>6</v>
      </c>
      <c r="G1" s="217" t="s">
        <v>7</v>
      </c>
      <c r="H1" s="217" t="s">
        <v>8</v>
      </c>
      <c r="I1" s="218" t="s">
        <v>9</v>
      </c>
      <c r="J1" s="219" t="s">
        <v>3497</v>
      </c>
    </row>
    <row r="2">
      <c r="A2" s="16" t="s">
        <v>3498</v>
      </c>
      <c r="B2" s="220" t="s">
        <v>3499</v>
      </c>
      <c r="C2" s="56" t="s">
        <v>2370</v>
      </c>
      <c r="D2" s="51"/>
      <c r="E2" s="51" t="s">
        <v>3500</v>
      </c>
      <c r="F2" s="54" t="s">
        <v>3501</v>
      </c>
      <c r="G2" s="56">
        <v>1.0</v>
      </c>
      <c r="H2" s="56" t="s">
        <v>101</v>
      </c>
      <c r="I2" s="56" t="s">
        <v>72</v>
      </c>
    </row>
    <row r="3">
      <c r="A3" s="51" t="s">
        <v>3502</v>
      </c>
      <c r="B3" s="220" t="s">
        <v>3499</v>
      </c>
      <c r="C3" s="56" t="s">
        <v>30</v>
      </c>
      <c r="D3" s="51" t="s">
        <v>3503</v>
      </c>
      <c r="E3" s="221" t="s">
        <v>3504</v>
      </c>
      <c r="F3" s="54" t="s">
        <v>3501</v>
      </c>
      <c r="G3" s="56">
        <v>1.0</v>
      </c>
      <c r="H3" s="56" t="s">
        <v>55</v>
      </c>
      <c r="I3" s="56" t="s">
        <v>34</v>
      </c>
    </row>
    <row r="4">
      <c r="A4" s="51" t="s">
        <v>3505</v>
      </c>
      <c r="B4" s="220" t="s">
        <v>3499</v>
      </c>
      <c r="C4" s="56" t="s">
        <v>3506</v>
      </c>
      <c r="D4" s="51" t="s">
        <v>3503</v>
      </c>
      <c r="E4" s="51" t="s">
        <v>3507</v>
      </c>
      <c r="F4" s="54" t="s">
        <v>3501</v>
      </c>
      <c r="G4" s="56">
        <v>3.0</v>
      </c>
      <c r="H4" s="56" t="s">
        <v>247</v>
      </c>
      <c r="I4" s="56" t="s">
        <v>72</v>
      </c>
    </row>
    <row r="5">
      <c r="A5" s="51" t="s">
        <v>3508</v>
      </c>
      <c r="B5" s="222" t="s">
        <v>3499</v>
      </c>
      <c r="C5" s="56" t="s">
        <v>82</v>
      </c>
      <c r="D5" s="51" t="s">
        <v>3509</v>
      </c>
      <c r="E5" s="51" t="s">
        <v>3510</v>
      </c>
      <c r="F5" s="54" t="s">
        <v>3501</v>
      </c>
      <c r="G5" s="56">
        <v>5.0</v>
      </c>
      <c r="H5" s="56" t="s">
        <v>3511</v>
      </c>
      <c r="I5" s="56" t="s">
        <v>34</v>
      </c>
    </row>
    <row r="6">
      <c r="A6" s="28" t="s">
        <v>3512</v>
      </c>
      <c r="B6" s="223" t="s">
        <v>3513</v>
      </c>
      <c r="C6" s="67" t="s">
        <v>410</v>
      </c>
      <c r="D6" s="28"/>
      <c r="E6" s="28" t="s">
        <v>3514</v>
      </c>
      <c r="F6" s="29" t="s">
        <v>3501</v>
      </c>
      <c r="G6" s="67">
        <v>0.0</v>
      </c>
      <c r="H6" s="67" t="s">
        <v>3515</v>
      </c>
      <c r="I6" s="67" t="s">
        <v>34</v>
      </c>
    </row>
    <row r="7">
      <c r="A7" s="51" t="s">
        <v>3516</v>
      </c>
      <c r="B7" s="224" t="s">
        <v>3513</v>
      </c>
      <c r="C7" s="56" t="s">
        <v>2370</v>
      </c>
      <c r="D7" s="51"/>
      <c r="E7" s="51" t="s">
        <v>3517</v>
      </c>
      <c r="F7" s="54" t="s">
        <v>3501</v>
      </c>
      <c r="G7" s="56">
        <v>3.0</v>
      </c>
      <c r="H7" s="56" t="s">
        <v>1061</v>
      </c>
      <c r="I7" s="56" t="s">
        <v>72</v>
      </c>
    </row>
    <row r="8">
      <c r="A8" s="51" t="s">
        <v>3518</v>
      </c>
      <c r="B8" s="224" t="s">
        <v>3513</v>
      </c>
      <c r="C8" s="56" t="s">
        <v>410</v>
      </c>
      <c r="D8" s="51"/>
      <c r="E8" s="51" t="s">
        <v>3519</v>
      </c>
      <c r="F8" s="54" t="s">
        <v>3501</v>
      </c>
      <c r="G8" s="56">
        <v>4.0</v>
      </c>
      <c r="H8" s="56" t="s">
        <v>519</v>
      </c>
      <c r="I8" s="56" t="s">
        <v>28</v>
      </c>
    </row>
    <row r="9">
      <c r="A9" s="51" t="s">
        <v>3520</v>
      </c>
      <c r="B9" s="224" t="s">
        <v>3513</v>
      </c>
      <c r="C9" s="56" t="s">
        <v>2370</v>
      </c>
      <c r="D9" s="51"/>
      <c r="E9" s="51" t="s">
        <v>3521</v>
      </c>
      <c r="F9" s="54" t="s">
        <v>3501</v>
      </c>
      <c r="G9" s="56">
        <v>5.0</v>
      </c>
      <c r="H9" s="56" t="s">
        <v>524</v>
      </c>
      <c r="I9" s="56" t="s">
        <v>34</v>
      </c>
    </row>
    <row r="10">
      <c r="A10" s="51" t="s">
        <v>714</v>
      </c>
      <c r="B10" s="223" t="s">
        <v>3513</v>
      </c>
      <c r="C10" s="67" t="s">
        <v>663</v>
      </c>
      <c r="D10" s="28"/>
      <c r="E10" s="28" t="s">
        <v>3522</v>
      </c>
      <c r="F10" s="29" t="s">
        <v>3501</v>
      </c>
      <c r="G10" s="67">
        <v>6.0</v>
      </c>
      <c r="H10" s="67" t="s">
        <v>3523</v>
      </c>
      <c r="I10" s="67" t="s">
        <v>72</v>
      </c>
    </row>
    <row r="11">
      <c r="A11" s="51"/>
      <c r="B11" s="225" t="s">
        <v>3524</v>
      </c>
      <c r="C11" s="56" t="s">
        <v>663</v>
      </c>
      <c r="D11" s="51"/>
      <c r="E11" s="51" t="s">
        <v>3525</v>
      </c>
      <c r="F11" s="54" t="s">
        <v>3501</v>
      </c>
      <c r="G11" s="56">
        <v>1.0</v>
      </c>
      <c r="H11" s="56" t="s">
        <v>1735</v>
      </c>
      <c r="I11" s="56" t="s">
        <v>34</v>
      </c>
    </row>
    <row r="12">
      <c r="A12" s="51" t="s">
        <v>3526</v>
      </c>
      <c r="B12" s="225" t="s">
        <v>3524</v>
      </c>
      <c r="C12" s="56" t="s">
        <v>663</v>
      </c>
      <c r="D12" s="51"/>
      <c r="E12" s="51" t="s">
        <v>3527</v>
      </c>
      <c r="F12" s="54" t="s">
        <v>3501</v>
      </c>
      <c r="G12" s="56">
        <v>2.0</v>
      </c>
      <c r="H12" s="56" t="s">
        <v>1729</v>
      </c>
      <c r="I12" s="56" t="s">
        <v>34</v>
      </c>
    </row>
    <row r="13">
      <c r="A13" s="51" t="s">
        <v>3528</v>
      </c>
      <c r="B13" s="225" t="s">
        <v>3524</v>
      </c>
      <c r="C13" s="56" t="s">
        <v>3529</v>
      </c>
      <c r="D13" s="51"/>
      <c r="E13" s="226" t="s">
        <v>3530</v>
      </c>
      <c r="F13" s="54" t="s">
        <v>3501</v>
      </c>
      <c r="G13" s="56">
        <v>3.0</v>
      </c>
      <c r="H13" s="56" t="s">
        <v>1735</v>
      </c>
      <c r="I13" s="56" t="s">
        <v>72</v>
      </c>
    </row>
    <row r="14">
      <c r="A14" s="28" t="s">
        <v>3531</v>
      </c>
      <c r="B14" s="227" t="s">
        <v>3524</v>
      </c>
      <c r="C14" s="56" t="s">
        <v>82</v>
      </c>
      <c r="D14" s="51"/>
      <c r="E14" s="51" t="s">
        <v>3532</v>
      </c>
      <c r="F14" s="54" t="s">
        <v>3501</v>
      </c>
      <c r="G14" s="56">
        <v>4.0</v>
      </c>
      <c r="H14" s="56" t="s">
        <v>1531</v>
      </c>
      <c r="I14" s="56" t="s">
        <v>28</v>
      </c>
    </row>
    <row r="15">
      <c r="A15" s="51" t="s">
        <v>3533</v>
      </c>
      <c r="B15" s="225" t="s">
        <v>3524</v>
      </c>
      <c r="C15" s="56" t="s">
        <v>1398</v>
      </c>
      <c r="D15" s="51"/>
      <c r="E15" s="29" t="s">
        <v>3534</v>
      </c>
      <c r="F15" s="29" t="s">
        <v>3501</v>
      </c>
      <c r="G15" s="56">
        <v>6.0</v>
      </c>
      <c r="H15" s="56" t="s">
        <v>2127</v>
      </c>
      <c r="I15" s="56" t="s">
        <v>72</v>
      </c>
    </row>
    <row r="16">
      <c r="A16" s="16" t="s">
        <v>3535</v>
      </c>
      <c r="B16" s="90" t="s">
        <v>3524</v>
      </c>
      <c r="C16" s="15" t="s">
        <v>3536</v>
      </c>
      <c r="F16" s="16" t="s">
        <v>3501</v>
      </c>
      <c r="G16" s="104"/>
      <c r="I16" s="15" t="s">
        <v>34</v>
      </c>
    </row>
    <row r="17">
      <c r="A17" s="51" t="s">
        <v>1471</v>
      </c>
      <c r="B17" s="228" t="s">
        <v>3537</v>
      </c>
      <c r="C17" s="56" t="s">
        <v>39</v>
      </c>
      <c r="D17" s="51"/>
      <c r="E17" s="226" t="s">
        <v>3538</v>
      </c>
      <c r="F17" s="54" t="s">
        <v>3501</v>
      </c>
      <c r="G17" s="56">
        <v>1.0</v>
      </c>
      <c r="H17" s="56" t="s">
        <v>2280</v>
      </c>
      <c r="I17" s="56" t="s">
        <v>72</v>
      </c>
    </row>
    <row r="18">
      <c r="A18" s="51" t="s">
        <v>3539</v>
      </c>
      <c r="B18" s="228" t="s">
        <v>3537</v>
      </c>
      <c r="C18" s="56" t="s">
        <v>1912</v>
      </c>
      <c r="D18" s="51"/>
      <c r="E18" s="51" t="s">
        <v>3540</v>
      </c>
      <c r="F18" s="54" t="s">
        <v>3501</v>
      </c>
      <c r="G18" s="56">
        <v>1.0</v>
      </c>
      <c r="H18" s="56" t="s">
        <v>3541</v>
      </c>
      <c r="I18" s="56" t="s">
        <v>34</v>
      </c>
    </row>
    <row r="19">
      <c r="A19" s="7" t="s">
        <v>3542</v>
      </c>
      <c r="B19" s="86"/>
      <c r="C19" s="15"/>
      <c r="E19" s="16"/>
      <c r="F19" s="16" t="s">
        <v>3501</v>
      </c>
      <c r="G19" s="15"/>
      <c r="H19" s="15"/>
      <c r="I19" s="9"/>
    </row>
    <row r="20">
      <c r="A20" s="24" t="s">
        <v>3543</v>
      </c>
      <c r="B20" s="86" t="s">
        <v>3524</v>
      </c>
      <c r="C20" s="21" t="s">
        <v>389</v>
      </c>
      <c r="D20" s="7"/>
      <c r="E20" s="7" t="s">
        <v>3544</v>
      </c>
      <c r="F20" s="7"/>
      <c r="G20" s="9">
        <v>2.0</v>
      </c>
      <c r="H20" s="9" t="s">
        <v>1504</v>
      </c>
      <c r="I20" s="21" t="s">
        <v>28</v>
      </c>
    </row>
    <row r="21">
      <c r="A21" s="16" t="s">
        <v>3545</v>
      </c>
      <c r="B21" s="14" t="s">
        <v>3499</v>
      </c>
      <c r="C21" s="15" t="s">
        <v>30</v>
      </c>
      <c r="D21" s="16" t="s">
        <v>3546</v>
      </c>
      <c r="E21" s="16" t="s">
        <v>3547</v>
      </c>
      <c r="G21" s="15">
        <v>2.0</v>
      </c>
      <c r="I21" s="104"/>
    </row>
    <row r="22">
      <c r="A22" s="16" t="s">
        <v>3548</v>
      </c>
      <c r="B22" s="16" t="s">
        <v>3549</v>
      </c>
      <c r="C22" s="104"/>
      <c r="G22" s="104"/>
      <c r="I22" s="15" t="s">
        <v>72</v>
      </c>
    </row>
    <row r="23">
      <c r="A23" s="16" t="s">
        <v>3550</v>
      </c>
      <c r="B23" s="16" t="s">
        <v>3551</v>
      </c>
      <c r="C23" s="104"/>
      <c r="G23" s="104"/>
      <c r="I23" s="104"/>
    </row>
    <row r="24">
      <c r="A24" s="16" t="s">
        <v>3543</v>
      </c>
      <c r="B24" s="16" t="s">
        <v>3524</v>
      </c>
      <c r="C24" s="15"/>
      <c r="G24" s="15"/>
      <c r="H24" s="15"/>
      <c r="I24" s="15"/>
    </row>
    <row r="25">
      <c r="A25" s="16" t="s">
        <v>3552</v>
      </c>
      <c r="B25" s="90" t="s">
        <v>3524</v>
      </c>
      <c r="C25" s="15" t="s">
        <v>3553</v>
      </c>
      <c r="E25" s="16" t="s">
        <v>3554</v>
      </c>
      <c r="F25" s="16" t="s">
        <v>1925</v>
      </c>
      <c r="G25" s="15">
        <v>0.0</v>
      </c>
      <c r="H25" s="15" t="s">
        <v>1785</v>
      </c>
      <c r="I25" s="15" t="s">
        <v>28</v>
      </c>
    </row>
    <row r="26">
      <c r="A26" s="16" t="s">
        <v>3555</v>
      </c>
    </row>
    <row r="27">
      <c r="C27" s="104"/>
      <c r="E27" s="16" t="s">
        <v>3556</v>
      </c>
    </row>
    <row r="28">
      <c r="E28" s="16" t="s">
        <v>3557</v>
      </c>
    </row>
    <row r="29">
      <c r="E29" s="16" t="s">
        <v>3558</v>
      </c>
    </row>
    <row r="30">
      <c r="E30" s="16" t="s">
        <v>3559</v>
      </c>
    </row>
    <row r="31">
      <c r="E31" s="16" t="s">
        <v>3560</v>
      </c>
    </row>
    <row r="32">
      <c r="E32" s="16" t="s">
        <v>3561</v>
      </c>
    </row>
    <row r="33">
      <c r="E33" s="16" t="s">
        <v>3562</v>
      </c>
    </row>
    <row r="34">
      <c r="E34" s="16" t="s">
        <v>3563</v>
      </c>
    </row>
    <row r="35">
      <c r="A35" s="16" t="s">
        <v>3564</v>
      </c>
      <c r="B35" s="80" t="s">
        <v>3565</v>
      </c>
      <c r="C35" s="9" t="s">
        <v>3566</v>
      </c>
      <c r="D35" s="24"/>
      <c r="E35" s="7" t="s">
        <v>3567</v>
      </c>
      <c r="F35" s="7" t="s">
        <v>661</v>
      </c>
      <c r="G35" s="9">
        <v>2.0</v>
      </c>
      <c r="H35" s="9" t="s">
        <v>1165</v>
      </c>
      <c r="I35" s="9" t="s">
        <v>72</v>
      </c>
    </row>
    <row r="36">
      <c r="A36" s="16" t="s">
        <v>3568</v>
      </c>
      <c r="B36" s="78" t="s">
        <v>3565</v>
      </c>
      <c r="C36" s="15" t="s">
        <v>2370</v>
      </c>
      <c r="D36" s="16" t="s">
        <v>26</v>
      </c>
      <c r="F36" s="15">
        <v>2.0</v>
      </c>
      <c r="G36" s="15" t="s">
        <v>1052</v>
      </c>
      <c r="H36" s="15" t="s">
        <v>72</v>
      </c>
    </row>
    <row r="37">
      <c r="A37" s="51" t="s">
        <v>1471</v>
      </c>
      <c r="B37" s="16" t="s">
        <v>3569</v>
      </c>
      <c r="C37" s="16" t="s">
        <v>39</v>
      </c>
      <c r="D37" s="16" t="s">
        <v>3570</v>
      </c>
      <c r="F37" s="15">
        <v>0.0</v>
      </c>
      <c r="G37" s="15" t="s">
        <v>1473</v>
      </c>
      <c r="H37" s="15" t="s">
        <v>72</v>
      </c>
      <c r="I37" s="16" t="s">
        <v>3571</v>
      </c>
    </row>
    <row r="38">
      <c r="E38" s="16" t="s">
        <v>3572</v>
      </c>
    </row>
    <row r="39">
      <c r="E39" s="16" t="s">
        <v>3573</v>
      </c>
    </row>
    <row r="41">
      <c r="E41" s="20" t="s">
        <v>3556</v>
      </c>
    </row>
    <row r="42">
      <c r="E42" s="20" t="s">
        <v>3557</v>
      </c>
    </row>
    <row r="43">
      <c r="E43" s="20" t="s">
        <v>3558</v>
      </c>
    </row>
    <row r="44">
      <c r="E44" s="20" t="s">
        <v>3559</v>
      </c>
    </row>
    <row r="45">
      <c r="E45" s="20" t="s">
        <v>3560</v>
      </c>
    </row>
    <row r="46">
      <c r="E46" s="16" t="s">
        <v>3574</v>
      </c>
    </row>
    <row r="47">
      <c r="E47" s="16" t="s">
        <v>3575</v>
      </c>
    </row>
    <row r="48">
      <c r="E48" s="16" t="s">
        <v>3576</v>
      </c>
    </row>
    <row r="50">
      <c r="E50" s="16" t="s">
        <v>3577</v>
      </c>
    </row>
    <row r="51">
      <c r="E51" s="16" t="s">
        <v>3578</v>
      </c>
    </row>
    <row r="52">
      <c r="E52" s="16" t="s">
        <v>2383</v>
      </c>
    </row>
    <row r="53">
      <c r="A53" s="16" t="s">
        <v>3579</v>
      </c>
      <c r="E53" s="16" t="s">
        <v>3580</v>
      </c>
    </row>
    <row r="54">
      <c r="E54" s="16" t="s">
        <v>3581</v>
      </c>
    </row>
    <row r="55">
      <c r="A55" s="16" t="s">
        <v>3416</v>
      </c>
      <c r="E55" s="16" t="s">
        <v>3582</v>
      </c>
    </row>
    <row r="56">
      <c r="A56" s="16" t="s">
        <v>2394</v>
      </c>
      <c r="E56" s="16" t="s">
        <v>2395</v>
      </c>
    </row>
    <row r="58">
      <c r="E58" s="16" t="s">
        <v>3583</v>
      </c>
    </row>
    <row r="59">
      <c r="E59" s="16" t="s">
        <v>3584</v>
      </c>
    </row>
    <row r="61">
      <c r="E61" s="16" t="s">
        <v>3585</v>
      </c>
    </row>
    <row r="63">
      <c r="E63" s="16" t="s">
        <v>3586</v>
      </c>
    </row>
    <row r="64">
      <c r="E64" s="16" t="s">
        <v>3587</v>
      </c>
    </row>
    <row r="65">
      <c r="B65" s="16" t="s">
        <v>3588</v>
      </c>
    </row>
    <row r="67">
      <c r="E67" s="16" t="s">
        <v>3589</v>
      </c>
    </row>
    <row r="68">
      <c r="A68" s="16" t="s">
        <v>3590</v>
      </c>
      <c r="E68" s="16" t="s">
        <v>3591</v>
      </c>
    </row>
    <row r="69">
      <c r="E69" s="16" t="s">
        <v>3592</v>
      </c>
    </row>
    <row r="70">
      <c r="E70" s="16" t="s">
        <v>3593</v>
      </c>
    </row>
    <row r="71">
      <c r="A71" s="16" t="s">
        <v>1712</v>
      </c>
      <c r="E71" s="16" t="s">
        <v>3594</v>
      </c>
    </row>
    <row r="72">
      <c r="E72" s="16" t="s">
        <v>3595</v>
      </c>
    </row>
    <row r="73">
      <c r="E73" s="16" t="s">
        <v>3596</v>
      </c>
    </row>
    <row r="74">
      <c r="E74" s="16" t="s">
        <v>3597</v>
      </c>
    </row>
    <row r="75">
      <c r="E75" s="16" t="s">
        <v>3598</v>
      </c>
    </row>
    <row r="76">
      <c r="E76" s="16" t="s">
        <v>3599</v>
      </c>
    </row>
    <row r="77">
      <c r="E77" s="16" t="s">
        <v>3600</v>
      </c>
    </row>
    <row r="78">
      <c r="E78" s="16" t="s">
        <v>3601</v>
      </c>
    </row>
    <row r="80">
      <c r="E80" s="16" t="s">
        <v>3602</v>
      </c>
    </row>
    <row r="82">
      <c r="E82" s="16" t="s">
        <v>3603</v>
      </c>
    </row>
    <row r="83">
      <c r="E83" s="16" t="s">
        <v>3604</v>
      </c>
    </row>
    <row r="84">
      <c r="E84" s="16" t="s">
        <v>3605</v>
      </c>
    </row>
    <row r="85">
      <c r="E85" s="16" t="s">
        <v>3606</v>
      </c>
    </row>
    <row r="86">
      <c r="E86" s="16" t="s">
        <v>3607</v>
      </c>
    </row>
    <row r="87">
      <c r="E87" s="16" t="s">
        <v>3608</v>
      </c>
    </row>
    <row r="89">
      <c r="E89" s="16" t="s">
        <v>3609</v>
      </c>
    </row>
    <row r="90">
      <c r="E90" s="16" t="s">
        <v>3610</v>
      </c>
    </row>
    <row r="92">
      <c r="E92" s="16" t="s">
        <v>3611</v>
      </c>
    </row>
    <row r="93">
      <c r="E93" s="16" t="s">
        <v>3612</v>
      </c>
    </row>
    <row r="94">
      <c r="A94" s="16" t="s">
        <v>3613</v>
      </c>
      <c r="E94" s="16" t="s">
        <v>3614</v>
      </c>
    </row>
    <row r="95">
      <c r="E95" s="29" t="s">
        <v>2344</v>
      </c>
    </row>
    <row r="96">
      <c r="E96" s="16" t="s">
        <v>3615</v>
      </c>
    </row>
    <row r="97">
      <c r="A97" s="16" t="s">
        <v>3616</v>
      </c>
      <c r="E97" s="16" t="s">
        <v>3617</v>
      </c>
    </row>
    <row r="98">
      <c r="E98" s="229" t="s">
        <v>3618</v>
      </c>
    </row>
    <row r="100">
      <c r="A100" s="16" t="s">
        <v>3619</v>
      </c>
    </row>
    <row r="102">
      <c r="A102" s="24"/>
      <c r="B102" s="16" t="s">
        <v>3620</v>
      </c>
      <c r="E102" s="16" t="s">
        <v>3621</v>
      </c>
      <c r="F102" s="7"/>
      <c r="G102" s="7"/>
      <c r="H102" s="7"/>
      <c r="I102" s="230"/>
      <c r="J102" s="9"/>
      <c r="K102" s="231"/>
      <c r="L102" s="21"/>
    </row>
    <row r="103">
      <c r="A103" s="16" t="s">
        <v>3622</v>
      </c>
    </row>
    <row r="104">
      <c r="A104" s="20" t="s">
        <v>3623</v>
      </c>
      <c r="B104" s="20" t="s">
        <v>3565</v>
      </c>
      <c r="C104" s="20" t="s">
        <v>2349</v>
      </c>
      <c r="E104" s="20" t="s">
        <v>3624</v>
      </c>
      <c r="G104" s="20">
        <v>2.0</v>
      </c>
      <c r="H104" s="20" t="s">
        <v>1043</v>
      </c>
      <c r="I104" s="16" t="s">
        <v>34</v>
      </c>
    </row>
    <row r="105">
      <c r="A105" s="22" t="s">
        <v>3625</v>
      </c>
      <c r="B105" s="97" t="s">
        <v>1888</v>
      </c>
      <c r="C105" s="9" t="s">
        <v>1912</v>
      </c>
      <c r="E105" s="7" t="s">
        <v>3626</v>
      </c>
      <c r="G105" s="9">
        <v>0.0</v>
      </c>
      <c r="H105" s="9" t="s">
        <v>3627</v>
      </c>
      <c r="I105" s="9" t="s">
        <v>34</v>
      </c>
    </row>
    <row r="106">
      <c r="A106" s="16" t="s">
        <v>3628</v>
      </c>
      <c r="B106" s="90" t="s">
        <v>1502</v>
      </c>
      <c r="C106" s="15" t="s">
        <v>410</v>
      </c>
      <c r="E106" s="16" t="s">
        <v>3629</v>
      </c>
      <c r="G106" s="15">
        <v>0.0</v>
      </c>
      <c r="H106" s="15" t="s">
        <v>1527</v>
      </c>
      <c r="I106" s="15" t="s">
        <v>72</v>
      </c>
    </row>
    <row r="107">
      <c r="A107" s="7" t="s">
        <v>3630</v>
      </c>
      <c r="B107" s="8" t="s">
        <v>23</v>
      </c>
      <c r="C107" s="9" t="s">
        <v>30</v>
      </c>
      <c r="E107" s="29" t="s">
        <v>91</v>
      </c>
      <c r="G107" s="9">
        <v>6.0</v>
      </c>
      <c r="H107" s="9" t="s">
        <v>64</v>
      </c>
      <c r="I107" s="9" t="s">
        <v>28</v>
      </c>
    </row>
    <row r="108">
      <c r="A108" s="16" t="s">
        <v>3631</v>
      </c>
      <c r="C108" s="16" t="s">
        <v>1692</v>
      </c>
      <c r="E108" s="16" t="s">
        <v>3632</v>
      </c>
      <c r="I108" s="16" t="s">
        <v>72</v>
      </c>
    </row>
  </sheetData>
  <drawing r:id="rId1"/>
</worksheet>
</file>