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<sst xmlns="http://schemas.openxmlformats.org/spreadsheetml/2006/main" count="6912" uniqueCount="3008">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</sst>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3588155"/>
        <c:axId val="1867713694"/>
      </c:barChart>
      <c:catAx>
        <c:axId val="435881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67713694"/>
      </c:catAx>
      <c:valAx>
        <c:axId val="18677136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58815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0c2fcc58-1cd5-4e2c-9953-06ae99527acc?index=3" TargetMode="External"/><Relationship Id="rId194" Type="http://schemas.openxmlformats.org/officeDocument/2006/relationships/hyperlink" Target="https://alpha.midjourney.com/jobs/ec1fb5cf-b226-482a-9fd2-005d6f927846?index=1" TargetMode="External"/><Relationship Id="rId193" Type="http://schemas.openxmlformats.org/officeDocument/2006/relationships/hyperlink" Target="https://alpha.midjourney.com/jobs/11cea0b5-15f6-46ea-9c98-85147c5d0c1d?index=2" TargetMode="External"/><Relationship Id="rId192" Type="http://schemas.openxmlformats.org/officeDocument/2006/relationships/hyperlink" Target="https://alpha.midjourney.com/jobs/cb83f03b-5441-4ab6-acd4-d6c23cfbf1b0?index=1" TargetMode="External"/><Relationship Id="rId191" Type="http://schemas.openxmlformats.org/officeDocument/2006/relationships/hyperlink" Target="https://alpha.midjourney.com/jobs/cb83f03b-5441-4ab6-acd4-d6c23cfbf1b0?index=3" TargetMode="External"/><Relationship Id="rId187" Type="http://schemas.openxmlformats.org/officeDocument/2006/relationships/hyperlink" Target="https://alpha.midjourney.com/jobs/f0a7e593-e8a3-49a4-9357-69927b40e0a8?index=1" TargetMode="External"/><Relationship Id="rId186" Type="http://schemas.openxmlformats.org/officeDocument/2006/relationships/hyperlink" Target="https://alpha.midjourney.com/jobs/8785718a-3cef-4d6b-adf4-3f611a3b965e?index=2" TargetMode="External"/><Relationship Id="rId185" Type="http://schemas.openxmlformats.org/officeDocument/2006/relationships/hyperlink" Target="https://alpha.midjourney.com/jobs/ef31c8de-f61e-4972-86e9-aa9f1831afd5?index=0" TargetMode="External"/><Relationship Id="rId184" Type="http://schemas.openxmlformats.org/officeDocument/2006/relationships/hyperlink" Target="https://alpha.midjourney.com/jobs/855d9ad2-60fa-4317-90d5-dde695aa3863?index=2" TargetMode="External"/><Relationship Id="rId189" Type="http://schemas.openxmlformats.org/officeDocument/2006/relationships/hyperlink" Target="https://alpha.midjourney.com/jobs/677914ad-f8cb-4855-b453-f47da8640844?index=0" TargetMode="External"/><Relationship Id="rId188" Type="http://schemas.openxmlformats.org/officeDocument/2006/relationships/hyperlink" Target="https://alpha.midjourney.com/jobs/f0a7e593-e8a3-49a4-9357-69927b40e0a8?index=0" TargetMode="External"/><Relationship Id="rId183" Type="http://schemas.openxmlformats.org/officeDocument/2006/relationships/hyperlink" Target="https://alpha.midjourney.com/jobs/f43fb0f9-219d-46ea-84e7-cebd02ca67fd?index=3" TargetMode="External"/><Relationship Id="rId182" Type="http://schemas.openxmlformats.org/officeDocument/2006/relationships/hyperlink" Target="https://alpha.midjourney.com/jobs/ca73b5bd-6fc1-4339-9285-ae03c13a5f5d?index=0" TargetMode="External"/><Relationship Id="rId181" Type="http://schemas.openxmlformats.org/officeDocument/2006/relationships/hyperlink" Target="https://alpha.midjourney.com/jobs/cea0e01e-1930-45b5-b5c8-3ad52ddb3142?index=3" TargetMode="External"/><Relationship Id="rId180" Type="http://schemas.openxmlformats.org/officeDocument/2006/relationships/hyperlink" Target="https://alpha.midjourney.com/jobs/f4b87c3a-3e3c-48fa-b94a-c0514613a2cd?index=3" TargetMode="External"/><Relationship Id="rId176" Type="http://schemas.openxmlformats.org/officeDocument/2006/relationships/hyperlink" Target="https://alpha.midjourney.com/jobs/04b6c714-4150-4b67-bc7b-3b77d214c80e?index=1" TargetMode="External"/><Relationship Id="rId297" Type="http://schemas.openxmlformats.org/officeDocument/2006/relationships/hyperlink" Target="https://alpha.midjourney.com/jobs/855584b6-ff81-449c-bfc8-776b89e2e1b6?index=3" TargetMode="External"/><Relationship Id="rId175" Type="http://schemas.openxmlformats.org/officeDocument/2006/relationships/hyperlink" Target="https://alpha.midjourney.com/jobs/6b2dd4db-47bc-4351-b9cb-56165501015d?index=0" TargetMode="External"/><Relationship Id="rId296" Type="http://schemas.openxmlformats.org/officeDocument/2006/relationships/hyperlink" Target="https://alpha.midjourney.com/jobs/855584b6-ff81-449c-bfc8-776b89e2e1b6?index=2" TargetMode="External"/><Relationship Id="rId174" Type="http://schemas.openxmlformats.org/officeDocument/2006/relationships/hyperlink" Target="https://alpha.midjourney.com/jobs/8b1af36f-4004-4f76-8321-39eadf6994de?index=1" TargetMode="External"/><Relationship Id="rId295" Type="http://schemas.openxmlformats.org/officeDocument/2006/relationships/hyperlink" Target="https://alpha.midjourney.com/jobs/d8a56be5-0fe5-434b-a77a-b6146873ea1a?index=0" TargetMode="External"/><Relationship Id="rId173" Type="http://schemas.openxmlformats.org/officeDocument/2006/relationships/hyperlink" Target="https://alpha.midjourney.com/jobs/93fb8cdb-1f21-49e7-be26-dc8ba099f499?index=3" TargetMode="External"/><Relationship Id="rId294" Type="http://schemas.openxmlformats.org/officeDocument/2006/relationships/hyperlink" Target="https://alpha.midjourney.com/jobs/d8a56be5-0fe5-434b-a77a-b6146873ea1a?index=3" TargetMode="External"/><Relationship Id="rId179" Type="http://schemas.openxmlformats.org/officeDocument/2006/relationships/hyperlink" Target="https://alpha.midjourney.com/jobs/a3b699ae-45ef-4e90-9cb6-6448c1dd6ef3?index=2" TargetMode="External"/><Relationship Id="rId178" Type="http://schemas.openxmlformats.org/officeDocument/2006/relationships/hyperlink" Target="https://alpha.midjourney.com/jobs/a3b699ae-45ef-4e90-9cb6-6448c1dd6ef3?index=3" TargetMode="External"/><Relationship Id="rId299" Type="http://schemas.openxmlformats.org/officeDocument/2006/relationships/hyperlink" Target="https://alpha.midjourney.com/jobs/855584b6-ff81-449c-bfc8-776b89e2e1b6?index=0" TargetMode="External"/><Relationship Id="rId177" Type="http://schemas.openxmlformats.org/officeDocument/2006/relationships/hyperlink" Target="https://alpha.midjourney.com/jobs/fef152fe-a54f-4993-8c0b-bdc6b255ff50?index=1" TargetMode="External"/><Relationship Id="rId298" Type="http://schemas.openxmlformats.org/officeDocument/2006/relationships/hyperlink" Target="https://alpha.midjourney.com/jobs/8267de13-464b-4475-8b89-635cac0d70bd?index=0" TargetMode="External"/><Relationship Id="rId198" Type="http://schemas.openxmlformats.org/officeDocument/2006/relationships/hyperlink" Target="https://alpha.midjourney.com/jobs/3459e7cd-50f2-4130-be4c-42546280c0e7?index=3" TargetMode="External"/><Relationship Id="rId197" Type="http://schemas.openxmlformats.org/officeDocument/2006/relationships/hyperlink" Target="https://alpha.midjourney.com/jobs/91bb5265-1010-4c14-8a17-c124ec7328be?index=3" TargetMode="External"/><Relationship Id="rId196" Type="http://schemas.openxmlformats.org/officeDocument/2006/relationships/hyperlink" Target="https://alpha.midjourney.com/jobs/15eb18a9-adcc-4ad5-bb1a-b9ca187fa7e5?index=1" TargetMode="External"/><Relationship Id="rId195" Type="http://schemas.openxmlformats.org/officeDocument/2006/relationships/hyperlink" Target="https://alpha.midjourney.com/jobs/c502c751-ced3-4cb3-aa77-ce7cf3c560d4?index=0" TargetMode="External"/><Relationship Id="rId199" Type="http://schemas.openxmlformats.org/officeDocument/2006/relationships/hyperlink" Target="https://alpha.midjourney.com/jobs/f6913507-2389-4765-a6a4-189bde5ce495?index=1" TargetMode="External"/><Relationship Id="rId150" Type="http://schemas.openxmlformats.org/officeDocument/2006/relationships/hyperlink" Target="https://alpha.midjourney.com/jobs/a4c0044f-a986-4aa9-87bf-000b67966a4b?index=0" TargetMode="External"/><Relationship Id="rId271" Type="http://schemas.openxmlformats.org/officeDocument/2006/relationships/hyperlink" Target="https://alpha.midjourney.com/jobs/2ddb8064-c0f9-4c6e-bd7c-5450e649e0ba?index=1" TargetMode="External"/><Relationship Id="rId392" Type="http://schemas.openxmlformats.org/officeDocument/2006/relationships/hyperlink" Target="https://alpha.midjourney.com/jobs/48703433-d069-4669-a233-4fb736b88afa?index=2" TargetMode="External"/><Relationship Id="rId270" Type="http://schemas.openxmlformats.org/officeDocument/2006/relationships/hyperlink" Target="https://alpha.midjourney.com/jobs/fb929c6c-57e6-433a-a266-d6503efa9f59?index=3" TargetMode="External"/><Relationship Id="rId391" Type="http://schemas.openxmlformats.org/officeDocument/2006/relationships/hyperlink" Target="https://alpha.midjourney.com/jobs/fc65d230-0b7a-4bbd-9653-6fa105e5bcec?index=3" TargetMode="External"/><Relationship Id="rId390" Type="http://schemas.openxmlformats.org/officeDocument/2006/relationships/hyperlink" Target="https://alpha.midjourney.com/jobs/0bfb1ddb-5317-44ca-ac28-18bec4484bb2?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a2e29fb-bd98-4d30-88b2-8bfee70c4a47?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e3dc4ec9-31d3-451f-b89d-f3942b80c042?index=2" TargetMode="External"/><Relationship Id="rId269" Type="http://schemas.openxmlformats.org/officeDocument/2006/relationships/hyperlink" Target="https://alpha.midjourney.com/jobs/8572f917-df31-4408-8707-1d30d6ca5130?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2" TargetMode="External"/><Relationship Id="rId264" Type="http://schemas.openxmlformats.org/officeDocument/2006/relationships/hyperlink" Target="https://alpha.midjourney.com/jobs/99049fea-fc5d-4752-b9db-6d8c91ccc8ae?index=2" TargetMode="External"/><Relationship Id="rId385" Type="http://schemas.openxmlformats.org/officeDocument/2006/relationships/hyperlink" Target="https://alpha.midjourney.com/jobs/b7fa891c-92aa-4309-9f37-1140cd8df7b3?index=2" TargetMode="External"/><Relationship Id="rId142" Type="http://schemas.openxmlformats.org/officeDocument/2006/relationships/hyperlink" Target="https://alpha.midjourney.com/jobs/bce87206-d1bc-4ae5-b2a8-99df10be783b?index=3" TargetMode="External"/><Relationship Id="rId263" Type="http://schemas.openxmlformats.org/officeDocument/2006/relationships/hyperlink" Target="https://alpha.midjourney.com/jobs/8c585bc8-5180-439e-8adb-c3a47c0150fe?index=2" TargetMode="External"/><Relationship Id="rId384" Type="http://schemas.openxmlformats.org/officeDocument/2006/relationships/hyperlink" Target="https://alpha.midjourney.com/jobs/4f36ce57-0d46-485b-824d-f5324b716d84?index=1" TargetMode="External"/><Relationship Id="rId141" Type="http://schemas.openxmlformats.org/officeDocument/2006/relationships/hyperlink" Target="https://alpha.midjourney.com/jobs/8fbe44e4-705c-4ee4-adbc-6e435546facc?index=3" TargetMode="External"/><Relationship Id="rId262" Type="http://schemas.openxmlformats.org/officeDocument/2006/relationships/hyperlink" Target="https://alpha.midjourney.com/jobs/a3874385-0194-4c0f-ba14-08b4d7628a67?index=1" TargetMode="External"/><Relationship Id="rId383" Type="http://schemas.openxmlformats.org/officeDocument/2006/relationships/hyperlink" Target="https://alpha.midjourney.com/jobs/64811c7a-9306-4518-8d43-b94ca602125b?index=2" TargetMode="External"/><Relationship Id="rId140" Type="http://schemas.openxmlformats.org/officeDocument/2006/relationships/hyperlink" Target="https://alpha.midjourney.com/jobs/f82cb067-a26e-43e4-a7b7-872ad83abf92?index=1" TargetMode="External"/><Relationship Id="rId261" Type="http://schemas.openxmlformats.org/officeDocument/2006/relationships/hyperlink" Target="https://alpha.midjourney.com/jobs/eaad0536-abea-4999-883c-e3e793929cf4?index=3" TargetMode="External"/><Relationship Id="rId382" Type="http://schemas.openxmlformats.org/officeDocument/2006/relationships/hyperlink" Target="https://alpha.midjourney.com/jobs/35a72dcd-bf6d-4211-a3ec-b4a56e9266de?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0" TargetMode="External"/><Relationship Id="rId268" Type="http://schemas.openxmlformats.org/officeDocument/2006/relationships/hyperlink" Target="https://alpha.midjourney.com/jobs/9f59a1ed-24af-4d99-acaa-6a2a05df2427?index=3" TargetMode="External"/><Relationship Id="rId389" Type="http://schemas.openxmlformats.org/officeDocument/2006/relationships/hyperlink" Target="https://alpha.midjourney.com/jobs/eb6b6ed8-09d8-4cb7-8e72-89daeeb5ad45?index=1"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c0c6fe5-3d11-46e9-9fb2-27a3e4ad98d5?index=3" TargetMode="External"/><Relationship Id="rId267" Type="http://schemas.openxmlformats.org/officeDocument/2006/relationships/hyperlink" Target="https://alpha.midjourney.com/jobs/7fc25a68-b33f-47f1-a6ec-9553717b1c97?index=1" TargetMode="External"/><Relationship Id="rId388" Type="http://schemas.openxmlformats.org/officeDocument/2006/relationships/hyperlink" Target="https://alpha.midjourney.com/jobs/0d462342-adfb-4bc1-8852-2f568fbc9684?index=2"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9f273a40-8ff4-4686-8521-a3d630b0eaf9?index=1" TargetMode="External"/><Relationship Id="rId266" Type="http://schemas.openxmlformats.org/officeDocument/2006/relationships/hyperlink" Target="https://alpha.midjourney.com/jobs/7fc25a68-b33f-47f1-a6ec-9553717b1c97?index=0" TargetMode="External"/><Relationship Id="rId387" Type="http://schemas.openxmlformats.org/officeDocument/2006/relationships/hyperlink" Target="https://alpha.midjourney.com/jobs/95d4bd24-c3f9-417f-be00-e2b02341a172?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a9cd8a18-681f-4ef7-927f-65a2d9169d26?index=0" TargetMode="External"/><Relationship Id="rId265" Type="http://schemas.openxmlformats.org/officeDocument/2006/relationships/hyperlink" Target="https://alpha.midjourney.com/jobs/a57b5b64-f263-4fdf-af6b-1b93580bfe5e?index=0" TargetMode="External"/><Relationship Id="rId386" Type="http://schemas.openxmlformats.org/officeDocument/2006/relationships/hyperlink" Target="https://alpha.midjourney.com/jobs/64a2413c-9261-4124-ba7d-e64c2319aae0?index=0" TargetMode="External"/><Relationship Id="rId260" Type="http://schemas.openxmlformats.org/officeDocument/2006/relationships/hyperlink" Target="https://alpha.midjourney.com/jobs/e30e77bd-955e-4e8e-afe4-eae7161982c4?index=3" TargetMode="External"/><Relationship Id="rId381" Type="http://schemas.openxmlformats.org/officeDocument/2006/relationships/hyperlink" Target="https://alpha.midjourney.com/jobs/60403217-9653-4c7f-8bd1-52389abddd0b?index=2" TargetMode="External"/><Relationship Id="rId380" Type="http://schemas.openxmlformats.org/officeDocument/2006/relationships/hyperlink" Target="https://alpha.midjourney.com/jobs/a6b8108d-1bb5-42d2-a7a0-28095eb3d2c2?index=2" TargetMode="External"/><Relationship Id="rId139" Type="http://schemas.openxmlformats.org/officeDocument/2006/relationships/hyperlink" Target="https://alpha.midjourney.com/jobs/41adfac4-fb2e-4621-a9ff-3a8e7c83e591?index=3" TargetMode="External"/><Relationship Id="rId138" Type="http://schemas.openxmlformats.org/officeDocument/2006/relationships/hyperlink" Target="https://alpha.midjourney.com/jobs/960b0142-dad3-4a5e-9497-c50337bfa517?index=0" TargetMode="External"/><Relationship Id="rId259" Type="http://schemas.openxmlformats.org/officeDocument/2006/relationships/hyperlink" Target="https://alpha.midjourney.com/jobs/0a1168a7-16a3-4022-b822-fd13a508a624?index=0" TargetMode="External"/><Relationship Id="rId137" Type="http://schemas.openxmlformats.org/officeDocument/2006/relationships/hyperlink" Target="https://alpha.midjourney.com/jobs/02663ec4-f725-4dc6-b3bf-a41c24089531?index=2" TargetMode="External"/><Relationship Id="rId258" Type="http://schemas.openxmlformats.org/officeDocument/2006/relationships/hyperlink" Target="https://alpha.midjourney.com/jobs/e27864a6-cc07-4984-b181-922b584c0d96?index=3" TargetMode="External"/><Relationship Id="rId379" Type="http://schemas.openxmlformats.org/officeDocument/2006/relationships/hyperlink" Target="https://alpha.midjourney.com/jobs/7f15e033-4d9d-48a2-9a39-7197c3b9bf07?index=3" TargetMode="External"/><Relationship Id="rId132" Type="http://schemas.openxmlformats.org/officeDocument/2006/relationships/hyperlink" Target="https://alpha.midjourney.com/jobs/9b9f1932-7b85-4dc2-b89b-c5db313881fe?index=1" TargetMode="External"/><Relationship Id="rId253" Type="http://schemas.openxmlformats.org/officeDocument/2006/relationships/hyperlink" Target="https://alpha.midjourney.com/jobs/4675fbf5-6bfc-4c8a-9092-aaf4e3643f28?index=2" TargetMode="External"/><Relationship Id="rId374" Type="http://schemas.openxmlformats.org/officeDocument/2006/relationships/hyperlink" Target="https://alpha.midjourney.com/jobs/e8e96f76-94bd-41ae-b1bd-4ca96aebdd1e?index=3" TargetMode="External"/><Relationship Id="rId495" Type="http://schemas.openxmlformats.org/officeDocument/2006/relationships/hyperlink" Target="https://alpha.midjourney.com/jobs/0e512ffb-8345-4946-84e7-5131a9bbf7ae?index=0" TargetMode="External"/><Relationship Id="rId131" Type="http://schemas.openxmlformats.org/officeDocument/2006/relationships/hyperlink" Target="https://alpha.midjourney.com/jobs/97f8b1ac-677e-491b-803f-a08321d0a5b3?index=0" TargetMode="External"/><Relationship Id="rId252" Type="http://schemas.openxmlformats.org/officeDocument/2006/relationships/hyperlink" Target="https://alpha.midjourney.com/jobs/0ac155c4-dccd-49ea-a6ba-b70dd8d8e9a3?index=2" TargetMode="External"/><Relationship Id="rId373" Type="http://schemas.openxmlformats.org/officeDocument/2006/relationships/hyperlink" Target="https://alpha.midjourney.com/jobs/04e07353-17ab-4846-84bc-818bc402f09d?index=1" TargetMode="External"/><Relationship Id="rId494" Type="http://schemas.openxmlformats.org/officeDocument/2006/relationships/hyperlink" Target="https://alpha.midjourney.com/jobs/0e512ffb-8345-4946-84e7-5131a9bbf7ae?index=2" TargetMode="External"/><Relationship Id="rId130" Type="http://schemas.openxmlformats.org/officeDocument/2006/relationships/hyperlink" Target="https://alpha.midjourney.com/jobs/7e117333-a3b5-48ce-84fb-ea1d5889f52c?index=3" TargetMode="External"/><Relationship Id="rId251" Type="http://schemas.openxmlformats.org/officeDocument/2006/relationships/hyperlink" Target="https://alpha.midjourney.com/jobs/712bc1b1-a311-4c9e-8fd3-9084faf62db5?index=2" TargetMode="External"/><Relationship Id="rId372" Type="http://schemas.openxmlformats.org/officeDocument/2006/relationships/hyperlink" Target="https://alpha.midjourney.com/jobs/c0768680-bd4c-4545-846f-002afd6a854b?index=0" TargetMode="External"/><Relationship Id="rId493" Type="http://schemas.openxmlformats.org/officeDocument/2006/relationships/hyperlink" Target="https://alpha.midjourney.com/jobs/9978fdf6-d358-4abc-9d71-d32a8d78e40a?index=1" TargetMode="External"/><Relationship Id="rId250" Type="http://schemas.openxmlformats.org/officeDocument/2006/relationships/hyperlink" Target="https://alpha.midjourney.com/jobs/712bc1b1-a311-4c9e-8fd3-9084faf62db5?index=1" TargetMode="External"/><Relationship Id="rId371" Type="http://schemas.openxmlformats.org/officeDocument/2006/relationships/hyperlink" Target="https://alpha.midjourney.com/jobs/3ffc8199-7676-44a0-b357-0e6a826b2531?index=1" TargetMode="External"/><Relationship Id="rId492" Type="http://schemas.openxmlformats.org/officeDocument/2006/relationships/hyperlink" Target="https://alpha.midjourney.com/jobs/2627db62-ac7f-48d3-8657-931ef0586217?index=0" TargetMode="External"/><Relationship Id="rId136" Type="http://schemas.openxmlformats.org/officeDocument/2006/relationships/hyperlink" Target="https://alpha.midjourney.com/jobs/ecf46218-d382-4bbc-897b-729a460f33de?index=0" TargetMode="External"/><Relationship Id="rId257" Type="http://schemas.openxmlformats.org/officeDocument/2006/relationships/hyperlink" Target="https://alpha.midjourney.com/jobs/c0bbf41e-da40-447a-8817-ba761c755907?index=1" TargetMode="External"/><Relationship Id="rId378" Type="http://schemas.openxmlformats.org/officeDocument/2006/relationships/hyperlink" Target="https://alpha.midjourney.com/jobs/f29821d3-a78b-46a9-ab7b-9b476d6ecfd7?index=1" TargetMode="External"/><Relationship Id="rId499" Type="http://schemas.openxmlformats.org/officeDocument/2006/relationships/hyperlink" Target="https://alpha.midjourney.com/jobs/f49f8020-8320-4fdc-ae76-8030c07ee2b5?index=0" TargetMode="External"/><Relationship Id="rId135" Type="http://schemas.openxmlformats.org/officeDocument/2006/relationships/hyperlink" Target="https://alpha.midjourney.com/jobs/c55ff963-8780-49f5-820d-fdb412bd03ab?index=3" TargetMode="External"/><Relationship Id="rId256" Type="http://schemas.openxmlformats.org/officeDocument/2006/relationships/hyperlink" Target="https://alpha.midjourney.com/jobs/47e93cbb-0e71-491a-a49b-5685172b96b1?index=2" TargetMode="External"/><Relationship Id="rId377" Type="http://schemas.openxmlformats.org/officeDocument/2006/relationships/hyperlink" Target="https://alpha.midjourney.com/jobs/da48772a-b4d4-44f8-8d55-428c4b7750df?index=1" TargetMode="External"/><Relationship Id="rId498" Type="http://schemas.openxmlformats.org/officeDocument/2006/relationships/hyperlink" Target="https://alpha.midjourney.com/jobs/f1e95a77-2ca1-473a-a951-6d24ac381780?index=1" TargetMode="External"/><Relationship Id="rId134" Type="http://schemas.openxmlformats.org/officeDocument/2006/relationships/hyperlink" Target="https://alpha.midjourney.com/jobs/e476fa49-0867-4ba0-b9df-543b391f48db?index=0" TargetMode="External"/><Relationship Id="rId255" Type="http://schemas.openxmlformats.org/officeDocument/2006/relationships/hyperlink" Target="https://alpha.midjourney.com/jobs/8ccfe4e3-0dd5-4f9c-be98-1629ec29694f?index=2" TargetMode="External"/><Relationship Id="rId376" Type="http://schemas.openxmlformats.org/officeDocument/2006/relationships/hyperlink" Target="https://alpha.midjourney.com/jobs/a5b23374-c9e0-4cc3-ac9e-7cc693ab07b6?index=1" TargetMode="External"/><Relationship Id="rId497" Type="http://schemas.openxmlformats.org/officeDocument/2006/relationships/hyperlink" Target="https://alpha.midjourney.com/jobs/f1e95a77-2ca1-473a-a951-6d24ac381780?index=0" TargetMode="External"/><Relationship Id="rId133" Type="http://schemas.openxmlformats.org/officeDocument/2006/relationships/hyperlink" Target="https://alpha.midjourney.com/jobs/97d76fab-e567-498a-9cd5-fce2669c45a7?index=1" TargetMode="External"/><Relationship Id="rId254" Type="http://schemas.openxmlformats.org/officeDocument/2006/relationships/hyperlink" Target="https://alpha.midjourney.com/jobs/8ccfe4e3-0dd5-4f9c-be98-1629ec29694f?index=0" TargetMode="External"/><Relationship Id="rId375" Type="http://schemas.openxmlformats.org/officeDocument/2006/relationships/hyperlink" Target="https://alpha.midjourney.com/jobs/ee08debf-6dfa-4c1a-b68d-af2815e27ecd?index=0" TargetMode="External"/><Relationship Id="rId496" Type="http://schemas.openxmlformats.org/officeDocument/2006/relationships/hyperlink" Target="https://alpha.midjourney.com/jobs/71ad0300-4ba1-428b-8822-b9eb4533ed5b?index=2" TargetMode="External"/><Relationship Id="rId172" Type="http://schemas.openxmlformats.org/officeDocument/2006/relationships/hyperlink" Target="https://alpha.midjourney.com/jobs/f552819f-bae0-4fdc-aec9-3c948fadca96?index=0" TargetMode="External"/><Relationship Id="rId293" Type="http://schemas.openxmlformats.org/officeDocument/2006/relationships/hyperlink" Target="https://alpha.midjourney.com/jobs/ea69db27-0094-46a2-957d-df9c6587cd8f?index=1" TargetMode="External"/><Relationship Id="rId171" Type="http://schemas.openxmlformats.org/officeDocument/2006/relationships/hyperlink" Target="https://alpha.midjourney.com/jobs/dc135f3d-8b66-4450-857e-ed4b64a3e949?index=1" TargetMode="External"/><Relationship Id="rId292" Type="http://schemas.openxmlformats.org/officeDocument/2006/relationships/hyperlink" Target="https://alpha.midjourney.com/jobs/c014fa78-9b56-4e92-9380-05f3c1bc63f2?index=0" TargetMode="External"/><Relationship Id="rId170" Type="http://schemas.openxmlformats.org/officeDocument/2006/relationships/hyperlink" Target="https://alpha.midjourney.com/jobs/add90753-1409-4816-a77b-7200b76c544f?index=3" TargetMode="External"/><Relationship Id="rId291" Type="http://schemas.openxmlformats.org/officeDocument/2006/relationships/hyperlink" Target="https://alpha.midjourney.com/jobs/c014fa78-9b56-4e92-9380-05f3c1bc63f2?index=3" TargetMode="External"/><Relationship Id="rId290" Type="http://schemas.openxmlformats.org/officeDocument/2006/relationships/hyperlink" Target="https://alpha.midjourney.com/jobs/23c28003-cb9d-4252-b47e-eb31b79c4746?index=3" TargetMode="External"/><Relationship Id="rId165" Type="http://schemas.openxmlformats.org/officeDocument/2006/relationships/hyperlink" Target="https://alpha.midjourney.com/jobs/6cad6adc-2697-4145-bdf0-efa0bf788436?index=2" TargetMode="External"/><Relationship Id="rId286" Type="http://schemas.openxmlformats.org/officeDocument/2006/relationships/hyperlink" Target="https://alpha.midjourney.com/jobs/ac379b8f-0976-49e8-9984-afd4fa85d72d?index=2" TargetMode="External"/><Relationship Id="rId164" Type="http://schemas.openxmlformats.org/officeDocument/2006/relationships/hyperlink" Target="https://alpha.midjourney.com/jobs/30dad8d4-0f43-43a0-b5ad-94bc8b2c85d6?index=2" TargetMode="External"/><Relationship Id="rId285" Type="http://schemas.openxmlformats.org/officeDocument/2006/relationships/hyperlink" Target="https://alpha.midjourney.com/jobs/88722dbd-81e5-4a88-b7b1-4d119407e4eb?index=2" TargetMode="External"/><Relationship Id="rId163" Type="http://schemas.openxmlformats.org/officeDocument/2006/relationships/hyperlink" Target="https://alpha.midjourney.com/jobs/2c70cf34-6786-4493-bc7e-731c0f15efba?index=1" TargetMode="External"/><Relationship Id="rId284" Type="http://schemas.openxmlformats.org/officeDocument/2006/relationships/hyperlink" Target="https://alpha.midjourney.com/jobs/648f33e0-f155-4776-b3ef-cb6a2da47ad2?index=0" TargetMode="External"/><Relationship Id="rId162" Type="http://schemas.openxmlformats.org/officeDocument/2006/relationships/hyperlink" Target="https://alpha.midjourney.com/jobs/1113a14a-e98b-4368-b526-2939a08de537?index=2" TargetMode="External"/><Relationship Id="rId283" Type="http://schemas.openxmlformats.org/officeDocument/2006/relationships/hyperlink" Target="https://alpha.midjourney.com/jobs/48fb748c-ced1-4a11-b902-08569b23ea3e?index=3" TargetMode="External"/><Relationship Id="rId169" Type="http://schemas.openxmlformats.org/officeDocument/2006/relationships/hyperlink" Target="https://alpha.midjourney.com/jobs/26ae93ba-7660-44de-bc98-ff1f7b0710bb?index=0" TargetMode="External"/><Relationship Id="rId168" Type="http://schemas.openxmlformats.org/officeDocument/2006/relationships/hyperlink" Target="https://alpha.midjourney.com/jobs/9d3996dd-4cd9-4c61-9f0b-73b38822ab56?index=1" TargetMode="External"/><Relationship Id="rId289" Type="http://schemas.openxmlformats.org/officeDocument/2006/relationships/hyperlink" Target="https://alpha.midjourney.com/jobs/92e4fd9a-ec61-456e-ae1a-ccf89544238d?index=1" TargetMode="External"/><Relationship Id="rId167" Type="http://schemas.openxmlformats.org/officeDocument/2006/relationships/hyperlink" Target="https://alpha.midjourney.com/jobs/3583175b-766d-4e6f-b226-cb8e97cd3444?index=2" TargetMode="External"/><Relationship Id="rId288" Type="http://schemas.openxmlformats.org/officeDocument/2006/relationships/hyperlink" Target="https://alpha.midjourney.com/jobs/ce81bdef-692d-43ea-9dce-a4b313702bd0?index=2" TargetMode="External"/><Relationship Id="rId166" Type="http://schemas.openxmlformats.org/officeDocument/2006/relationships/hyperlink" Target="https://alpha.midjourney.com/jobs/6cad6adc-2697-4145-bdf0-efa0bf788436?index=0" TargetMode="External"/><Relationship Id="rId287" Type="http://schemas.openxmlformats.org/officeDocument/2006/relationships/hyperlink" Target="https://alpha.midjourney.com/jobs/ac379b8f-0976-49e8-9984-afd4fa85d72d?index=0" TargetMode="External"/><Relationship Id="rId161" Type="http://schemas.openxmlformats.org/officeDocument/2006/relationships/hyperlink" Target="https://alpha.midjourney.com/jobs/f14bf8bf-3033-40a6-9792-dd0d2005d4a4?index=1" TargetMode="External"/><Relationship Id="rId282" Type="http://schemas.openxmlformats.org/officeDocument/2006/relationships/hyperlink" Target="https://alpha.midjourney.com/jobs/bace0219-18ab-4fad-b1cf-6dd7f636ba09?index=1" TargetMode="External"/><Relationship Id="rId160" Type="http://schemas.openxmlformats.org/officeDocument/2006/relationships/hyperlink" Target="https://alpha.midjourney.com/jobs/f14bf8bf-3033-40a6-9792-dd0d2005d4a4?index=0" TargetMode="External"/><Relationship Id="rId281" Type="http://schemas.openxmlformats.org/officeDocument/2006/relationships/hyperlink" Target="https://alpha.midjourney.com/jobs/bace0219-18ab-4fad-b1cf-6dd7f636ba09?index=3" TargetMode="External"/><Relationship Id="rId280" Type="http://schemas.openxmlformats.org/officeDocument/2006/relationships/hyperlink" Target="https://alpha.midjourney.com/jobs/b782234a-ae27-4ab3-a874-11519512ecce?index=1" TargetMode="External"/><Relationship Id="rId159" Type="http://schemas.openxmlformats.org/officeDocument/2006/relationships/hyperlink" Target="https://alpha.midjourney.com/jobs/f14bf8bf-3033-40a6-9792-dd0d2005d4a4?index=2" TargetMode="External"/><Relationship Id="rId154" Type="http://schemas.openxmlformats.org/officeDocument/2006/relationships/hyperlink" Target="https://alpha.midjourney.com/jobs/ccfe11ca-d68d-42dd-b1cd-d5aa6d3c9b8b?index=2" TargetMode="External"/><Relationship Id="rId275" Type="http://schemas.openxmlformats.org/officeDocument/2006/relationships/hyperlink" Target="https://alpha.midjourney.com/jobs/3f700745-93e9-491e-b302-0f3b8129cd3a?index=3" TargetMode="External"/><Relationship Id="rId396" Type="http://schemas.openxmlformats.org/officeDocument/2006/relationships/hyperlink" Target="https://alpha.midjourney.com/jobs/ad69563e-8c74-41b0-8e13-8b39afa3b3cf?index=3" TargetMode="External"/><Relationship Id="rId153" Type="http://schemas.openxmlformats.org/officeDocument/2006/relationships/hyperlink" Target="https://alpha.midjourney.com/jobs/3e4015d3-c57e-4d12-9ddb-df5fcfb9d19d?index=0" TargetMode="External"/><Relationship Id="rId274" Type="http://schemas.openxmlformats.org/officeDocument/2006/relationships/hyperlink" Target="https://alpha.midjourney.com/jobs/304afcfd-7894-408f-9075-b9665b0da9bb?index=1" TargetMode="External"/><Relationship Id="rId395" Type="http://schemas.openxmlformats.org/officeDocument/2006/relationships/hyperlink" Target="https://alpha.midjourney.com/jobs/888400b6-fc24-4382-9b4f-cb536d1c6259?index=2" TargetMode="External"/><Relationship Id="rId152" Type="http://schemas.openxmlformats.org/officeDocument/2006/relationships/hyperlink" Target="https://alpha.midjourney.com/jobs/1368b59f-6a3a-4f37-b704-dc0023c5a39b?index=3" TargetMode="External"/><Relationship Id="rId273" Type="http://schemas.openxmlformats.org/officeDocument/2006/relationships/hyperlink" Target="https://alpha.midjourney.com/jobs/c9877abe-5367-4550-95bd-009c5ca1c395?index=2" TargetMode="External"/><Relationship Id="rId394" Type="http://schemas.openxmlformats.org/officeDocument/2006/relationships/hyperlink" Target="https://alpha.midjourney.com/jobs/3500932c-0e0c-496e-8393-7f54603731c9?index=3" TargetMode="External"/><Relationship Id="rId151" Type="http://schemas.openxmlformats.org/officeDocument/2006/relationships/hyperlink" Target="https://alpha.midjourney.com/jobs/1368b59f-6a3a-4f37-b704-dc0023c5a39b?index=0" TargetMode="External"/><Relationship Id="rId272" Type="http://schemas.openxmlformats.org/officeDocument/2006/relationships/hyperlink" Target="https://alpha.midjourney.com/jobs/2ddb8064-c0f9-4c6e-bd7c-5450e649e0ba?index=0" TargetMode="External"/><Relationship Id="rId393" Type="http://schemas.openxmlformats.org/officeDocument/2006/relationships/hyperlink" Target="https://alpha.midjourney.com/jobs/48703433-d069-4669-a233-4fb736b88afa?index=0" TargetMode="External"/><Relationship Id="rId158" Type="http://schemas.openxmlformats.org/officeDocument/2006/relationships/hyperlink" Target="https://alpha.midjourney.com/jobs/f309aeec-173a-46f1-b16b-f5f15141815a?index=2" TargetMode="External"/><Relationship Id="rId279" Type="http://schemas.openxmlformats.org/officeDocument/2006/relationships/hyperlink" Target="https://alpha.midjourney.com/jobs/b1f8f3d5-445f-4c75-8c69-dc3c00dd6a2a?index=1" TargetMode="External"/><Relationship Id="rId157" Type="http://schemas.openxmlformats.org/officeDocument/2006/relationships/hyperlink" Target="https://alpha.midjourney.com/jobs/f309aeec-173a-46f1-b16b-f5f15141815a?index=0" TargetMode="External"/><Relationship Id="rId278" Type="http://schemas.openxmlformats.org/officeDocument/2006/relationships/hyperlink" Target="https://alpha.midjourney.com/jobs/b1f8f3d5-445f-4c75-8c69-dc3c00dd6a2a?index=3" TargetMode="External"/><Relationship Id="rId399" Type="http://schemas.openxmlformats.org/officeDocument/2006/relationships/hyperlink" Target="https://alpha.midjourney.com/jobs/0c8ecc9c-0eba-4e1f-88ef-eb8a6b5bb902?index=0" TargetMode="External"/><Relationship Id="rId156" Type="http://schemas.openxmlformats.org/officeDocument/2006/relationships/hyperlink" Target="https://alpha.midjourney.com/jobs/fdd4f64e-d836-4c8f-9358-77cc88394b13?index=1" TargetMode="External"/><Relationship Id="rId277" Type="http://schemas.openxmlformats.org/officeDocument/2006/relationships/hyperlink" Target="https://alpha.midjourney.com/jobs/b6935539-efed-401f-850a-d485cb53a209?index=2" TargetMode="External"/><Relationship Id="rId398" Type="http://schemas.openxmlformats.org/officeDocument/2006/relationships/hyperlink" Target="https://alpha.midjourney.com/jobs/e1308eb5-a0fa-420c-983e-4f03c2e8e1b1?index=3" TargetMode="External"/><Relationship Id="rId155" Type="http://schemas.openxmlformats.org/officeDocument/2006/relationships/hyperlink" Target="https://alpha.midjourney.com/jobs/ccfe11ca-d68d-42dd-b1cd-d5aa6d3c9b8b?index=0" TargetMode="External"/><Relationship Id="rId276" Type="http://schemas.openxmlformats.org/officeDocument/2006/relationships/hyperlink" Target="https://alpha.midjourney.com/jobs/efc96ed0-d87b-4d29-bb86-f29795728bf8?index=2" TargetMode="External"/><Relationship Id="rId397" Type="http://schemas.openxmlformats.org/officeDocument/2006/relationships/hyperlink" Target="https://alpha.midjourney.com/jobs/ce3cd5be-146d-4747-a725-96d02fce6988?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0" TargetMode="External"/><Relationship Id="rId508" Type="http://schemas.openxmlformats.org/officeDocument/2006/relationships/hyperlink" Target="https://alpha.midjourney.com/jobs/cad89887-2107-4a4a-a838-1f9e91e99c08?index=3" TargetMode="External"/><Relationship Id="rId503" Type="http://schemas.openxmlformats.org/officeDocument/2006/relationships/hyperlink" Target="https://alpha.midjourney.com/jobs/2d0e2890-33fe-48d4-b23e-7e57b1b55461?index=2" TargetMode="External"/><Relationship Id="rId502" Type="http://schemas.openxmlformats.org/officeDocument/2006/relationships/hyperlink" Target="https://alpha.midjourney.com/jobs/c4613f86-a57d-47d7-a262-96719837ce9c?index=1" TargetMode="External"/><Relationship Id="rId501" Type="http://schemas.openxmlformats.org/officeDocument/2006/relationships/hyperlink" Target="https://alpha.midjourney.com/jobs/2d0e2890-33fe-48d4-b23e-7e57b1b55461?index=3" TargetMode="External"/><Relationship Id="rId500" Type="http://schemas.openxmlformats.org/officeDocument/2006/relationships/hyperlink" Target="https://alpha.midjourney.com/jobs/7f3fc151-552c-4fdc-8562-e0fb8c45fd4e?index=1" TargetMode="External"/><Relationship Id="rId507" Type="http://schemas.openxmlformats.org/officeDocument/2006/relationships/hyperlink" Target="https://alpha.midjourney.com/jobs/e18914ea-b88b-4850-b270-9a974e0f9c38?index=3" TargetMode="External"/><Relationship Id="rId506" Type="http://schemas.openxmlformats.org/officeDocument/2006/relationships/hyperlink" Target="https://alpha.midjourney.com/jobs/a7bc418c-0990-4a3f-bc7d-3afbdf436f51?index=3" TargetMode="External"/><Relationship Id="rId505" Type="http://schemas.openxmlformats.org/officeDocument/2006/relationships/hyperlink" Target="https://alpha.midjourney.com/jobs/f7f3688f-3853-44d1-bca6-d995d6876cc0?index=3" TargetMode="External"/><Relationship Id="rId504" Type="http://schemas.openxmlformats.org/officeDocument/2006/relationships/hyperlink" Target="https://alpha.midjourney.com/jobs/1c4b3aa0-24ce-4b0d-932d-a4ef2357ffd3?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8" Type="http://schemas.openxmlformats.org/officeDocument/2006/relationships/drawing" Target="../drawings/drawing1.xml"/><Relationship Id="rId613" Type="http://schemas.openxmlformats.org/officeDocument/2006/relationships/hyperlink" Target="https://alpha.midjourney.com/jobs/74ae0134-7c5f-4b5f-b25f-6d6412423dc0?index=1" TargetMode="External"/><Relationship Id="rId612" Type="http://schemas.openxmlformats.org/officeDocument/2006/relationships/hyperlink" Target="https://alpha.midjourney.com/jobs/b446efd1-d0f0-46e6-bb05-0789f08d931d?index=3" TargetMode="External"/><Relationship Id="rId611" Type="http://schemas.openxmlformats.org/officeDocument/2006/relationships/hyperlink" Target="https://alpha.midjourney.com/jobs/b446efd1-d0f0-46e6-bb05-0789f08d931d?index=1" TargetMode="External"/><Relationship Id="rId610" Type="http://schemas.openxmlformats.org/officeDocument/2006/relationships/hyperlink" Target="https://alpha.midjourney.com/jobs/a3f9b0a5-cf95-46d6-b2ad-b875e23a9b7b?index=1" TargetMode="External"/><Relationship Id="rId617" Type="http://schemas.openxmlformats.org/officeDocument/2006/relationships/hyperlink" Target="https://alpha.midjourney.com/jobs/5531e7cf-23f3-4725-986f-2de126d022b2?index=2" TargetMode="External"/><Relationship Id="rId616" Type="http://schemas.openxmlformats.org/officeDocument/2006/relationships/hyperlink" Target="https://alpha.midjourney.com/jobs/b6b028b1-6920-4dde-9694-73d589c7969e?index=1" TargetMode="External"/><Relationship Id="rId615" Type="http://schemas.openxmlformats.org/officeDocument/2006/relationships/hyperlink" Target="https://alpha.midjourney.com/jobs/d32d623f-8304-4652-a723-5e08c4834598?index=0" TargetMode="External"/><Relationship Id="rId614" Type="http://schemas.openxmlformats.org/officeDocument/2006/relationships/hyperlink" Target="https://alpha.midjourney.com/jobs/d32d623f-8304-4652-a723-5e08c4834598?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da05031f-b161-4dbf-82ed-34f56ec60f8b?index=3" TargetMode="External"/><Relationship Id="rId404" Type="http://schemas.openxmlformats.org/officeDocument/2006/relationships/hyperlink" Target="https://alpha.midjourney.com/jobs/49af1a65-37b2-43e7-abfb-fec1ef5ae6d3?index=2" TargetMode="External"/><Relationship Id="rId525" Type="http://schemas.openxmlformats.org/officeDocument/2006/relationships/hyperlink" Target="https://alpha.midjourney.com/jobs/058ca6a3-cba6-4255-a098-e15d86ecc1d3?index=3" TargetMode="External"/><Relationship Id="rId403" Type="http://schemas.openxmlformats.org/officeDocument/2006/relationships/hyperlink" Target="https://alpha.midjourney.com/jobs/24410310-250b-4dfc-957c-f04fe0d1851b?index=0" TargetMode="External"/><Relationship Id="rId524" Type="http://schemas.openxmlformats.org/officeDocument/2006/relationships/hyperlink" Target="https://alpha.midjourney.com/jobs/18828197-cdfc-419a-ae08-acae2277df70?index=0" TargetMode="External"/><Relationship Id="rId402" Type="http://schemas.openxmlformats.org/officeDocument/2006/relationships/hyperlink" Target="https://alpha.midjourney.com/jobs/727e14da-bc4a-4671-9e13-4f06e7007152?index=0" TargetMode="External"/><Relationship Id="rId523" Type="http://schemas.openxmlformats.org/officeDocument/2006/relationships/hyperlink" Target="https://alpha.midjourney.com/jobs/18828197-cdfc-419a-ae08-acae2277df70?index=1" TargetMode="External"/><Relationship Id="rId401" Type="http://schemas.openxmlformats.org/officeDocument/2006/relationships/hyperlink" Target="https://alpha.midjourney.com/jobs/eea88919-f1b3-40c0-9f43-d0e3f3705e14?index=2" TargetMode="External"/><Relationship Id="rId522" Type="http://schemas.openxmlformats.org/officeDocument/2006/relationships/hyperlink" Target="https://alpha.midjourney.com/jobs/af6bbace-c1a5-4a89-859d-e260f362a5a4?index=2" TargetMode="External"/><Relationship Id="rId408" Type="http://schemas.openxmlformats.org/officeDocument/2006/relationships/hyperlink" Target="https://alpha.midjourney.com/jobs/14907b72-ac7b-441a-89c1-206aa74ae3cc?index=3" TargetMode="External"/><Relationship Id="rId529" Type="http://schemas.openxmlformats.org/officeDocument/2006/relationships/hyperlink" Target="https://alpha.midjourney.com/jobs/b2dbb6cd-e386-4a06-bf27-555adcb9d763?index=2" TargetMode="External"/><Relationship Id="rId407" Type="http://schemas.openxmlformats.org/officeDocument/2006/relationships/hyperlink" Target="https://alpha.midjourney.com/jobs/cbc1003a-54e1-4023-a949-d6248d86958a?index=1" TargetMode="External"/><Relationship Id="rId528" Type="http://schemas.openxmlformats.org/officeDocument/2006/relationships/hyperlink" Target="https://alpha.midjourney.com/jobs/ce889b3b-91f9-4ff2-add2-e60285c57b17?index=1" TargetMode="External"/><Relationship Id="rId406" Type="http://schemas.openxmlformats.org/officeDocument/2006/relationships/hyperlink" Target="https://alpha.midjourney.com/jobs/b85e9529-2c1c-43be-8887-f8653d2daa3e?index=1" TargetMode="External"/><Relationship Id="rId527" Type="http://schemas.openxmlformats.org/officeDocument/2006/relationships/hyperlink" Target="https://alpha.midjourney.com/jobs/1702a29f-fe1f-40f0-aeb3-2892a3f1c0bc?index=2" TargetMode="External"/><Relationship Id="rId405" Type="http://schemas.openxmlformats.org/officeDocument/2006/relationships/hyperlink" Target="https://alpha.midjourney.com/jobs/c49fa673-bcd1-49dc-a65d-b262aa8d349c?index=3" TargetMode="External"/><Relationship Id="rId526" Type="http://schemas.openxmlformats.org/officeDocument/2006/relationships/hyperlink" Target="https://alpha.midjourney.com/jobs/a770b241-fcb3-4872-830b-d7c0ffd5ae7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915e002d-0994-4e3b-9b5b-10849e3c35ad?index=2" TargetMode="External"/><Relationship Id="rId521" Type="http://schemas.openxmlformats.org/officeDocument/2006/relationships/hyperlink" Target="https://alpha.midjourney.com/jobs/b4c3f4b0-05dc-4917-a882-3e522fb1d744?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b4c3f4b0-05dc-4917-a882-3e522fb1d744?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3" TargetMode="External"/><Relationship Id="rId514" Type="http://schemas.openxmlformats.org/officeDocument/2006/relationships/hyperlink" Target="https://alpha.midjourney.com/jobs/6a68bc3e-bd7f-4880-954d-ff357e0580c0?index=2" TargetMode="External"/><Relationship Id="rId513" Type="http://schemas.openxmlformats.org/officeDocument/2006/relationships/hyperlink" Target="https://alpha.midjourney.com/jobs/1896af7e-08b8-4744-8b7a-ffb98cf9d3de?index=1" TargetMode="External"/><Relationship Id="rId512" Type="http://schemas.openxmlformats.org/officeDocument/2006/relationships/hyperlink" Target="https://alpha.midjourney.com/jobs/c9d4bd01-17d8-4d2f-9739-b9d56ab0d774?index=0" TargetMode="External"/><Relationship Id="rId511" Type="http://schemas.openxmlformats.org/officeDocument/2006/relationships/hyperlink" Target="https://alpha.midjourney.com/jobs/c9d4bd01-17d8-4d2f-9739-b9d56ab0d774?index=2" TargetMode="External"/><Relationship Id="rId518" Type="http://schemas.openxmlformats.org/officeDocument/2006/relationships/hyperlink" Target="https://alpha.midjourney.com/jobs/aa227e04-65dd-48c2-abfd-6e6fa6008da2?index=0" TargetMode="External"/><Relationship Id="rId517" Type="http://schemas.openxmlformats.org/officeDocument/2006/relationships/hyperlink" Target="https://alpha.midjourney.com/jobs/8eec2fb9-6cc5-4526-b1b2-63f80ac65f95?index=1" TargetMode="External"/><Relationship Id="rId516" Type="http://schemas.openxmlformats.org/officeDocument/2006/relationships/hyperlink" Target="https://alpha.midjourney.com/jobs/7953e818-8128-4a30-b696-521dc3af66e0?index=2" TargetMode="External"/><Relationship Id="rId515" Type="http://schemas.openxmlformats.org/officeDocument/2006/relationships/hyperlink" Target="https://alpha.midjourney.com/jobs/8300a565-8179-4b9c-9445-18cd11e30feb?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472fa6e-c6fb-4157-b854-c8e1d2b42995?index=3"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0" TargetMode="External"/><Relationship Id="rId83" Type="http://schemas.openxmlformats.org/officeDocument/2006/relationships/hyperlink" Target="https://alpha.midjourney.com/jobs/903c649b-d0e0-4b79-8d43-b2091e120243?index=3" TargetMode="External"/><Relationship Id="rId86" Type="http://schemas.openxmlformats.org/officeDocument/2006/relationships/hyperlink" Target="https://alpha.midjourney.com/jobs/ff5ef09d-ca5a-4078-8295-e865d3f5ef86?index=3" TargetMode="External"/><Relationship Id="rId85" Type="http://schemas.openxmlformats.org/officeDocument/2006/relationships/hyperlink" Target="https://alpha.midjourney.com/jobs/68687551-a06f-4550-bc88-6c49a58ac029?index=2" TargetMode="External"/><Relationship Id="rId88" Type="http://schemas.openxmlformats.org/officeDocument/2006/relationships/hyperlink" Target="https://alpha.midjourney.com/jobs/c2526578-9eb7-4bfc-b6cd-0f981333543c?index=1" TargetMode="External"/><Relationship Id="rId87" Type="http://schemas.openxmlformats.org/officeDocument/2006/relationships/hyperlink" Target="https://alpha.midjourney.com/jobs/804192d1-d6b1-471f-8286-b2c1ae535674?index=3" TargetMode="External"/><Relationship Id="rId89" Type="http://schemas.openxmlformats.org/officeDocument/2006/relationships/hyperlink" Target="https://alpha.midjourney.com/jobs/12474128-0863-4da2-aff8-997b73fe9878?index=3" TargetMode="External"/><Relationship Id="rId80" Type="http://schemas.openxmlformats.org/officeDocument/2006/relationships/hyperlink" Target="https://alpha.midjourney.com/jobs/219392dd-7217-4d08-88a4-07fe545e4e60?index=0" TargetMode="External"/><Relationship Id="rId82" Type="http://schemas.openxmlformats.org/officeDocument/2006/relationships/hyperlink" Target="https://alpha.midjourney.com/jobs/ff5ef09d-ca5a-4078-8295-e865d3f5ef86?index=1" TargetMode="External"/><Relationship Id="rId81" Type="http://schemas.openxmlformats.org/officeDocument/2006/relationships/hyperlink" Target="https://alpha.midjourney.com/jobs/faebf78e-524b-4699-86cf-5a06ec2912c9?index=0" TargetMode="External"/><Relationship Id="rId73" Type="http://schemas.openxmlformats.org/officeDocument/2006/relationships/hyperlink" Target="https://alpha.midjourney.com/jobs/e799950f-85b6-4223-b8ea-bc9ef93d3c23?index=1" TargetMode="External"/><Relationship Id="rId72" Type="http://schemas.openxmlformats.org/officeDocument/2006/relationships/hyperlink" Target="https://alpha.midjourney.com/jobs/85566897-5ef8-42df-8c72-36628a9dd9fc?index=1" TargetMode="External"/><Relationship Id="rId75" Type="http://schemas.openxmlformats.org/officeDocument/2006/relationships/hyperlink" Target="https://alpha.midjourney.com/jobs/957a1f61-1c1b-4a33-82ab-c17bcc78d8f9?index=0" TargetMode="External"/><Relationship Id="rId74" Type="http://schemas.openxmlformats.org/officeDocument/2006/relationships/hyperlink" Target="https://alpha.midjourney.com/jobs/957a1f61-1c1b-4a33-82ab-c17bcc78d8f9?index=1" TargetMode="External"/><Relationship Id="rId77" Type="http://schemas.openxmlformats.org/officeDocument/2006/relationships/hyperlink" Target="https://alpha.midjourney.com/jobs/011a319f-3ec2-43a4-ae07-e31e88bbcfcf?index=2" TargetMode="External"/><Relationship Id="rId76" Type="http://schemas.openxmlformats.org/officeDocument/2006/relationships/hyperlink" Target="https://alpha.midjourney.com/jobs/a05bda9e-586e-49de-8c32-0f6e47fd8831?index=2" TargetMode="External"/><Relationship Id="rId79" Type="http://schemas.openxmlformats.org/officeDocument/2006/relationships/hyperlink" Target="https://alpha.midjourney.com/jobs/7515835a-18c0-492f-95bd-2b1b2539a4df?index=1" TargetMode="External"/><Relationship Id="rId78" Type="http://schemas.openxmlformats.org/officeDocument/2006/relationships/hyperlink" Target="https://alpha.midjourney.com/jobs/34302934-0ce2-4d12-9b6b-bcbfb2dd2748?index=0" TargetMode="External"/><Relationship Id="rId71" Type="http://schemas.openxmlformats.org/officeDocument/2006/relationships/hyperlink" Target="https://alpha.midjourney.com/jobs/d2520d33-6384-48e1-a0ac-2b40bcba9c67?index=2" TargetMode="External"/><Relationship Id="rId70" Type="http://schemas.openxmlformats.org/officeDocument/2006/relationships/hyperlink" Target="https://alpha.midjourney.com/jobs/ae7c802d-5bb3-4e5c-935f-0989f835981b?index=3" TargetMode="External"/><Relationship Id="rId62" Type="http://schemas.openxmlformats.org/officeDocument/2006/relationships/hyperlink" Target="https://alpha.midjourney.com/jobs/0867635b-b993-4e89-adc9-840fac5e98ae?index=2"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f92d2267-2cb6-459f-b8f4-07c280426a32?index=2" TargetMode="External"/><Relationship Id="rId63" Type="http://schemas.openxmlformats.org/officeDocument/2006/relationships/hyperlink" Target="https://alpha.midjourney.com/jobs/496903ec-9e29-4e96-baed-fbc1c72e67a2?index=3" TargetMode="External"/><Relationship Id="rId66" Type="http://schemas.openxmlformats.org/officeDocument/2006/relationships/hyperlink" Target="https://alpha.midjourney.com/jobs/4b963210-17ec-4cc9-9a83-f38a7692af0e?index=3" TargetMode="External"/><Relationship Id="rId65" Type="http://schemas.openxmlformats.org/officeDocument/2006/relationships/hyperlink" Target="https://alpha.midjourney.com/jobs/fe304cba-fe68-4bea-a089-694d2e71a394?index=2" TargetMode="External"/><Relationship Id="rId68" Type="http://schemas.openxmlformats.org/officeDocument/2006/relationships/hyperlink" Target="https://alpha.midjourney.com/jobs/96dd861b-6cf4-403c-b701-35339b8bf72c?index=0" TargetMode="External"/><Relationship Id="rId67" Type="http://schemas.openxmlformats.org/officeDocument/2006/relationships/hyperlink" Target="https://alpha.midjourney.com/jobs/4efd2e1b-a113-49a0-8b09-a71768bc7f0a?index=1" TargetMode="External"/><Relationship Id="rId609" Type="http://schemas.openxmlformats.org/officeDocument/2006/relationships/hyperlink" Target="https://alpha.midjourney.com/jobs/a3f9b0a5-cf95-46d6-b2ad-b875e23a9b7b?index=2" TargetMode="External"/><Relationship Id="rId608" Type="http://schemas.openxmlformats.org/officeDocument/2006/relationships/hyperlink" Target="https://alpha.midjourney.com/jobs/a3f9b0a5-cf95-46d6-b2ad-b875e23a9b7b?index=3" TargetMode="External"/><Relationship Id="rId607" Type="http://schemas.openxmlformats.org/officeDocument/2006/relationships/hyperlink" Target="https://alpha.midjourney.com/jobs/2be582e5-299d-470b-9cbc-a89027a4991d?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b4e6f87d-bee5-4e2c-bc71-25002b90cf7b?index=3" TargetMode="External"/><Relationship Id="rId601" Type="http://schemas.openxmlformats.org/officeDocument/2006/relationships/hyperlink" Target="https://alpha.midjourney.com/jobs/7f83f9df-7679-4c80-af2f-aaa0f9a41c1e?index=0" TargetMode="External"/><Relationship Id="rId600" Type="http://schemas.openxmlformats.org/officeDocument/2006/relationships/hyperlink" Target="https://alpha.midjourney.com/jobs/37b0498c-4b19-4c10-b0ef-756203163b3f?index=2" TargetMode="External"/><Relationship Id="rId606" Type="http://schemas.openxmlformats.org/officeDocument/2006/relationships/hyperlink" Target="https://alpha.midjourney.com/jobs/82cf010f-86e1-4c76-bba4-1f5a5c122086?index=3" TargetMode="External"/><Relationship Id="rId605" Type="http://schemas.openxmlformats.org/officeDocument/2006/relationships/hyperlink" Target="https://alpha.midjourney.com/jobs/82cf010f-86e1-4c76-bba4-1f5a5c122086?index=2" TargetMode="External"/><Relationship Id="rId604" Type="http://schemas.openxmlformats.org/officeDocument/2006/relationships/hyperlink" Target="https://alpha.midjourney.com/jobs/22a34a29-1762-4b99-a1b7-f4960f0961b3?index=0" TargetMode="External"/><Relationship Id="rId603" Type="http://schemas.openxmlformats.org/officeDocument/2006/relationships/hyperlink" Target="https://alpha.midjourney.com/jobs/b4e6f87d-bee5-4e2c-bc71-25002b90cf7b?index=2" TargetMode="External"/><Relationship Id="rId69" Type="http://schemas.openxmlformats.org/officeDocument/2006/relationships/hyperlink" Target="https://alpha.midjourney.com/jobs/eb74e363-ce23-4333-bf1a-9e45b5410528?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a1a13900-c801-42e6-af4f-64055214e78b?index=2" TargetMode="External"/><Relationship Id="rId107" Type="http://schemas.openxmlformats.org/officeDocument/2006/relationships/hyperlink" Target="https://alpha.midjourney.com/jobs/42ab612c-d4a4-4640-b0eb-a0098355068a?index=1" TargetMode="External"/><Relationship Id="rId228" Type="http://schemas.openxmlformats.org/officeDocument/2006/relationships/hyperlink" Target="https://alpha.midjourney.com/jobs/914ae491-f842-47a7-972e-d9a4a84c90f6?index=0" TargetMode="External"/><Relationship Id="rId349" Type="http://schemas.openxmlformats.org/officeDocument/2006/relationships/hyperlink" Target="https://alpha.midjourney.com/jobs/5764c6a2-ac2a-45d1-bd44-3056e5b71fde?index=3" TargetMode="External"/><Relationship Id="rId106" Type="http://schemas.openxmlformats.org/officeDocument/2006/relationships/hyperlink" Target="https://alpha.midjourney.com/jobs/42ab612c-d4a4-4640-b0eb-a0098355068a?index=2" TargetMode="External"/><Relationship Id="rId227" Type="http://schemas.openxmlformats.org/officeDocument/2006/relationships/hyperlink" Target="https://alpha.midjourney.com/jobs/5eca18e5-b521-4e2a-9848-bc98673ae4d2?index=0" TargetMode="External"/><Relationship Id="rId348" Type="http://schemas.openxmlformats.org/officeDocument/2006/relationships/hyperlink" Target="https://alpha.midjourney.com/jobs/83e9cfe5-7b3e-4733-9009-d3e420db215a?index=1" TargetMode="External"/><Relationship Id="rId469" Type="http://schemas.openxmlformats.org/officeDocument/2006/relationships/hyperlink" Target="https://alpha.midjourney.com/jobs/4ebf7027-ca2f-44a2-9f30-1afa66999935?index=3" TargetMode="External"/><Relationship Id="rId105" Type="http://schemas.openxmlformats.org/officeDocument/2006/relationships/hyperlink" Target="https://alpha.midjourney.com/jobs/bb160c1d-6202-4543-88a9-152dadcce248?index=2" TargetMode="External"/><Relationship Id="rId226" Type="http://schemas.openxmlformats.org/officeDocument/2006/relationships/hyperlink" Target="https://alpha.midjourney.com/jobs/01e8e033-593c-490d-a32f-a166ab8baa48?index=2" TargetMode="External"/><Relationship Id="rId347" Type="http://schemas.openxmlformats.org/officeDocument/2006/relationships/hyperlink" Target="https://alpha.midjourney.com/jobs/de56f839-6491-46cf-880d-6d928a2517da?index=0" TargetMode="External"/><Relationship Id="rId468" Type="http://schemas.openxmlformats.org/officeDocument/2006/relationships/hyperlink" Target="https://alpha.midjourney.com/jobs/ef758448-e6c6-4375-a43a-ca7ef038fb25?index=0" TargetMode="External"/><Relationship Id="rId589" Type="http://schemas.openxmlformats.org/officeDocument/2006/relationships/hyperlink" Target="https://alpha.midjourney.com/jobs/47bd8a99-96cc-4b41-bc50-6ab93ee3369d?index=0" TargetMode="External"/><Relationship Id="rId104" Type="http://schemas.openxmlformats.org/officeDocument/2006/relationships/hyperlink" Target="https://alpha.midjourney.com/jobs/20fb2d42-8fe0-4690-82e2-b7936769540e?index=1" TargetMode="External"/><Relationship Id="rId225" Type="http://schemas.openxmlformats.org/officeDocument/2006/relationships/hyperlink" Target="https://alpha.midjourney.com/jobs/ba533218-851c-4bf4-a8d6-1d40dd59d983?index=0" TargetMode="External"/><Relationship Id="rId346" Type="http://schemas.openxmlformats.org/officeDocument/2006/relationships/hyperlink" Target="https://alpha.midjourney.com/jobs/032d003e-cfc5-416a-b659-1bdded298c0e?index=1" TargetMode="External"/><Relationship Id="rId467" Type="http://schemas.openxmlformats.org/officeDocument/2006/relationships/hyperlink" Target="https://alpha.midjourney.com/jobs/8681b697-3ab5-4ab3-8d4d-13ada408b719?index=2" TargetMode="External"/><Relationship Id="rId588" Type="http://schemas.openxmlformats.org/officeDocument/2006/relationships/hyperlink" Target="https://alpha.midjourney.com/jobs/bdf467d6-4699-4676-a6f9-39e3cbb899e5?index=0" TargetMode="External"/><Relationship Id="rId109" Type="http://schemas.openxmlformats.org/officeDocument/2006/relationships/hyperlink" Target="https://alpha.midjourney.com/jobs/bdfca501-4b58-4f97-83e7-bcf89c7e7f5e?index=0" TargetMode="External"/><Relationship Id="rId108" Type="http://schemas.openxmlformats.org/officeDocument/2006/relationships/hyperlink" Target="https://alpha.midjourney.com/jobs/da9010de-44c1-42bf-8bbc-f7eb026c1882?index=2" TargetMode="External"/><Relationship Id="rId229" Type="http://schemas.openxmlformats.org/officeDocument/2006/relationships/hyperlink" Target="https://alpha.midjourney.com/jobs/50351124-cb8d-40c5-ba32-ab7ed7975d03?index=3" TargetMode="External"/><Relationship Id="rId220" Type="http://schemas.openxmlformats.org/officeDocument/2006/relationships/hyperlink" Target="https://alpha.midjourney.com/jobs/0e687280-8a8e-4bab-ba7e-71eecfd6f625?index=2" TargetMode="External"/><Relationship Id="rId341" Type="http://schemas.openxmlformats.org/officeDocument/2006/relationships/hyperlink" Target="https://alpha.midjourney.com/jobs/d1d4e43a-6294-4cca-b9e9-a8a9b7c14773?index=2" TargetMode="External"/><Relationship Id="rId462" Type="http://schemas.openxmlformats.org/officeDocument/2006/relationships/hyperlink" Target="https://alpha.midjourney.com/jobs/8e48c3ce-1b90-4253-abcc-2da0b25ad425?index=1" TargetMode="External"/><Relationship Id="rId583" Type="http://schemas.openxmlformats.org/officeDocument/2006/relationships/hyperlink" Target="https://alpha.midjourney.com/jobs/52110149-5889-41ad-8d65-2ed05aed8c38?index=3" TargetMode="External"/><Relationship Id="rId340" Type="http://schemas.openxmlformats.org/officeDocument/2006/relationships/hyperlink" Target="https://alpha.midjourney.com/jobs/e7c5e4fe-638b-4178-857e-6623f117ac1e?index=3" TargetMode="External"/><Relationship Id="rId461" Type="http://schemas.openxmlformats.org/officeDocument/2006/relationships/hyperlink" Target="https://alpha.midjourney.com/jobs/aea064ae-88ea-47ba-a280-c9e470d12b69?index=2" TargetMode="External"/><Relationship Id="rId582" Type="http://schemas.openxmlformats.org/officeDocument/2006/relationships/hyperlink" Target="https://alpha.midjourney.com/jobs/1712423c-8247-4d89-938a-b7a8f72676d3?index=3" TargetMode="External"/><Relationship Id="rId460" Type="http://schemas.openxmlformats.org/officeDocument/2006/relationships/hyperlink" Target="https://alpha.midjourney.com/jobs/86b3223b-25b2-49c4-9ba0-56eef1eedbbf?index=1" TargetMode="External"/><Relationship Id="rId581" Type="http://schemas.openxmlformats.org/officeDocument/2006/relationships/hyperlink" Target="https://alpha.midjourney.com/jobs/48ee5064-30f0-4f2f-bf04-ffa46a4af4b3?index=2" TargetMode="External"/><Relationship Id="rId580" Type="http://schemas.openxmlformats.org/officeDocument/2006/relationships/hyperlink" Target="https://alpha.midjourney.com/jobs/88e3f9b4-074b-4645-969f-b36b4a03b283?index=0" TargetMode="External"/><Relationship Id="rId103" Type="http://schemas.openxmlformats.org/officeDocument/2006/relationships/hyperlink" Target="https://alpha.midjourney.com/jobs/2780038d-6258-4c7a-a5e0-700cdfe423f9?index=0" TargetMode="External"/><Relationship Id="rId224" Type="http://schemas.openxmlformats.org/officeDocument/2006/relationships/hyperlink" Target="https://alpha.midjourney.com/jobs/e1671c8d-c48c-402d-addf-9a0fccad1761?index=0" TargetMode="External"/><Relationship Id="rId345" Type="http://schemas.openxmlformats.org/officeDocument/2006/relationships/hyperlink" Target="https://alpha.midjourney.com/jobs/1c379fb0-c7fe-4bce-a2e2-c1046dca0a59?index=0" TargetMode="External"/><Relationship Id="rId466" Type="http://schemas.openxmlformats.org/officeDocument/2006/relationships/hyperlink" Target="https://alpha.midjourney.com/jobs/7ebb9929-e2ad-442f-b9a8-ea6f82e7e006?index=3" TargetMode="External"/><Relationship Id="rId587" Type="http://schemas.openxmlformats.org/officeDocument/2006/relationships/hyperlink" Target="https://alpha.midjourney.com/jobs/c4a83c37-4d6d-4f59-96bb-5d38ce1a9de6?index=3" TargetMode="External"/><Relationship Id="rId102" Type="http://schemas.openxmlformats.org/officeDocument/2006/relationships/hyperlink" Target="https://alpha.midjourney.com/jobs/ab137782-70f1-4ba3-840a-49cf4fda7bbe?index=3" TargetMode="External"/><Relationship Id="rId223" Type="http://schemas.openxmlformats.org/officeDocument/2006/relationships/hyperlink" Target="https://alpha.midjourney.com/jobs/750ed738-29ba-42b6-8f6f-d878ddac70d4?index=1" TargetMode="External"/><Relationship Id="rId344" Type="http://schemas.openxmlformats.org/officeDocument/2006/relationships/hyperlink" Target="https://alpha.midjourney.com/jobs/1c379fb0-c7fe-4bce-a2e2-c1046dca0a59?index=1" TargetMode="External"/><Relationship Id="rId465" Type="http://schemas.openxmlformats.org/officeDocument/2006/relationships/hyperlink" Target="https://alpha.midjourney.com/jobs/3f24055e-e0a2-47c1-8470-64c33d0f6866?index=2" TargetMode="External"/><Relationship Id="rId586" Type="http://schemas.openxmlformats.org/officeDocument/2006/relationships/hyperlink" Target="https://alpha.midjourney.com/jobs/dc99fa2e-811a-4134-88e2-76ee3a711eec?index=3" TargetMode="External"/><Relationship Id="rId101" Type="http://schemas.openxmlformats.org/officeDocument/2006/relationships/hyperlink" Target="https://alpha.midjourney.com/jobs/172ae98b-46c0-4825-b85b-219a47dfecc0?index=2" TargetMode="External"/><Relationship Id="rId222" Type="http://schemas.openxmlformats.org/officeDocument/2006/relationships/hyperlink" Target="https://alpha.midjourney.com/jobs/5e110d2e-a7e4-436b-bb11-4fb86e1580e9?index=2" TargetMode="External"/><Relationship Id="rId343" Type="http://schemas.openxmlformats.org/officeDocument/2006/relationships/hyperlink" Target="https://alpha.midjourney.com/jobs/1c379fb0-c7fe-4bce-a2e2-c1046dca0a59?index=3" TargetMode="External"/><Relationship Id="rId464" Type="http://schemas.openxmlformats.org/officeDocument/2006/relationships/hyperlink" Target="https://alpha.midjourney.com/jobs/64dbf7d3-51d9-49d7-826e-908e3f7f1760?index=0" TargetMode="External"/><Relationship Id="rId585" Type="http://schemas.openxmlformats.org/officeDocument/2006/relationships/hyperlink" Target="https://alpha.midjourney.com/jobs/12fada4d-5aaf-4322-b3d3-24be5496e64d?index=3" TargetMode="External"/><Relationship Id="rId100" Type="http://schemas.openxmlformats.org/officeDocument/2006/relationships/hyperlink" Target="https://alpha.midjourney.com/jobs/4cc82fb7-ff66-4625-86b9-bd6b6019e512?index=2" TargetMode="External"/><Relationship Id="rId221" Type="http://schemas.openxmlformats.org/officeDocument/2006/relationships/hyperlink" Target="https://alpha.midjourney.com/jobs/5e110d2e-a7e4-436b-bb11-4fb86e1580e9?index=3" TargetMode="External"/><Relationship Id="rId342" Type="http://schemas.openxmlformats.org/officeDocument/2006/relationships/hyperlink" Target="https://alpha.midjourney.com/jobs/1b37b6ab-c626-42c3-a564-3b3f1a292370?index=3" TargetMode="External"/><Relationship Id="rId463" Type="http://schemas.openxmlformats.org/officeDocument/2006/relationships/hyperlink" Target="https://alpha.midjourney.com/jobs/64dbf7d3-51d9-49d7-826e-908e3f7f1760?index=1" TargetMode="External"/><Relationship Id="rId584" Type="http://schemas.openxmlformats.org/officeDocument/2006/relationships/hyperlink" Target="https://alpha.midjourney.com/jobs/83be14db-adaf-4786-aeef-ad19b39bd2ca?index=2" TargetMode="External"/><Relationship Id="rId217" Type="http://schemas.openxmlformats.org/officeDocument/2006/relationships/hyperlink" Target="https://alpha.midjourney.com/jobs/02a937b0-dc30-4b61-a80a-775950a47d1e?index=0" TargetMode="External"/><Relationship Id="rId338" Type="http://schemas.openxmlformats.org/officeDocument/2006/relationships/hyperlink" Target="https://alpha.midjourney.com/jobs/3ece9766-fbca-4a9f-b43c-ceacdfd34356?index=0" TargetMode="External"/><Relationship Id="rId459" Type="http://schemas.openxmlformats.org/officeDocument/2006/relationships/hyperlink" Target="https://alpha.midjourney.com/jobs/3b50b5d8-08a1-4b97-8366-8e40ccb84ae0?index=3" TargetMode="External"/><Relationship Id="rId216" Type="http://schemas.openxmlformats.org/officeDocument/2006/relationships/hyperlink" Target="https://alpha.midjourney.com/jobs/68e2c61d-f9ac-435e-8eb9-44ef82724758?index=1" TargetMode="External"/><Relationship Id="rId337" Type="http://schemas.openxmlformats.org/officeDocument/2006/relationships/hyperlink" Target="https://alpha.midjourney.com/jobs/7b986382-842d-4894-bfa5-8f3a13c28048?index=1" TargetMode="External"/><Relationship Id="rId458" Type="http://schemas.openxmlformats.org/officeDocument/2006/relationships/hyperlink" Target="https://alpha.midjourney.com/jobs/f8601415-70ff-4ce2-aed0-f550f9d08f3d?index=0" TargetMode="External"/><Relationship Id="rId579" Type="http://schemas.openxmlformats.org/officeDocument/2006/relationships/hyperlink" Target="https://alpha.midjourney.com/jobs/fbd01acd-ec46-450e-a41b-df9c33a118ab?index=1" TargetMode="External"/><Relationship Id="rId215" Type="http://schemas.openxmlformats.org/officeDocument/2006/relationships/hyperlink" Target="https://alpha.midjourney.com/jobs/86e09484-75c2-4d9e-b33e-31faa3d4e251?index=2" TargetMode="External"/><Relationship Id="rId336" Type="http://schemas.openxmlformats.org/officeDocument/2006/relationships/hyperlink" Target="https://alpha.midjourney.com/jobs/7b986382-842d-4894-bfa5-8f3a13c28048?index=2" TargetMode="External"/><Relationship Id="rId457" Type="http://schemas.openxmlformats.org/officeDocument/2006/relationships/hyperlink" Target="https://alpha.midjourney.com/jobs/2a292725-24e5-4da2-ae58-2f0eadedb275?index=2" TargetMode="External"/><Relationship Id="rId578" Type="http://schemas.openxmlformats.org/officeDocument/2006/relationships/hyperlink" Target="https://alpha.midjourney.com/jobs/b697235d-58dc-46a5-852e-9cf127307d53?index=2" TargetMode="External"/><Relationship Id="rId214" Type="http://schemas.openxmlformats.org/officeDocument/2006/relationships/hyperlink" Target="https://alpha.midjourney.com/jobs/31869c2e-79e0-44a2-bcb2-ef2489f226ad?index=3" TargetMode="External"/><Relationship Id="rId335" Type="http://schemas.openxmlformats.org/officeDocument/2006/relationships/hyperlink" Target="https://alpha.midjourney.com/jobs/ded1343a-822d-4000-b96d-307220437a47?index=3" TargetMode="External"/><Relationship Id="rId456" Type="http://schemas.openxmlformats.org/officeDocument/2006/relationships/hyperlink" Target="https://alpha.midjourney.com/jobs/f8601415-70ff-4ce2-aed0-f550f9d08f3d?index=2" TargetMode="External"/><Relationship Id="rId577" Type="http://schemas.openxmlformats.org/officeDocument/2006/relationships/hyperlink" Target="https://alpha.midjourney.com/jobs/9a06b103-b5a9-4d2f-a06c-f2a3692244cc?index=0" TargetMode="External"/><Relationship Id="rId219" Type="http://schemas.openxmlformats.org/officeDocument/2006/relationships/hyperlink" Target="https://alpha.midjourney.com/jobs/a02f660a-1dce-436f-acb5-465e63f5bbc5?index=1" TargetMode="External"/><Relationship Id="rId218" Type="http://schemas.openxmlformats.org/officeDocument/2006/relationships/hyperlink" Target="https://alpha.midjourney.com/jobs/f8926069-73ab-4045-b918-9cb77758a03b?index=3" TargetMode="External"/><Relationship Id="rId339" Type="http://schemas.openxmlformats.org/officeDocument/2006/relationships/hyperlink" Target="https://alpha.midjourney.com/jobs/23146584-f12d-4df7-9044-bc3fddd5aed1?index=2" TargetMode="External"/><Relationship Id="rId330" Type="http://schemas.openxmlformats.org/officeDocument/2006/relationships/hyperlink" Target="https://alpha.midjourney.com/jobs/7bb8e808-62d2-41bb-8749-200a9089a3e9?index=2" TargetMode="External"/><Relationship Id="rId451" Type="http://schemas.openxmlformats.org/officeDocument/2006/relationships/hyperlink" Target="https://alpha.midjourney.com/jobs/3f1e36e7-8385-4701-8ad1-a8a145d654d4?index=2" TargetMode="External"/><Relationship Id="rId572" Type="http://schemas.openxmlformats.org/officeDocument/2006/relationships/hyperlink" Target="https://alpha.midjourney.com/jobs/51236e4b-aa09-40de-ae37-9c9b9cd7e7e5?index=0" TargetMode="External"/><Relationship Id="rId450" Type="http://schemas.openxmlformats.org/officeDocument/2006/relationships/hyperlink" Target="https://alpha.midjourney.com/jobs/b305aa77-1f10-402e-b176-99e909abfb9d?index=3" TargetMode="External"/><Relationship Id="rId571" Type="http://schemas.openxmlformats.org/officeDocument/2006/relationships/hyperlink" Target="https://alpha.midjourney.com/jobs/51236e4b-aa09-40de-ae37-9c9b9cd7e7e5?index=2" TargetMode="External"/><Relationship Id="rId570" Type="http://schemas.openxmlformats.org/officeDocument/2006/relationships/hyperlink" Target="https://alpha.midjourney.com/jobs/6aaaa00b-e42b-42c5-ba0e-45f3ec7aae7e?index=1" TargetMode="External"/><Relationship Id="rId213" Type="http://schemas.openxmlformats.org/officeDocument/2006/relationships/hyperlink" Target="https://alpha.midjourney.com/jobs/237ccf0b-0f9d-4e23-b6d4-df327207e61c?index=1" TargetMode="External"/><Relationship Id="rId334" Type="http://schemas.openxmlformats.org/officeDocument/2006/relationships/hyperlink" Target="https://alpha.midjourney.com/jobs/d85c9fc4-fcbf-4427-9461-c7d69924fd22?index=3" TargetMode="External"/><Relationship Id="rId455" Type="http://schemas.openxmlformats.org/officeDocument/2006/relationships/hyperlink" Target="https://alpha.midjourney.com/jobs/f8601415-70ff-4ce2-aed0-f550f9d08f3d?index=1" TargetMode="External"/><Relationship Id="rId576" Type="http://schemas.openxmlformats.org/officeDocument/2006/relationships/hyperlink" Target="https://alpha.midjourney.com/jobs/4b96f219-952d-4629-9ea5-07d8b6625b64?index=3" TargetMode="External"/><Relationship Id="rId212" Type="http://schemas.openxmlformats.org/officeDocument/2006/relationships/hyperlink" Target="https://alpha.midjourney.com/jobs/78ae5a97-8656-4c23-992f-61f8947a1950?index=2" TargetMode="External"/><Relationship Id="rId333" Type="http://schemas.openxmlformats.org/officeDocument/2006/relationships/hyperlink" Target="https://alpha.midjourney.com/jobs/33f7cc2c-e93d-4e2c-9b65-000f7fec5b4d?index=3" TargetMode="External"/><Relationship Id="rId454" Type="http://schemas.openxmlformats.org/officeDocument/2006/relationships/hyperlink" Target="https://alpha.midjourney.com/jobs/f8601415-70ff-4ce2-aed0-f550f9d08f3d?index=0" TargetMode="External"/><Relationship Id="rId575" Type="http://schemas.openxmlformats.org/officeDocument/2006/relationships/hyperlink" Target="https://alpha.midjourney.com/jobs/615b65df-6059-4623-9a52-ba6e23fd19a8?index=1" TargetMode="External"/><Relationship Id="rId211" Type="http://schemas.openxmlformats.org/officeDocument/2006/relationships/hyperlink" Target="https://alpha.midjourney.com/jobs/78ae5a97-8656-4c23-992f-61f8947a1950?index=3" TargetMode="External"/><Relationship Id="rId332" Type="http://schemas.openxmlformats.org/officeDocument/2006/relationships/hyperlink" Target="https://alpha.midjourney.com/jobs/7f81eb9e-f062-46de-9105-f93730a4e7fb?index=0" TargetMode="External"/><Relationship Id="rId453" Type="http://schemas.openxmlformats.org/officeDocument/2006/relationships/hyperlink" Target="https://alpha.midjourney.com/jobs/acb30613-f9af-4a64-81e9-e6b568cba824?index=2" TargetMode="External"/><Relationship Id="rId574" Type="http://schemas.openxmlformats.org/officeDocument/2006/relationships/hyperlink" Target="https://alpha.midjourney.com/jobs/615b65df-6059-4623-9a52-ba6e23fd19a8?index=0" TargetMode="External"/><Relationship Id="rId210" Type="http://schemas.openxmlformats.org/officeDocument/2006/relationships/hyperlink" Target="https://alpha.midjourney.com/jobs/ae00d456-a481-4034-a8c2-fdb97fffe7f6?index=2" TargetMode="External"/><Relationship Id="rId331" Type="http://schemas.openxmlformats.org/officeDocument/2006/relationships/hyperlink" Target="https://alpha.midjourney.com/jobs/4ccb8031-ae89-47b6-a633-e16eac63166b?index=3" TargetMode="External"/><Relationship Id="rId452" Type="http://schemas.openxmlformats.org/officeDocument/2006/relationships/hyperlink" Target="https://alpha.midjourney.com/jobs/05ead972-45fd-4d93-b3b6-736da52e9d68?index=1" TargetMode="External"/><Relationship Id="rId573" Type="http://schemas.openxmlformats.org/officeDocument/2006/relationships/hyperlink" Target="https://alpha.midjourney.com/jobs/615b65df-6059-4623-9a52-ba6e23fd19a8?index=3" TargetMode="External"/><Relationship Id="rId370" Type="http://schemas.openxmlformats.org/officeDocument/2006/relationships/hyperlink" Target="https://alpha.midjourney.com/jobs/f4364281-c341-4325-823b-cc159f62e3fa?index=1" TargetMode="External"/><Relationship Id="rId491" Type="http://schemas.openxmlformats.org/officeDocument/2006/relationships/hyperlink" Target="https://alpha.midjourney.com/jobs/cd68eca5-b2a0-4c1c-8754-be10ef5594c4?index=0" TargetMode="External"/><Relationship Id="rId490" Type="http://schemas.openxmlformats.org/officeDocument/2006/relationships/hyperlink" Target="https://alpha.midjourney.com/jobs/cd68eca5-b2a0-4c1c-8754-be10ef5594c4?index=2" TargetMode="External"/><Relationship Id="rId129" Type="http://schemas.openxmlformats.org/officeDocument/2006/relationships/hyperlink" Target="https://alpha.midjourney.com/jobs/7438c9cc-d782-4fee-9713-d3f301d7df3e?index=1" TargetMode="External"/><Relationship Id="rId128" Type="http://schemas.openxmlformats.org/officeDocument/2006/relationships/hyperlink" Target="https://alpha.midjourney.com/jobs/6364f253-c9ef-441f-a5a5-5cd35f3f48b4?index=1" TargetMode="External"/><Relationship Id="rId249" Type="http://schemas.openxmlformats.org/officeDocument/2006/relationships/hyperlink" Target="https://alpha.midjourney.com/jobs/edce3cff-dccc-4dd6-927a-c86b99379750?index=1" TargetMode="External"/><Relationship Id="rId127" Type="http://schemas.openxmlformats.org/officeDocument/2006/relationships/hyperlink" Target="https://alpha.midjourney.com/jobs/6364f253-c9ef-441f-a5a5-5cd35f3f48b4?index=2" TargetMode="External"/><Relationship Id="rId248" Type="http://schemas.openxmlformats.org/officeDocument/2006/relationships/hyperlink" Target="https://alpha.midjourney.com/jobs/4a4fcd20-cf99-4f08-98be-e4a9a21447fd?index=2" TargetMode="External"/><Relationship Id="rId369" Type="http://schemas.openxmlformats.org/officeDocument/2006/relationships/hyperlink" Target="https://alpha.midjourney.com/jobs/f4364281-c341-4325-823b-cc159f62e3fa?index=3" TargetMode="External"/><Relationship Id="rId126" Type="http://schemas.openxmlformats.org/officeDocument/2006/relationships/hyperlink" Target="https://alpha.midjourney.com/jobs/f9350fe6-d4bf-4a09-be2d-6d486b1be787?index=3" TargetMode="External"/><Relationship Id="rId247" Type="http://schemas.openxmlformats.org/officeDocument/2006/relationships/hyperlink" Target="https://alpha.midjourney.com/jobs/9d22a6ef-3cfd-4390-83a1-bcb607bfc60e?index=2" TargetMode="External"/><Relationship Id="rId368" Type="http://schemas.openxmlformats.org/officeDocument/2006/relationships/hyperlink" Target="https://alpha.midjourney.com/jobs/736a8fe4-c031-4266-a180-8d5fa8d7a20c?index=3" TargetMode="External"/><Relationship Id="rId489" Type="http://schemas.openxmlformats.org/officeDocument/2006/relationships/hyperlink" Target="https://alpha.midjourney.com/jobs/ffb1e104-375b-4f63-8128-521e20f32108?index=3" TargetMode="External"/><Relationship Id="rId121" Type="http://schemas.openxmlformats.org/officeDocument/2006/relationships/hyperlink" Target="https://alpha.midjourney.com/jobs/9bfd0617-c169-4772-bad8-21583764dcf1?index=1" TargetMode="External"/><Relationship Id="rId242" Type="http://schemas.openxmlformats.org/officeDocument/2006/relationships/hyperlink" Target="https://alpha.midjourney.com/jobs/87f09264-db69-471c-a5b1-db98d924778f?index=3" TargetMode="External"/><Relationship Id="rId363" Type="http://schemas.openxmlformats.org/officeDocument/2006/relationships/hyperlink" Target="https://alpha.midjourney.com/jobs/f04b4fbf-83ad-4f50-9c3a-68843e69ef11?index=2" TargetMode="External"/><Relationship Id="rId484" Type="http://schemas.openxmlformats.org/officeDocument/2006/relationships/hyperlink" Target="https://alpha.midjourney.com/jobs/c05760f1-f3cd-41ec-8511-d7268f2ece64?index=3" TargetMode="External"/><Relationship Id="rId120" Type="http://schemas.openxmlformats.org/officeDocument/2006/relationships/hyperlink" Target="https://alpha.midjourney.com/jobs/3583fb04-e10f-4436-a53d-ac6033c51e68?index=3" TargetMode="External"/><Relationship Id="rId241" Type="http://schemas.openxmlformats.org/officeDocument/2006/relationships/hyperlink" Target="https://alpha.midjourney.com/jobs/87f09264-db69-471c-a5b1-db98d924778f?index=0" TargetMode="External"/><Relationship Id="rId362" Type="http://schemas.openxmlformats.org/officeDocument/2006/relationships/hyperlink" Target="https://alpha.midjourney.com/jobs/89af2c6d-773c-4b37-a02a-c29797ab5507?index=2" TargetMode="External"/><Relationship Id="rId483" Type="http://schemas.openxmlformats.org/officeDocument/2006/relationships/hyperlink" Target="https://alpha.midjourney.com/jobs/f73f0149-0f46-4732-a763-e53b93a1af4c?index=2" TargetMode="External"/><Relationship Id="rId240" Type="http://schemas.openxmlformats.org/officeDocument/2006/relationships/hyperlink" Target="https://alpha.midjourney.com/jobs/53760255-c6fe-4c4c-ac76-95aa017993f9?index=1" TargetMode="External"/><Relationship Id="rId361" Type="http://schemas.openxmlformats.org/officeDocument/2006/relationships/hyperlink" Target="https://alpha.midjourney.com/jobs/c57f1fec-7402-4dfa-a0da-3df1bc5a18a7?index=2" TargetMode="External"/><Relationship Id="rId482" Type="http://schemas.openxmlformats.org/officeDocument/2006/relationships/hyperlink" Target="https://alpha.midjourney.com/jobs/4ff343f0-4546-4f8f-bb97-7214850f4953?index=3" TargetMode="External"/><Relationship Id="rId360" Type="http://schemas.openxmlformats.org/officeDocument/2006/relationships/hyperlink" Target="https://alpha.midjourney.com/jobs/c01595f3-8df5-40fb-ad79-c4ab3f4993bf?index=3" TargetMode="External"/><Relationship Id="rId481" Type="http://schemas.openxmlformats.org/officeDocument/2006/relationships/hyperlink" Target="https://alpha.midjourney.com/jobs/4ff343f0-4546-4f8f-bb97-7214850f4953?index=1" TargetMode="External"/><Relationship Id="rId125" Type="http://schemas.openxmlformats.org/officeDocument/2006/relationships/hyperlink" Target="https://alpha.midjourney.com/jobs/522c30ba-cd4c-47ac-8df5-bc6a0c728eef?index=0" TargetMode="External"/><Relationship Id="rId246" Type="http://schemas.openxmlformats.org/officeDocument/2006/relationships/hyperlink" Target="https://alpha.midjourney.com/jobs/9d22a6ef-3cfd-4390-83a1-bcb607bfc60e?index=0" TargetMode="External"/><Relationship Id="rId367" Type="http://schemas.openxmlformats.org/officeDocument/2006/relationships/hyperlink" Target="https://alpha.midjourney.com/jobs/97987280-b216-408a-9bcb-dd348cfcb803?index=1" TargetMode="External"/><Relationship Id="rId488" Type="http://schemas.openxmlformats.org/officeDocument/2006/relationships/hyperlink" Target="https://alpha.midjourney.com/jobs/60b4cdd1-0eb4-42fa-9e84-240b001d2af7?index=1" TargetMode="External"/><Relationship Id="rId124" Type="http://schemas.openxmlformats.org/officeDocument/2006/relationships/hyperlink" Target="https://alpha.midjourney.com/jobs/c5421a0e-601f-4a74-bd6d-431efe095978?index=2" TargetMode="External"/><Relationship Id="rId245" Type="http://schemas.openxmlformats.org/officeDocument/2006/relationships/hyperlink" Target="https://alpha.midjourney.com/jobs/bb66d639-f343-4845-af2a-5eb193006647?index=0" TargetMode="External"/><Relationship Id="rId366" Type="http://schemas.openxmlformats.org/officeDocument/2006/relationships/hyperlink" Target="https://alpha.midjourney.com/jobs/258f8be4-8fc8-47e9-9423-4d7e9f7e209b?index=0" TargetMode="External"/><Relationship Id="rId487" Type="http://schemas.openxmlformats.org/officeDocument/2006/relationships/hyperlink" Target="https://alpha.midjourney.com/jobs/14c4af69-8e71-4174-ab81-7b2daa2c165f?index=3" TargetMode="External"/><Relationship Id="rId123" Type="http://schemas.openxmlformats.org/officeDocument/2006/relationships/hyperlink" Target="https://alpha.midjourney.com/jobs/3506fd93-a468-430b-b68e-56e0adb3bfa1?index=3" TargetMode="External"/><Relationship Id="rId244" Type="http://schemas.openxmlformats.org/officeDocument/2006/relationships/hyperlink" Target="https://alpha.midjourney.com/jobs/aa3828cc-da5b-44fd-a991-7dfa8d358eca?index=1" TargetMode="External"/><Relationship Id="rId365" Type="http://schemas.openxmlformats.org/officeDocument/2006/relationships/hyperlink" Target="https://alpha.midjourney.com/jobs/cb44e85d-870b-4bc6-8948-450c772daf5c?index=0" TargetMode="External"/><Relationship Id="rId486" Type="http://schemas.openxmlformats.org/officeDocument/2006/relationships/hyperlink" Target="https://alpha.midjourney.com/jobs/c05760f1-f3cd-41ec-8511-d7268f2ece64?index=2" TargetMode="External"/><Relationship Id="rId122" Type="http://schemas.openxmlformats.org/officeDocument/2006/relationships/hyperlink" Target="https://alpha.midjourney.com/jobs/bd88a85c-62e5-4ed4-9515-3411b61e2af9?index=2" TargetMode="External"/><Relationship Id="rId243" Type="http://schemas.openxmlformats.org/officeDocument/2006/relationships/hyperlink" Target="https://alpha.midjourney.com/jobs/b5789562-2e2e-4ceb-8443-0ae424a3c7dd?index=3" TargetMode="External"/><Relationship Id="rId364" Type="http://schemas.openxmlformats.org/officeDocument/2006/relationships/hyperlink" Target="https://alpha.midjourney.com/jobs/23732ab2-74d0-4739-baaf-5e6c23e8873a?index=0" TargetMode="External"/><Relationship Id="rId485" Type="http://schemas.openxmlformats.org/officeDocument/2006/relationships/hyperlink" Target="https://alpha.midjourney.com/jobs/c05760f1-f3cd-41ec-8511-d7268f2ece64?index=0" TargetMode="External"/><Relationship Id="rId95" Type="http://schemas.openxmlformats.org/officeDocument/2006/relationships/hyperlink" Target="https://alpha.midjourney.com/jobs/0852a4f6-c4cd-4d01-a719-8673b0ba2f74?index=1" TargetMode="External"/><Relationship Id="rId94" Type="http://schemas.openxmlformats.org/officeDocument/2006/relationships/hyperlink" Target="https://alpha.midjourney.com/jobs/bce13b19-a5b7-4895-991c-a343e7295bea?index=2" TargetMode="External"/><Relationship Id="rId97" Type="http://schemas.openxmlformats.org/officeDocument/2006/relationships/hyperlink" Target="https://alpha.midjourney.com/jobs/93adb4ae-5796-400d-8a5b-0445ab93be6c?index=3" TargetMode="External"/><Relationship Id="rId96" Type="http://schemas.openxmlformats.org/officeDocument/2006/relationships/hyperlink" Target="https://alpha.midjourney.com/jobs/d19499fa-993e-4909-94ee-2b9c8761e795?index=1" TargetMode="External"/><Relationship Id="rId99" Type="http://schemas.openxmlformats.org/officeDocument/2006/relationships/hyperlink" Target="https://alpha.midjourney.com/jobs/02764ac5-6b69-4645-b186-6ada5c5faed8?index=3" TargetMode="External"/><Relationship Id="rId480" Type="http://schemas.openxmlformats.org/officeDocument/2006/relationships/hyperlink" Target="https://alpha.midjourney.com/jobs/81588d14-ce8b-416b-ab7d-351ff14b045b?index=1" TargetMode="External"/><Relationship Id="rId98" Type="http://schemas.openxmlformats.org/officeDocument/2006/relationships/hyperlink" Target="https://alpha.midjourney.com/jobs/cd0a04f4-a1cb-40f4-910e-eb46d3902255?index=0" TargetMode="External"/><Relationship Id="rId91" Type="http://schemas.openxmlformats.org/officeDocument/2006/relationships/hyperlink" Target="https://alpha.midjourney.com/jobs/9062fc96-38af-4b94-bb8b-58724ee3e784?index=3" TargetMode="External"/><Relationship Id="rId90" Type="http://schemas.openxmlformats.org/officeDocument/2006/relationships/hyperlink" Target="https://alpha.midjourney.com/jobs/65856a62-0cc5-4789-aeaa-4499b714d3e5?index=0" TargetMode="External"/><Relationship Id="rId93" Type="http://schemas.openxmlformats.org/officeDocument/2006/relationships/hyperlink" Target="https://alpha.midjourney.com/jobs/2593ed6f-b67a-4e7f-a8f9-a36157ed8f86?index=1" TargetMode="External"/><Relationship Id="rId92" Type="http://schemas.openxmlformats.org/officeDocument/2006/relationships/hyperlink" Target="https://alpha.midjourney.com/jobs/f0b193a4-3e5e-45a0-b6e9-a1b7fcfb4f49?index=2" TargetMode="External"/><Relationship Id="rId118" Type="http://schemas.openxmlformats.org/officeDocument/2006/relationships/hyperlink" Target="https://alpha.midjourney.com/jobs/05e7dc87-7c7f-400d-b1d6-3bce616d0bfb?index=2" TargetMode="External"/><Relationship Id="rId239" Type="http://schemas.openxmlformats.org/officeDocument/2006/relationships/hyperlink" Target="https://alpha.midjourney.com/jobs/841174db-5c68-41e8-819a-09fa028c5943?index=0" TargetMode="External"/><Relationship Id="rId117" Type="http://schemas.openxmlformats.org/officeDocument/2006/relationships/hyperlink" Target="https://alpha.midjourney.com/jobs/e7a204c6-76d5-4cd7-9a02-e06393503315?index=0" TargetMode="External"/><Relationship Id="rId238" Type="http://schemas.openxmlformats.org/officeDocument/2006/relationships/hyperlink" Target="https://alpha.midjourney.com/jobs/841174db-5c68-41e8-819a-09fa028c5943?index=3" TargetMode="External"/><Relationship Id="rId359" Type="http://schemas.openxmlformats.org/officeDocument/2006/relationships/hyperlink" Target="https://alpha.midjourney.com/jobs/eca24b96-706c-4dc3-98e0-b7e7167890f1?index=1" TargetMode="External"/><Relationship Id="rId116" Type="http://schemas.openxmlformats.org/officeDocument/2006/relationships/hyperlink" Target="https://alpha.midjourney.com/jobs/36d433e2-f591-4ea5-b62a-5cb266b18ca8?index=3" TargetMode="External"/><Relationship Id="rId237" Type="http://schemas.openxmlformats.org/officeDocument/2006/relationships/hyperlink" Target="https://alpha.midjourney.com/jobs/8f47bfa6-8da8-478d-aba1-dff1a5520f1c?index=0" TargetMode="External"/><Relationship Id="rId358" Type="http://schemas.openxmlformats.org/officeDocument/2006/relationships/hyperlink" Target="https://alpha.midjourney.com/jobs/22bb3e8d-5c52-4c44-8587-02c99977f143?index=0" TargetMode="External"/><Relationship Id="rId479" Type="http://schemas.openxmlformats.org/officeDocument/2006/relationships/hyperlink" Target="https://alpha.midjourney.com/jobs/a70a1341-a55b-41e0-af0e-c975f47bf9b4?index=0" TargetMode="External"/><Relationship Id="rId115" Type="http://schemas.openxmlformats.org/officeDocument/2006/relationships/hyperlink" Target="https://alpha.midjourney.com/jobs/e7a204c6-76d5-4cd7-9a02-e06393503315?index=2" TargetMode="External"/><Relationship Id="rId236" Type="http://schemas.openxmlformats.org/officeDocument/2006/relationships/hyperlink" Target="https://alpha.midjourney.com/jobs/61d71d29-7f19-4719-9f9d-b595a90e7eac?index=3" TargetMode="External"/><Relationship Id="rId357" Type="http://schemas.openxmlformats.org/officeDocument/2006/relationships/hyperlink" Target="https://alpha.midjourney.com/jobs/7ab22aed-daaa-486c-bcb0-51549f984fe3?index=0" TargetMode="External"/><Relationship Id="rId478" Type="http://schemas.openxmlformats.org/officeDocument/2006/relationships/hyperlink" Target="https://alpha.midjourney.com/jobs/54b00b16-65a7-4baa-b8e3-37fd71f85d8f?index=3" TargetMode="External"/><Relationship Id="rId599" Type="http://schemas.openxmlformats.org/officeDocument/2006/relationships/hyperlink" Target="https://alpha.midjourney.com/jobs/3bf3147f-0874-4e69-a5cf-babf4744fc51?index=3" TargetMode="External"/><Relationship Id="rId119" Type="http://schemas.openxmlformats.org/officeDocument/2006/relationships/hyperlink" Target="https://alpha.midjourney.com/jobs/b96d47c1-e03b-4dad-bc97-123945866ebe?index=3" TargetMode="External"/><Relationship Id="rId110" Type="http://schemas.openxmlformats.org/officeDocument/2006/relationships/hyperlink" Target="https://alpha.midjourney.com/jobs/5af4932e-1176-4e5d-a15a-6e1142f73928?index=2" TargetMode="External"/><Relationship Id="rId231" Type="http://schemas.openxmlformats.org/officeDocument/2006/relationships/hyperlink" Target="https://alpha.midjourney.com/jobs/54eedfaf-453e-4a49-bd5b-d4012761a293?index=1" TargetMode="External"/><Relationship Id="rId352" Type="http://schemas.openxmlformats.org/officeDocument/2006/relationships/hyperlink" Target="https://alpha.midjourney.com/jobs/16ee0dc4-08e6-49e0-be6c-5041c7b5d4f9?index=1" TargetMode="External"/><Relationship Id="rId473" Type="http://schemas.openxmlformats.org/officeDocument/2006/relationships/hyperlink" Target="https://alpha.midjourney.com/jobs/284a6f4c-c46f-4a01-9341-585d947f44bd?index=1" TargetMode="External"/><Relationship Id="rId594" Type="http://schemas.openxmlformats.org/officeDocument/2006/relationships/hyperlink" Target="https://alpha.midjourney.com/jobs/210e4748-4c39-4d6d-84d6-16b05dcaab37?index=1" TargetMode="External"/><Relationship Id="rId230" Type="http://schemas.openxmlformats.org/officeDocument/2006/relationships/hyperlink" Target="https://alpha.midjourney.com/jobs/9b90030e-860f-496a-a734-a45969d1b0dd?index=1" TargetMode="External"/><Relationship Id="rId351" Type="http://schemas.openxmlformats.org/officeDocument/2006/relationships/hyperlink" Target="https://alpha.midjourney.com/jobs/22f743bd-9c45-49eb-bcae-584391aba2aa?index=1" TargetMode="External"/><Relationship Id="rId472" Type="http://schemas.openxmlformats.org/officeDocument/2006/relationships/hyperlink" Target="https://alpha.midjourney.com/jobs/b950d7fe-0373-44bc-876b-60878bbaa0ab?index=1" TargetMode="External"/><Relationship Id="rId593" Type="http://schemas.openxmlformats.org/officeDocument/2006/relationships/hyperlink" Target="https://alpha.midjourney.com/jobs/1ee1739c-f460-4f92-977f-b926ed62b9c9?index=2" TargetMode="External"/><Relationship Id="rId350" Type="http://schemas.openxmlformats.org/officeDocument/2006/relationships/hyperlink" Target="https://alpha.midjourney.com/jobs/dabe2c88-7609-4d23-9be4-b6d03f5043ec?index=2" TargetMode="External"/><Relationship Id="rId471" Type="http://schemas.openxmlformats.org/officeDocument/2006/relationships/hyperlink" Target="https://alpha.midjourney.com/jobs/460856be-5a5a-4e01-880f-a9cc4ae12568?index=3" TargetMode="External"/><Relationship Id="rId592" Type="http://schemas.openxmlformats.org/officeDocument/2006/relationships/hyperlink" Target="https://alpha.midjourney.com/jobs/bb65025a-3646-4b47-89da-e109c9da39f9?index=2" TargetMode="External"/><Relationship Id="rId470" Type="http://schemas.openxmlformats.org/officeDocument/2006/relationships/hyperlink" Target="https://alpha.midjourney.com/jobs/49574fbd-fd5a-42b4-ba67-f1956f3a5a0d?index=1" TargetMode="External"/><Relationship Id="rId591" Type="http://schemas.openxmlformats.org/officeDocument/2006/relationships/hyperlink" Target="https://alpha.midjourney.com/jobs/26cf6a40-ae53-40b8-b6e8-cf911b9a91a6?index=3" TargetMode="External"/><Relationship Id="rId114" Type="http://schemas.openxmlformats.org/officeDocument/2006/relationships/hyperlink" Target="https://alpha.midjourney.com/jobs/a0c2bdad-9975-4339-8646-d109edd1ea08?index=0" TargetMode="External"/><Relationship Id="rId235" Type="http://schemas.openxmlformats.org/officeDocument/2006/relationships/hyperlink" Target="https://alpha.midjourney.com/jobs/792d59ef-82cf-4773-9eb4-65105c9208ec?index=2" TargetMode="External"/><Relationship Id="rId356" Type="http://schemas.openxmlformats.org/officeDocument/2006/relationships/hyperlink" Target="https://alpha.midjourney.com/jobs/670cd204-5704-4f12-9125-5eb354177f5f?index=2" TargetMode="External"/><Relationship Id="rId477" Type="http://schemas.openxmlformats.org/officeDocument/2006/relationships/hyperlink" Target="https://alpha.midjourney.com/jobs/fdf1b8f9-ccc0-4aaa-8191-4fab233512d4?index=0" TargetMode="External"/><Relationship Id="rId598" Type="http://schemas.openxmlformats.org/officeDocument/2006/relationships/hyperlink" Target="https://alpha.midjourney.com/jobs/e9cfddb2-74e8-4821-93ef-db5a57e9c0e6?index=1" TargetMode="External"/><Relationship Id="rId113" Type="http://schemas.openxmlformats.org/officeDocument/2006/relationships/hyperlink" Target="https://alpha.midjourney.com/jobs/05e7dc87-7c7f-400d-b1d6-3bce616d0bfb?index=0" TargetMode="External"/><Relationship Id="rId234" Type="http://schemas.openxmlformats.org/officeDocument/2006/relationships/hyperlink" Target="https://alpha.midjourney.com/jobs/e4901e8f-dc64-4a32-8b4e-4db18f9edb34?index=2" TargetMode="External"/><Relationship Id="rId355" Type="http://schemas.openxmlformats.org/officeDocument/2006/relationships/hyperlink" Target="https://alpha.midjourney.com/jobs/710d0cf8-ce38-4aa4-b3f2-876f350c95e5?index=1" TargetMode="External"/><Relationship Id="rId476" Type="http://schemas.openxmlformats.org/officeDocument/2006/relationships/hyperlink" Target="https://alpha.midjourney.com/jobs/8d1657bf-8d7f-4836-b474-5c1cff1916c0?index=2" TargetMode="External"/><Relationship Id="rId597" Type="http://schemas.openxmlformats.org/officeDocument/2006/relationships/hyperlink" Target="https://alpha.midjourney.com/jobs/a407a34c-2a7a-47d2-858a-c385875cdc0c?index=0" TargetMode="External"/><Relationship Id="rId112" Type="http://schemas.openxmlformats.org/officeDocument/2006/relationships/hyperlink" Target="https://alpha.midjourney.com/jobs/a530c54d-e253-4627-adf2-00999c92b877?index=1" TargetMode="External"/><Relationship Id="rId233" Type="http://schemas.openxmlformats.org/officeDocument/2006/relationships/hyperlink" Target="https://alpha.midjourney.com/jobs/12dd80f9-bb06-4d38-91d8-e146559471c0?index=0" TargetMode="External"/><Relationship Id="rId354" Type="http://schemas.openxmlformats.org/officeDocument/2006/relationships/hyperlink" Target="https://alpha.midjourney.com/jobs/13f74e45-15bf-4673-a15e-3672c00526da?index=2" TargetMode="External"/><Relationship Id="rId475" Type="http://schemas.openxmlformats.org/officeDocument/2006/relationships/hyperlink" Target="https://alpha.midjourney.com/jobs/1c7bdaca-4cf8-4915-ae8e-aacfc7c209d2?index=3" TargetMode="External"/><Relationship Id="rId596" Type="http://schemas.openxmlformats.org/officeDocument/2006/relationships/hyperlink" Target="https://alpha.midjourney.com/jobs/c6c2204f-73dc-4f96-bf79-85232ef0cb07?index=0" TargetMode="External"/><Relationship Id="rId111" Type="http://schemas.openxmlformats.org/officeDocument/2006/relationships/hyperlink" Target="https://alpha.midjourney.com/jobs/e6e0a2be-8317-493d-9a2a-cb227f34a270?index=0" TargetMode="External"/><Relationship Id="rId232" Type="http://schemas.openxmlformats.org/officeDocument/2006/relationships/hyperlink" Target="https://alpha.midjourney.com/jobs/6e8217f3-8ac2-45b0-8dc4-ef5352b479ea?index=2" TargetMode="External"/><Relationship Id="rId353" Type="http://schemas.openxmlformats.org/officeDocument/2006/relationships/hyperlink" Target="https://alpha.midjourney.com/jobs/b3f1d5b4-d271-4bb7-9615-dec247ec2937?index=0" TargetMode="External"/><Relationship Id="rId474" Type="http://schemas.openxmlformats.org/officeDocument/2006/relationships/hyperlink" Target="https://alpha.midjourney.com/jobs/cb3ef15b-833e-4f93-9735-f5e82d3fc66a?index=0" TargetMode="External"/><Relationship Id="rId595" Type="http://schemas.openxmlformats.org/officeDocument/2006/relationships/hyperlink" Target="https://alpha.midjourney.com/jobs/4865252e-62d3-4d61-a1ff-9e163d348e13?index=2" TargetMode="External"/><Relationship Id="rId305" Type="http://schemas.openxmlformats.org/officeDocument/2006/relationships/hyperlink" Target="https://alpha.midjourney.com/jobs/90b1ef17-1840-43a4-a96b-9d42245755e5?index=2" TargetMode="External"/><Relationship Id="rId426" Type="http://schemas.openxmlformats.org/officeDocument/2006/relationships/hyperlink" Target="https://alpha.midjourney.com/jobs/16b422f4-9fd2-4bb1-9674-585e0409a383?index=3" TargetMode="External"/><Relationship Id="rId547" Type="http://schemas.openxmlformats.org/officeDocument/2006/relationships/hyperlink" Target="https://alpha.midjourney.com/jobs/22a8f992-981f-46f6-9814-6acd4fd78883?index=2" TargetMode="External"/><Relationship Id="rId304" Type="http://schemas.openxmlformats.org/officeDocument/2006/relationships/hyperlink" Target="https://alpha.midjourney.com/jobs/edfa0ecc-62fe-4e23-8bad-51f3f37c3e52?index=0" TargetMode="External"/><Relationship Id="rId425" Type="http://schemas.openxmlformats.org/officeDocument/2006/relationships/hyperlink" Target="https://alpha.midjourney.com/jobs/4623ba22-8900-4ec0-baf7-811a3eacf3be?index=1" TargetMode="External"/><Relationship Id="rId546" Type="http://schemas.openxmlformats.org/officeDocument/2006/relationships/hyperlink" Target="https://alpha.midjourney.com/jobs/5bd0ca22-a83a-414a-9139-c2092a485671?index=1" TargetMode="External"/><Relationship Id="rId303" Type="http://schemas.openxmlformats.org/officeDocument/2006/relationships/hyperlink" Target="https://alpha.midjourney.com/jobs/64365801-a467-48b5-80fe-b2e14b46c622?index=3" TargetMode="External"/><Relationship Id="rId424" Type="http://schemas.openxmlformats.org/officeDocument/2006/relationships/hyperlink" Target="https://alpha.midjourney.com/jobs/16ae4b70-d224-42db-b6b6-ecf2124ed295?index=0" TargetMode="External"/><Relationship Id="rId545" Type="http://schemas.openxmlformats.org/officeDocument/2006/relationships/hyperlink" Target="https://alpha.midjourney.com/jobs/c6991389-b3bd-41f0-94f8-3a128fa5ced1?index=3" TargetMode="External"/><Relationship Id="rId302" Type="http://schemas.openxmlformats.org/officeDocument/2006/relationships/hyperlink" Target="https://alpha.midjourney.com/jobs/a18746cf-975e-483a-9c0c-94c134cf6af2?index=1" TargetMode="External"/><Relationship Id="rId423" Type="http://schemas.openxmlformats.org/officeDocument/2006/relationships/hyperlink" Target="https://alpha.midjourney.com/jobs/c0cf7df8-c1a5-454a-bfd0-19b8243d58cc?index=1" TargetMode="External"/><Relationship Id="rId544" Type="http://schemas.openxmlformats.org/officeDocument/2006/relationships/hyperlink" Target="https://alpha.midjourney.com/jobs/2ba47d27-dbef-49be-8e14-890b895409a3?index=2" TargetMode="External"/><Relationship Id="rId309" Type="http://schemas.openxmlformats.org/officeDocument/2006/relationships/hyperlink" Target="https://alpha.midjourney.com/jobs/fcedc117-8f07-44fd-9b27-38403dc905eb?index=2" TargetMode="External"/><Relationship Id="rId308" Type="http://schemas.openxmlformats.org/officeDocument/2006/relationships/hyperlink" Target="https://alpha.midjourney.com/jobs/ebc002b1-7bb9-479e-a1ce-ea1c8ddf987b?index=1" TargetMode="External"/><Relationship Id="rId429" Type="http://schemas.openxmlformats.org/officeDocument/2006/relationships/hyperlink" Target="https://alpha.midjourney.com/jobs/993d4901-e479-4c23-8e37-374cc886632f?index=0" TargetMode="External"/><Relationship Id="rId307" Type="http://schemas.openxmlformats.org/officeDocument/2006/relationships/hyperlink" Target="https://alpha.midjourney.com/jobs/0c3b1178-de16-46bc-a164-f1739f41cd16?index=0" TargetMode="External"/><Relationship Id="rId428" Type="http://schemas.openxmlformats.org/officeDocument/2006/relationships/hyperlink" Target="https://alpha.midjourney.com/jobs/dce6223e-4d4d-4a94-b8ed-94d249a1b876?index=2" TargetMode="External"/><Relationship Id="rId549" Type="http://schemas.openxmlformats.org/officeDocument/2006/relationships/hyperlink" Target="https://alpha.midjourney.com/jobs/a40c6919-d2e2-4cdd-a1de-4ce6a532def9?index=3" TargetMode="External"/><Relationship Id="rId306" Type="http://schemas.openxmlformats.org/officeDocument/2006/relationships/hyperlink" Target="https://alpha.midjourney.com/jobs/4529965a-161b-46fc-84ef-11b6aa6505c0?index=1" TargetMode="External"/><Relationship Id="rId427" Type="http://schemas.openxmlformats.org/officeDocument/2006/relationships/hyperlink" Target="https://alpha.midjourney.com/jobs/ce917096-e668-418b-8741-693ddbec1b5e?index=3" TargetMode="External"/><Relationship Id="rId548" Type="http://schemas.openxmlformats.org/officeDocument/2006/relationships/hyperlink" Target="https://alpha.midjourney.com/jobs/e9ced58e-d729-4c3b-b959-01736c8f312f?index=1" TargetMode="External"/><Relationship Id="rId301" Type="http://schemas.openxmlformats.org/officeDocument/2006/relationships/hyperlink" Target="https://alpha.midjourney.com/jobs/a18746cf-975e-483a-9c0c-94c134cf6af2?index=3" TargetMode="External"/><Relationship Id="rId422" Type="http://schemas.openxmlformats.org/officeDocument/2006/relationships/hyperlink" Target="https://alpha.midjourney.com/jobs/01a4f043-f235-41b9-8d46-7b35d6f18030?index=2" TargetMode="External"/><Relationship Id="rId543" Type="http://schemas.openxmlformats.org/officeDocument/2006/relationships/hyperlink" Target="https://alpha.midjourney.com/jobs/cbeba22e-057c-463e-8a6c-d84fec4e4147?index=0" TargetMode="External"/><Relationship Id="rId300" Type="http://schemas.openxmlformats.org/officeDocument/2006/relationships/hyperlink" Target="https://alpha.midjourney.com/jobs/ce13cd47-a205-4d28-96b0-bdf906fae89f?index=0" TargetMode="External"/><Relationship Id="rId421" Type="http://schemas.openxmlformats.org/officeDocument/2006/relationships/hyperlink" Target="https://alpha.midjourney.com/jobs/aad8229e-1d42-48dd-8179-36ff489b78e3?index=2" TargetMode="External"/><Relationship Id="rId542" Type="http://schemas.openxmlformats.org/officeDocument/2006/relationships/hyperlink" Target="https://alpha.midjourney.com/jobs/b1d61053-bd99-4609-9c8c-ba7d1af8873a?index=2" TargetMode="External"/><Relationship Id="rId420" Type="http://schemas.openxmlformats.org/officeDocument/2006/relationships/hyperlink" Target="https://alpha.midjourney.com/jobs/1147f4d1-0ebc-4af6-a726-d02c68d60b73?index=2" TargetMode="External"/><Relationship Id="rId541" Type="http://schemas.openxmlformats.org/officeDocument/2006/relationships/hyperlink" Target="https://alpha.midjourney.com/jobs/939e6242-52c0-48ac-b399-3e52fec2a04a?index=0" TargetMode="External"/><Relationship Id="rId540" Type="http://schemas.openxmlformats.org/officeDocument/2006/relationships/hyperlink" Target="https://alpha.midjourney.com/jobs/9782e556-bad6-4ad2-9833-8d831131a5eb?index=1" TargetMode="External"/><Relationship Id="rId415" Type="http://schemas.openxmlformats.org/officeDocument/2006/relationships/hyperlink" Target="https://alpha.midjourney.com/jobs/89be5e2a-6702-40e7-bb2c-87dce748f051?index=0" TargetMode="External"/><Relationship Id="rId536" Type="http://schemas.openxmlformats.org/officeDocument/2006/relationships/hyperlink" Target="https://alpha.midjourney.com/jobs/beade48b-dfc3-4b0d-a7b3-e813a507b363?index=0" TargetMode="External"/><Relationship Id="rId414" Type="http://schemas.openxmlformats.org/officeDocument/2006/relationships/hyperlink" Target="https://alpha.midjourney.com/jobs/5346acfb-9c48-4258-a97e-45266d64b6d2?index=3" TargetMode="External"/><Relationship Id="rId535" Type="http://schemas.openxmlformats.org/officeDocument/2006/relationships/hyperlink" Target="https://alpha.midjourney.com/jobs/e6884d89-a8ec-43ec-85a8-dcc30ca69669?index=3" TargetMode="External"/><Relationship Id="rId413" Type="http://schemas.openxmlformats.org/officeDocument/2006/relationships/hyperlink" Target="https://alpha.midjourney.com/jobs/cb5ae9cc-bb0c-4b23-93f2-9aba3eead611?index=0" TargetMode="External"/><Relationship Id="rId534" Type="http://schemas.openxmlformats.org/officeDocument/2006/relationships/hyperlink" Target="https://alpha.midjourney.com/jobs/d8f42a0c-63c6-40cf-9275-6ffc2157f99f?index=1" TargetMode="External"/><Relationship Id="rId412" Type="http://schemas.openxmlformats.org/officeDocument/2006/relationships/hyperlink" Target="https://alpha.midjourney.com/jobs/36f45aba-7dd3-4234-a291-4a6bd6317f10?index=0" TargetMode="External"/><Relationship Id="rId533" Type="http://schemas.openxmlformats.org/officeDocument/2006/relationships/hyperlink" Target="https://alpha.midjourney.com/jobs/1ba85f4c-e36a-405c-84dd-450c9b836a2a?index=0" TargetMode="External"/><Relationship Id="rId419" Type="http://schemas.openxmlformats.org/officeDocument/2006/relationships/hyperlink" Target="https://alpha.midjourney.com/jobs/1147f4d1-0ebc-4af6-a726-d02c68d60b73?index=0" TargetMode="External"/><Relationship Id="rId418" Type="http://schemas.openxmlformats.org/officeDocument/2006/relationships/hyperlink" Target="https://alpha.midjourney.com/jobs/b817370e-a391-4a6b-9688-f381c88b69b0?index=2" TargetMode="External"/><Relationship Id="rId539" Type="http://schemas.openxmlformats.org/officeDocument/2006/relationships/hyperlink" Target="https://alpha.midjourney.com/jobs/5c6c381c-6392-4f21-a9e1-c5126a4d283d?index=2" TargetMode="External"/><Relationship Id="rId417" Type="http://schemas.openxmlformats.org/officeDocument/2006/relationships/hyperlink" Target="https://alpha.midjourney.com/jobs/237069bf-4281-4ab7-875e-331a4121cc5c?index=2" TargetMode="External"/><Relationship Id="rId538" Type="http://schemas.openxmlformats.org/officeDocument/2006/relationships/hyperlink" Target="https://alpha.midjourney.com/jobs/3a69abc9-4dbb-4de3-8916-1f75f4991dac?index=3" TargetMode="External"/><Relationship Id="rId416" Type="http://schemas.openxmlformats.org/officeDocument/2006/relationships/hyperlink" Target="https://alpha.midjourney.com/jobs/ade40824-39ca-4001-a6f9-b17abaa7f8c9?index=2" TargetMode="External"/><Relationship Id="rId537" Type="http://schemas.openxmlformats.org/officeDocument/2006/relationships/hyperlink" Target="https://alpha.midjourney.com/jobs/aff786fd-7fc1-4a2d-9343-59060d86249f?index=0" TargetMode="External"/><Relationship Id="rId411" Type="http://schemas.openxmlformats.org/officeDocument/2006/relationships/hyperlink" Target="https://alpha.midjourney.com/jobs/36f45aba-7dd3-4234-a291-4a6bd6317f10?index=2" TargetMode="External"/><Relationship Id="rId532" Type="http://schemas.openxmlformats.org/officeDocument/2006/relationships/hyperlink" Target="https://alpha.midjourney.com/jobs/8cc237fc-a571-4903-b553-94f9efeddb14?index=2" TargetMode="External"/><Relationship Id="rId410" Type="http://schemas.openxmlformats.org/officeDocument/2006/relationships/hyperlink" Target="https://alpha.midjourney.com/jobs/da05031f-b161-4dbf-82ed-34f56ec60f8b?index=0" TargetMode="External"/><Relationship Id="rId531" Type="http://schemas.openxmlformats.org/officeDocument/2006/relationships/hyperlink" Target="https://alpha.midjourney.com/jobs/8cc237fc-a571-4903-b553-94f9efeddb14?index=1" TargetMode="External"/><Relationship Id="rId530" Type="http://schemas.openxmlformats.org/officeDocument/2006/relationships/hyperlink" Target="https://alpha.midjourney.com/jobs/7de8364c-0f5a-4d7b-b841-1f453c148129?index=0" TargetMode="External"/><Relationship Id="rId206" Type="http://schemas.openxmlformats.org/officeDocument/2006/relationships/hyperlink" Target="https://alpha.midjourney.com/jobs/2245d2f9-6faa-4d4c-9ddb-94e018ca54af?index=2" TargetMode="External"/><Relationship Id="rId327" Type="http://schemas.openxmlformats.org/officeDocument/2006/relationships/hyperlink" Target="https://alpha.midjourney.com/jobs/5b8a0ee5-409e-4609-8aba-0c49858830f9?index=0" TargetMode="External"/><Relationship Id="rId448" Type="http://schemas.openxmlformats.org/officeDocument/2006/relationships/hyperlink" Target="https://alpha.midjourney.com/jobs/0e38f1ce-471e-455b-890a-7a46d67a8c3c?index=3" TargetMode="External"/><Relationship Id="rId569" Type="http://schemas.openxmlformats.org/officeDocument/2006/relationships/hyperlink" Target="https://alpha.midjourney.com/jobs/6aaaa00b-e42b-42c5-ba0e-45f3ec7aae7e?index=2" TargetMode="External"/><Relationship Id="rId205" Type="http://schemas.openxmlformats.org/officeDocument/2006/relationships/hyperlink" Target="https://alpha.midjourney.com/jobs/2245d2f9-6faa-4d4c-9ddb-94e018ca54af?index=0" TargetMode="External"/><Relationship Id="rId326" Type="http://schemas.openxmlformats.org/officeDocument/2006/relationships/hyperlink" Target="https://alpha.midjourney.com/jobs/5b8a0ee5-409e-4609-8aba-0c49858830f9?index=3" TargetMode="External"/><Relationship Id="rId447" Type="http://schemas.openxmlformats.org/officeDocument/2006/relationships/hyperlink" Target="https://alpha.midjourney.com/jobs/cb5a0d7d-cfdf-4743-8f88-5b4c20641ec8?index=0" TargetMode="External"/><Relationship Id="rId568" Type="http://schemas.openxmlformats.org/officeDocument/2006/relationships/hyperlink" Target="https://alpha.midjourney.com/jobs/6449d263-572c-48fd-abea-49b336ed533e?index=0" TargetMode="External"/><Relationship Id="rId204" Type="http://schemas.openxmlformats.org/officeDocument/2006/relationships/hyperlink" Target="https://alpha.midjourney.com/jobs/f076bedf-28b1-43a4-bdf8-5e57ad378122?index=3" TargetMode="External"/><Relationship Id="rId325" Type="http://schemas.openxmlformats.org/officeDocument/2006/relationships/hyperlink" Target="https://alpha.midjourney.com/jobs/affa39b4-9e17-48c4-8895-78b1f433b9f7?index=0" TargetMode="External"/><Relationship Id="rId446" Type="http://schemas.openxmlformats.org/officeDocument/2006/relationships/hyperlink" Target="https://alpha.midjourney.com/jobs/d0513e19-1ac0-4d65-b7d1-c084eaa39eb1?index=1" TargetMode="External"/><Relationship Id="rId567" Type="http://schemas.openxmlformats.org/officeDocument/2006/relationships/hyperlink" Target="https://alpha.midjourney.com/jobs/80b0da3a-75e9-4521-9a8a-d80a02376aef?index=3" TargetMode="External"/><Relationship Id="rId203" Type="http://schemas.openxmlformats.org/officeDocument/2006/relationships/hyperlink" Target="https://alpha.midjourney.com/jobs/33065fbd-b99a-477c-aeda-1e82ea951a22?index=3" TargetMode="External"/><Relationship Id="rId324" Type="http://schemas.openxmlformats.org/officeDocument/2006/relationships/hyperlink" Target="https://alpha.midjourney.com/jobs/7f5227db-8efa-4198-aad8-a7303c4834f9?index=0" TargetMode="External"/><Relationship Id="rId445" Type="http://schemas.openxmlformats.org/officeDocument/2006/relationships/hyperlink" Target="https://alpha.midjourney.com/jobs/1611e437-755b-410f-b205-ccef721ff7ae?index=2" TargetMode="External"/><Relationship Id="rId566" Type="http://schemas.openxmlformats.org/officeDocument/2006/relationships/hyperlink" Target="https://alpha.midjourney.com/jobs/aee22cf0-e1c9-45a5-a846-dba786d16a8c?index=2" TargetMode="External"/><Relationship Id="rId209" Type="http://schemas.openxmlformats.org/officeDocument/2006/relationships/hyperlink" Target="https://alpha.midjourney.com/jobs/ae00d456-a481-4034-a8c2-fdb97fffe7f6?index=1" TargetMode="External"/><Relationship Id="rId208" Type="http://schemas.openxmlformats.org/officeDocument/2006/relationships/hyperlink" Target="https://alpha.midjourney.com/jobs/8c7e4ea8-e35f-4309-86b6-e6a9f1efaecb?index=2" TargetMode="External"/><Relationship Id="rId329" Type="http://schemas.openxmlformats.org/officeDocument/2006/relationships/hyperlink" Target="https://alpha.midjourney.com/jobs/658a4dd0-bf6d-47e7-86d8-52ee52a8f214?index=2" TargetMode="External"/><Relationship Id="rId207" Type="http://schemas.openxmlformats.org/officeDocument/2006/relationships/hyperlink" Target="https://alpha.midjourney.com/jobs/8c7e4ea8-e35f-4309-86b6-e6a9f1efaecb?index=1" TargetMode="External"/><Relationship Id="rId328" Type="http://schemas.openxmlformats.org/officeDocument/2006/relationships/hyperlink" Target="https://alpha.midjourney.com/jobs/436c6169-6856-4831-9b5e-36c538fafa7c?index=3" TargetMode="External"/><Relationship Id="rId449" Type="http://schemas.openxmlformats.org/officeDocument/2006/relationships/hyperlink" Target="https://alpha.midjourney.com/jobs/651c5e10-daa8-4734-8d9e-45e6e71afe5e?index=3" TargetMode="External"/><Relationship Id="rId440" Type="http://schemas.openxmlformats.org/officeDocument/2006/relationships/hyperlink" Target="https://alpha.midjourney.com/jobs/721910bd-16ac-4a72-aa68-a72421d90c86?index=1" TargetMode="External"/><Relationship Id="rId561" Type="http://schemas.openxmlformats.org/officeDocument/2006/relationships/hyperlink" Target="https://alpha.midjourney.com/jobs/b1a05e1b-d3e7-4c3b-8a21-e208cfcab472?index=0" TargetMode="External"/><Relationship Id="rId560" Type="http://schemas.openxmlformats.org/officeDocument/2006/relationships/hyperlink" Target="https://alpha.midjourney.com/jobs/d04ef1e9-013f-4c58-8d1d-7d6410f55644?index=3" TargetMode="External"/><Relationship Id="rId202" Type="http://schemas.openxmlformats.org/officeDocument/2006/relationships/hyperlink" Target="https://alpha.midjourney.com/jobs/59d1a1e1-529a-4cc6-b261-fdc197b29a2b?index=1" TargetMode="External"/><Relationship Id="rId323" Type="http://schemas.openxmlformats.org/officeDocument/2006/relationships/hyperlink" Target="https://alpha.midjourney.com/jobs/ded5b3c8-a989-40e4-8be3-5ac67cf41736?index=0" TargetMode="External"/><Relationship Id="rId444" Type="http://schemas.openxmlformats.org/officeDocument/2006/relationships/hyperlink" Target="https://alpha.midjourney.com/jobs/1611e437-755b-410f-b205-ccef721ff7ae?index=1" TargetMode="External"/><Relationship Id="rId565" Type="http://schemas.openxmlformats.org/officeDocument/2006/relationships/hyperlink" Target="https://alpha.midjourney.com/jobs/ca45b97d-ac28-459d-8fb9-5efff2a635e4?index=1" TargetMode="External"/><Relationship Id="rId201" Type="http://schemas.openxmlformats.org/officeDocument/2006/relationships/hyperlink" Target="https://alpha.midjourney.com/jobs/1be84c96-df08-4398-88f9-09e5ad8ff402?index=2" TargetMode="External"/><Relationship Id="rId322" Type="http://schemas.openxmlformats.org/officeDocument/2006/relationships/hyperlink" Target="https://alpha.midjourney.com/jobs/fe6e9b6c-1cca-4a3d-b1ff-7bb7fd6ebc36?index=0" TargetMode="External"/><Relationship Id="rId443" Type="http://schemas.openxmlformats.org/officeDocument/2006/relationships/hyperlink" Target="https://alpha.midjourney.com/jobs/9837fc27-5358-46a5-b2d5-4b2eccd5199c?index=0" TargetMode="External"/><Relationship Id="rId564" Type="http://schemas.openxmlformats.org/officeDocument/2006/relationships/hyperlink" Target="https://alpha.midjourney.com/jobs/ca45b97d-ac28-459d-8fb9-5efff2a635e4?index=0" TargetMode="External"/><Relationship Id="rId200" Type="http://schemas.openxmlformats.org/officeDocument/2006/relationships/hyperlink" Target="https://alpha.midjourney.com/jobs/f6913507-2389-4765-a6a4-189bde5ce495?index=2" TargetMode="External"/><Relationship Id="rId321" Type="http://schemas.openxmlformats.org/officeDocument/2006/relationships/hyperlink" Target="https://alpha.midjourney.com/jobs/7f7e7244-f70d-4340-bc00-db8ba5869d51?index=0" TargetMode="External"/><Relationship Id="rId442" Type="http://schemas.openxmlformats.org/officeDocument/2006/relationships/hyperlink" Target="https://alpha.midjourney.com/jobs/672168db-d4c7-464a-9a08-3f0b7300f117?index=0" TargetMode="External"/><Relationship Id="rId563" Type="http://schemas.openxmlformats.org/officeDocument/2006/relationships/hyperlink" Target="https://alpha.midjourney.com/jobs/f708086f-145d-4ad0-9476-e5c3de78f661?index=3" TargetMode="External"/><Relationship Id="rId320" Type="http://schemas.openxmlformats.org/officeDocument/2006/relationships/hyperlink" Target="https://alpha.midjourney.com/jobs/e641b986-4bf2-46ee-bff1-f15abfe257b6?index=0" TargetMode="External"/><Relationship Id="rId441" Type="http://schemas.openxmlformats.org/officeDocument/2006/relationships/hyperlink" Target="https://alpha.midjourney.com/jobs/e4ab81e9-3fd7-4319-9c94-67577b4742fc?index=1" TargetMode="External"/><Relationship Id="rId562" Type="http://schemas.openxmlformats.org/officeDocument/2006/relationships/hyperlink" Target="https://alpha.midjourney.com/jobs/32c69796-a1fc-4d40-86e1-8b215a05bb23?index=0" TargetMode="External"/><Relationship Id="rId316" Type="http://schemas.openxmlformats.org/officeDocument/2006/relationships/hyperlink" Target="https://alpha.midjourney.com/jobs/7daae98b-96af-490a-abb0-c40d53d449c6?index=1" TargetMode="External"/><Relationship Id="rId437" Type="http://schemas.openxmlformats.org/officeDocument/2006/relationships/hyperlink" Target="https://alpha.midjourney.com/jobs/57f88d60-31a2-4dbc-a2ac-7dd5f12faad2?index=1" TargetMode="External"/><Relationship Id="rId558" Type="http://schemas.openxmlformats.org/officeDocument/2006/relationships/hyperlink" Target="https://alpha.midjourney.com/jobs/834cdaa2-b2f5-4156-998e-506a5ca68984?index=2" TargetMode="External"/><Relationship Id="rId315" Type="http://schemas.openxmlformats.org/officeDocument/2006/relationships/hyperlink" Target="https://alpha.midjourney.com/jobs/ff085a28-2be3-400f-b0aa-dfbaad7ad260?index=3" TargetMode="External"/><Relationship Id="rId436" Type="http://schemas.openxmlformats.org/officeDocument/2006/relationships/hyperlink" Target="https://alpha.midjourney.com/jobs/de56e6d6-8aad-4bd2-87f9-f0c5f1ec9d8d?index=0" TargetMode="External"/><Relationship Id="rId557" Type="http://schemas.openxmlformats.org/officeDocument/2006/relationships/hyperlink" Target="https://alpha.midjourney.com/jobs/d75ae876-16de-4a4f-80fb-098c3204e2e3?index=2" TargetMode="External"/><Relationship Id="rId314" Type="http://schemas.openxmlformats.org/officeDocument/2006/relationships/hyperlink" Target="https://alpha.midjourney.com/jobs/21aae87c-bcf0-4967-94c8-66c12bd2dd5f?index=2" TargetMode="External"/><Relationship Id="rId435" Type="http://schemas.openxmlformats.org/officeDocument/2006/relationships/hyperlink" Target="https://alpha.midjourney.com/jobs/21d93227-da2e-4a58-8af8-8d84f202d465?index=1" TargetMode="External"/><Relationship Id="rId556" Type="http://schemas.openxmlformats.org/officeDocument/2006/relationships/hyperlink" Target="https://alpha.midjourney.com/jobs/d5d7a3d8-bc57-4d5e-9030-e092ef28934d?index=1" TargetMode="External"/><Relationship Id="rId313" Type="http://schemas.openxmlformats.org/officeDocument/2006/relationships/hyperlink" Target="https://alpha.midjourney.com/jobs/9abdcae0-7389-454b-bde3-fb534aec9fa4?index=1" TargetMode="External"/><Relationship Id="rId434" Type="http://schemas.openxmlformats.org/officeDocument/2006/relationships/hyperlink" Target="https://alpha.midjourney.com/jobs/66f83bd6-353d-4924-b469-c22fdaf65162?index=2" TargetMode="External"/><Relationship Id="rId555" Type="http://schemas.openxmlformats.org/officeDocument/2006/relationships/hyperlink" Target="https://alpha.midjourney.com/jobs/1b7457f5-ab2d-4751-b1f3-3957be5a28c2?index=2" TargetMode="External"/><Relationship Id="rId319" Type="http://schemas.openxmlformats.org/officeDocument/2006/relationships/hyperlink" Target="https://alpha.midjourney.com/jobs/081fdde2-8231-41d5-aa5c-be3ff2f37b5d?index=2" TargetMode="External"/><Relationship Id="rId318" Type="http://schemas.openxmlformats.org/officeDocument/2006/relationships/hyperlink" Target="https://alpha.midjourney.com/jobs/78be4041-6983-4fec-ac2f-158748bc0f07?index=1" TargetMode="External"/><Relationship Id="rId439" Type="http://schemas.openxmlformats.org/officeDocument/2006/relationships/hyperlink" Target="https://alpha.midjourney.com/jobs/59597b80-8b3f-4d4b-806c-dcf5365bda0f?index=2" TargetMode="External"/><Relationship Id="rId317" Type="http://schemas.openxmlformats.org/officeDocument/2006/relationships/hyperlink" Target="https://alpha.midjourney.com/jobs/7dd032d6-0ed5-4d3f-926c-322526d5acea?index=3" TargetMode="External"/><Relationship Id="rId438" Type="http://schemas.openxmlformats.org/officeDocument/2006/relationships/hyperlink" Target="https://alpha.midjourney.com/jobs/2148c090-768e-48c9-837a-fed7af76f1c3?index=1" TargetMode="External"/><Relationship Id="rId559" Type="http://schemas.openxmlformats.org/officeDocument/2006/relationships/hyperlink" Target="https://alpha.midjourney.com/jobs/104896b4-1644-44c0-97cb-a115a5a27f3b?index=0" TargetMode="External"/><Relationship Id="rId550" Type="http://schemas.openxmlformats.org/officeDocument/2006/relationships/hyperlink" Target="https://alpha.midjourney.com/jobs/9d1c0ad9-d7ac-48b5-8887-39cdbcde27cd?index=2" TargetMode="External"/><Relationship Id="rId312" Type="http://schemas.openxmlformats.org/officeDocument/2006/relationships/hyperlink" Target="https://alpha.midjourney.com/jobs/54179720-6bdf-4c71-8029-954ac967324e?index=2" TargetMode="External"/><Relationship Id="rId433" Type="http://schemas.openxmlformats.org/officeDocument/2006/relationships/hyperlink" Target="https://alpha.midjourney.com/jobs/64fe4f62-cd24-4b28-8008-3a9184077878?index=1" TargetMode="External"/><Relationship Id="rId554" Type="http://schemas.openxmlformats.org/officeDocument/2006/relationships/hyperlink" Target="https://alpha.midjourney.com/jobs/2a3b4bb4-107d-4a0e-82e5-32c1dc607528?index=0" TargetMode="External"/><Relationship Id="rId311" Type="http://schemas.openxmlformats.org/officeDocument/2006/relationships/hyperlink" Target="https://alpha.midjourney.com/jobs/61c81789-079d-4284-bc11-8f18bf858e7a?index=0" TargetMode="External"/><Relationship Id="rId432" Type="http://schemas.openxmlformats.org/officeDocument/2006/relationships/hyperlink" Target="https://alpha.midjourney.com/jobs/2d36ed03-9eb8-4873-a6b6-490fa41bd145?index=2" TargetMode="External"/><Relationship Id="rId553" Type="http://schemas.openxmlformats.org/officeDocument/2006/relationships/hyperlink" Target="https://alpha.midjourney.com/jobs/cd0955a7-8a85-43d7-97b8-c639bd21502c?index=3" TargetMode="External"/><Relationship Id="rId310" Type="http://schemas.openxmlformats.org/officeDocument/2006/relationships/hyperlink" Target="https://alpha.midjourney.com/jobs/fcedc117-8f07-44fd-9b27-38403dc905eb?index=1" TargetMode="External"/><Relationship Id="rId431" Type="http://schemas.openxmlformats.org/officeDocument/2006/relationships/hyperlink" Target="https://alpha.midjourney.com/jobs/c6262938-a0bb-4c14-a59f-2cd741aebb5d?index=2" TargetMode="External"/><Relationship Id="rId552" Type="http://schemas.openxmlformats.org/officeDocument/2006/relationships/hyperlink" Target="https://alpha.midjourney.com/jobs/8edd484f-1cb1-4f1f-933e-b6506442c848?index=1" TargetMode="External"/><Relationship Id="rId430" Type="http://schemas.openxmlformats.org/officeDocument/2006/relationships/hyperlink" Target="https://alpha.midjourney.com/jobs/44b8a171-093e-48a9-b7dd-0eb68cf31160?index=0" TargetMode="External"/><Relationship Id="rId551" Type="http://schemas.openxmlformats.org/officeDocument/2006/relationships/hyperlink" Target="https://alpha.midjourney.com/jobs/08e98d57-c82d-41bf-974e-2594723e8387?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row>
    <row r="58">
      <c r="A58" s="16" t="s">
        <v>318</v>
      </c>
      <c r="B58" s="16" t="s">
        <v>21</v>
      </c>
      <c r="C58" s="15">
        <v>1.0</v>
      </c>
      <c r="D58" s="15" t="s">
        <v>319</v>
      </c>
      <c r="E58" s="16" t="s">
        <v>320</v>
      </c>
      <c r="F58" s="33"/>
      <c r="G58" s="15">
        <v>2.0</v>
      </c>
      <c r="H58" s="15" t="s">
        <v>321</v>
      </c>
      <c r="I58" s="15" t="s">
        <v>32</v>
      </c>
    </row>
    <row r="59">
      <c r="A59" s="16" t="s">
        <v>322</v>
      </c>
      <c r="B59" s="36" t="s">
        <v>21</v>
      </c>
      <c r="C59" s="15">
        <v>1.0</v>
      </c>
      <c r="D59" s="15" t="s">
        <v>323</v>
      </c>
      <c r="E59" s="16" t="s">
        <v>324</v>
      </c>
      <c r="F59" s="33"/>
      <c r="G59" s="15">
        <v>3.0</v>
      </c>
      <c r="H59" s="15" t="s">
        <v>53</v>
      </c>
      <c r="I59" s="15" t="s">
        <v>32</v>
      </c>
    </row>
    <row r="60" hidden="1">
      <c r="A60" s="22" t="s">
        <v>325</v>
      </c>
      <c r="B60" s="7" t="s">
        <v>303</v>
      </c>
      <c r="C60" s="9">
        <v>2.0</v>
      </c>
      <c r="D60" s="9" t="s">
        <v>155</v>
      </c>
      <c r="E60" s="7" t="s">
        <v>326</v>
      </c>
      <c r="F60" s="10" t="s">
        <v>327</v>
      </c>
      <c r="G60" s="9">
        <v>3.0</v>
      </c>
      <c r="H60" s="9" t="s">
        <v>328</v>
      </c>
      <c r="I60" s="9" t="s">
        <v>70</v>
      </c>
    </row>
    <row r="61" hidden="1">
      <c r="A61" s="31" t="s">
        <v>329</v>
      </c>
      <c r="B61" s="31" t="s">
        <v>303</v>
      </c>
      <c r="C61" s="37">
        <v>2.0</v>
      </c>
      <c r="D61" s="37" t="s">
        <v>28</v>
      </c>
      <c r="E61" s="31" t="s">
        <v>330</v>
      </c>
      <c r="F61" s="38" t="s">
        <v>331</v>
      </c>
      <c r="G61" s="37">
        <v>3.0</v>
      </c>
      <c r="H61" s="37" t="s">
        <v>328</v>
      </c>
      <c r="I61" s="39" t="s">
        <v>70</v>
      </c>
    </row>
    <row r="62" hidden="1">
      <c r="A62" s="7" t="s">
        <v>332</v>
      </c>
      <c r="B62" s="7" t="s">
        <v>333</v>
      </c>
      <c r="C62" s="9">
        <v>2.0</v>
      </c>
      <c r="D62" s="9" t="s">
        <v>195</v>
      </c>
      <c r="E62" s="7" t="s">
        <v>334</v>
      </c>
      <c r="F62" s="10" t="s">
        <v>335</v>
      </c>
      <c r="G62" s="9">
        <v>3.0</v>
      </c>
      <c r="H62" s="9" t="s">
        <v>336</v>
      </c>
      <c r="I62" s="9" t="s">
        <v>70</v>
      </c>
    </row>
    <row r="63" hidden="1">
      <c r="A63" s="16" t="s">
        <v>337</v>
      </c>
      <c r="B63" s="16" t="s">
        <v>333</v>
      </c>
      <c r="C63" s="15">
        <v>2.0</v>
      </c>
      <c r="D63" s="15" t="s">
        <v>338</v>
      </c>
      <c r="E63" s="16" t="s">
        <v>339</v>
      </c>
      <c r="F63" s="17" t="s">
        <v>340</v>
      </c>
      <c r="G63" s="15">
        <v>6.0</v>
      </c>
      <c r="H63" s="15" t="s">
        <v>341</v>
      </c>
      <c r="I63" s="15" t="s">
        <v>32</v>
      </c>
    </row>
    <row r="64">
      <c r="A64" s="16" t="s">
        <v>342</v>
      </c>
      <c r="B64" s="16" t="s">
        <v>21</v>
      </c>
      <c r="C64" s="15">
        <v>1.0</v>
      </c>
      <c r="D64" s="15" t="s">
        <v>96</v>
      </c>
      <c r="F64" s="33"/>
      <c r="G64" s="16">
        <v>2.0</v>
      </c>
      <c r="H64" s="16" t="s">
        <v>25</v>
      </c>
      <c r="I64" s="9" t="s">
        <v>26</v>
      </c>
    </row>
    <row r="65" hidden="1">
      <c r="A65" s="22" t="s">
        <v>343</v>
      </c>
      <c r="B65" s="7" t="s">
        <v>333</v>
      </c>
      <c r="C65" s="9">
        <v>2.0</v>
      </c>
      <c r="D65" s="9" t="s">
        <v>344</v>
      </c>
      <c r="E65" s="7" t="s">
        <v>345</v>
      </c>
      <c r="F65" s="10" t="s">
        <v>346</v>
      </c>
      <c r="G65" s="9">
        <v>4.0</v>
      </c>
      <c r="H65" s="9" t="s">
        <v>347</v>
      </c>
      <c r="I65" s="9" t="s">
        <v>70</v>
      </c>
    </row>
    <row r="66">
      <c r="A66" s="7" t="s">
        <v>348</v>
      </c>
      <c r="B66" s="7" t="s">
        <v>279</v>
      </c>
      <c r="C66" s="9">
        <v>1.0</v>
      </c>
      <c r="D66" s="9" t="s">
        <v>238</v>
      </c>
      <c r="E66" s="7" t="s">
        <v>349</v>
      </c>
      <c r="F66" s="10" t="s">
        <v>350</v>
      </c>
      <c r="G66" s="9">
        <v>2.0</v>
      </c>
      <c r="H66" s="9" t="s">
        <v>351</v>
      </c>
      <c r="I66" s="9" t="s">
        <v>70</v>
      </c>
      <c r="J66" s="11" t="s">
        <v>352</v>
      </c>
      <c r="K66" s="13" t="s">
        <v>353</v>
      </c>
    </row>
    <row r="67" hidden="1">
      <c r="A67" s="16" t="s">
        <v>354</v>
      </c>
      <c r="B67" s="40" t="s">
        <v>333</v>
      </c>
      <c r="C67" s="15">
        <v>2.0</v>
      </c>
      <c r="D67" s="15" t="s">
        <v>355</v>
      </c>
      <c r="E67" s="16" t="s">
        <v>356</v>
      </c>
      <c r="F67" s="17" t="s">
        <v>24</v>
      </c>
      <c r="G67" s="15">
        <v>5.0</v>
      </c>
      <c r="H67" s="15" t="s">
        <v>357</v>
      </c>
      <c r="I67" s="15" t="s">
        <v>32</v>
      </c>
    </row>
    <row r="68" hidden="1">
      <c r="A68" s="16" t="s">
        <v>358</v>
      </c>
      <c r="B68" s="16" t="s">
        <v>333</v>
      </c>
      <c r="C68" s="15">
        <v>2.0</v>
      </c>
      <c r="D68" s="15" t="s">
        <v>359</v>
      </c>
      <c r="E68" s="16" t="s">
        <v>360</v>
      </c>
      <c r="F68" s="17" t="s">
        <v>361</v>
      </c>
      <c r="G68" s="15">
        <v>3.0</v>
      </c>
      <c r="H68" s="15" t="s">
        <v>336</v>
      </c>
      <c r="I68" s="15" t="s">
        <v>70</v>
      </c>
    </row>
    <row r="69" hidden="1">
      <c r="A69" s="7" t="s">
        <v>362</v>
      </c>
      <c r="B69" s="7" t="s">
        <v>363</v>
      </c>
      <c r="C69" s="9">
        <v>2.0</v>
      </c>
      <c r="D69" s="9" t="s">
        <v>149</v>
      </c>
      <c r="E69" s="7" t="s">
        <v>364</v>
      </c>
      <c r="F69" s="10" t="s">
        <v>365</v>
      </c>
      <c r="G69" s="9">
        <v>4.0</v>
      </c>
      <c r="H69" s="9" t="s">
        <v>366</v>
      </c>
      <c r="I69" s="9" t="s">
        <v>70</v>
      </c>
    </row>
    <row r="70">
      <c r="A70" s="7" t="s">
        <v>367</v>
      </c>
      <c r="B70" s="7" t="s">
        <v>279</v>
      </c>
      <c r="C70" s="9">
        <v>1.0</v>
      </c>
      <c r="D70" s="9" t="s">
        <v>368</v>
      </c>
      <c r="E70" s="7"/>
      <c r="F70" s="10" t="s">
        <v>369</v>
      </c>
      <c r="G70" s="9">
        <v>2.0</v>
      </c>
      <c r="H70" s="9" t="s">
        <v>351</v>
      </c>
      <c r="I70" s="9" t="s">
        <v>26</v>
      </c>
      <c r="J70" s="11" t="s">
        <v>370</v>
      </c>
      <c r="K70" s="13" t="s">
        <v>371</v>
      </c>
    </row>
    <row r="71">
      <c r="A71" s="7" t="s">
        <v>372</v>
      </c>
      <c r="B71" s="7" t="s">
        <v>279</v>
      </c>
      <c r="C71" s="9">
        <v>1.0</v>
      </c>
      <c r="D71" s="9" t="s">
        <v>373</v>
      </c>
      <c r="E71" s="7" t="s">
        <v>374</v>
      </c>
      <c r="F71" s="10" t="s">
        <v>375</v>
      </c>
      <c r="G71" s="9">
        <v>5.0</v>
      </c>
      <c r="H71" s="9" t="s">
        <v>376</v>
      </c>
      <c r="I71" s="9" t="s">
        <v>32</v>
      </c>
      <c r="J71" s="11" t="s">
        <v>377</v>
      </c>
      <c r="K71" s="41" t="s">
        <v>378</v>
      </c>
    </row>
    <row r="72" hidden="1">
      <c r="A72" s="16" t="s">
        <v>379</v>
      </c>
      <c r="B72" s="16" t="s">
        <v>363</v>
      </c>
      <c r="C72" s="15">
        <v>2.0</v>
      </c>
      <c r="D72" s="15" t="s">
        <v>380</v>
      </c>
      <c r="E72" s="16" t="s">
        <v>381</v>
      </c>
      <c r="F72" s="17" t="s">
        <v>382</v>
      </c>
      <c r="G72" s="15">
        <v>6.0</v>
      </c>
      <c r="H72" s="15" t="s">
        <v>383</v>
      </c>
      <c r="I72" s="15" t="s">
        <v>70</v>
      </c>
    </row>
    <row r="73">
      <c r="A73" s="7" t="s">
        <v>384</v>
      </c>
      <c r="B73" s="7" t="s">
        <v>303</v>
      </c>
      <c r="C73" s="9">
        <v>1.0</v>
      </c>
      <c r="D73" s="9" t="s">
        <v>319</v>
      </c>
      <c r="E73" s="7" t="s">
        <v>385</v>
      </c>
      <c r="F73" s="10" t="s">
        <v>386</v>
      </c>
      <c r="G73" s="9">
        <v>3.0</v>
      </c>
      <c r="H73" s="9" t="s">
        <v>328</v>
      </c>
      <c r="I73" s="9" t="s">
        <v>70</v>
      </c>
      <c r="J73" s="11" t="s">
        <v>387</v>
      </c>
      <c r="K73" s="13" t="s">
        <v>388</v>
      </c>
    </row>
    <row r="74" hidden="1">
      <c r="A74" s="16" t="s">
        <v>389</v>
      </c>
      <c r="B74" s="42" t="s">
        <v>390</v>
      </c>
      <c r="C74" s="15">
        <v>2.0</v>
      </c>
      <c r="D74" s="15" t="s">
        <v>37</v>
      </c>
      <c r="E74" s="16" t="s">
        <v>391</v>
      </c>
      <c r="F74" s="17" t="s">
        <v>392</v>
      </c>
      <c r="G74" s="15">
        <v>2.0</v>
      </c>
      <c r="H74" s="9" t="s">
        <v>393</v>
      </c>
      <c r="I74" s="9" t="s">
        <v>26</v>
      </c>
    </row>
    <row r="75">
      <c r="A75" s="7" t="s">
        <v>394</v>
      </c>
      <c r="B75" s="7" t="s">
        <v>303</v>
      </c>
      <c r="C75" s="9">
        <v>1.0</v>
      </c>
      <c r="D75" s="9" t="s">
        <v>395</v>
      </c>
      <c r="E75" s="7"/>
      <c r="F75" s="10" t="s">
        <v>396</v>
      </c>
      <c r="G75" s="9">
        <v>2.0</v>
      </c>
      <c r="H75" s="9" t="s">
        <v>397</v>
      </c>
      <c r="I75" s="9" t="s">
        <v>26</v>
      </c>
      <c r="J75" s="11" t="s">
        <v>398</v>
      </c>
      <c r="K75" s="13" t="s">
        <v>399</v>
      </c>
    </row>
    <row r="76" hidden="1">
      <c r="A76" s="7" t="s">
        <v>400</v>
      </c>
      <c r="B76" s="43" t="s">
        <v>390</v>
      </c>
      <c r="C76" s="9">
        <v>2.0</v>
      </c>
      <c r="D76" s="9" t="s">
        <v>319</v>
      </c>
      <c r="E76" s="7" t="s">
        <v>401</v>
      </c>
      <c r="F76" s="10" t="s">
        <v>402</v>
      </c>
      <c r="G76" s="9">
        <v>4.0</v>
      </c>
      <c r="H76" s="9" t="s">
        <v>403</v>
      </c>
      <c r="I76" s="9" t="s">
        <v>70</v>
      </c>
    </row>
    <row r="77" hidden="1">
      <c r="A77" s="16" t="s">
        <v>404</v>
      </c>
      <c r="B77" s="44" t="s">
        <v>390</v>
      </c>
      <c r="C77" s="15">
        <v>2.0</v>
      </c>
      <c r="D77" s="15" t="s">
        <v>405</v>
      </c>
      <c r="E77" s="16" t="s">
        <v>406</v>
      </c>
      <c r="F77" s="17" t="s">
        <v>407</v>
      </c>
      <c r="G77" s="15">
        <v>3.0</v>
      </c>
      <c r="H77" s="15" t="s">
        <v>393</v>
      </c>
      <c r="I77" s="15" t="s">
        <v>26</v>
      </c>
    </row>
    <row r="78" hidden="1">
      <c r="A78" s="22" t="s">
        <v>408</v>
      </c>
      <c r="B78" s="43" t="s">
        <v>390</v>
      </c>
      <c r="C78" s="9">
        <v>2.0</v>
      </c>
      <c r="D78" s="9" t="s">
        <v>238</v>
      </c>
      <c r="E78" s="7" t="s">
        <v>409</v>
      </c>
      <c r="F78" s="10" t="s">
        <v>410</v>
      </c>
      <c r="G78" s="9">
        <v>2.0</v>
      </c>
      <c r="H78" s="9" t="s">
        <v>411</v>
      </c>
      <c r="I78" s="9" t="s">
        <v>32</v>
      </c>
    </row>
    <row r="79">
      <c r="A79" s="16" t="s">
        <v>412</v>
      </c>
      <c r="B79" s="16" t="s">
        <v>303</v>
      </c>
      <c r="C79" s="15">
        <v>1.0</v>
      </c>
      <c r="D79" s="15" t="s">
        <v>250</v>
      </c>
      <c r="E79" s="16" t="s">
        <v>413</v>
      </c>
      <c r="F79" s="17" t="s">
        <v>414</v>
      </c>
      <c r="G79" s="15">
        <v>4.0</v>
      </c>
      <c r="H79" s="15" t="s">
        <v>415</v>
      </c>
      <c r="I79" s="15" t="s">
        <v>32</v>
      </c>
      <c r="J79" s="11" t="s">
        <v>416</v>
      </c>
      <c r="K79" s="13" t="s">
        <v>417</v>
      </c>
    </row>
    <row r="80" hidden="1">
      <c r="A80" s="16" t="s">
        <v>418</v>
      </c>
      <c r="B80" s="45" t="s">
        <v>390</v>
      </c>
      <c r="C80" s="15">
        <v>2.0</v>
      </c>
      <c r="D80" s="15" t="s">
        <v>419</v>
      </c>
      <c r="E80" s="16" t="s">
        <v>420</v>
      </c>
      <c r="F80" s="17" t="s">
        <v>421</v>
      </c>
      <c r="G80" s="15">
        <v>3.0</v>
      </c>
      <c r="H80" s="15" t="s">
        <v>393</v>
      </c>
      <c r="I80" s="15" t="s">
        <v>26</v>
      </c>
    </row>
    <row r="81">
      <c r="A81" s="7" t="s">
        <v>422</v>
      </c>
      <c r="B81" s="7" t="s">
        <v>333</v>
      </c>
      <c r="C81" s="9">
        <v>1.0</v>
      </c>
      <c r="D81" s="9" t="s">
        <v>423</v>
      </c>
      <c r="E81" s="16" t="s">
        <v>424</v>
      </c>
      <c r="F81" s="17" t="s">
        <v>425</v>
      </c>
      <c r="G81" s="9">
        <v>3.0</v>
      </c>
      <c r="H81" s="9" t="s">
        <v>426</v>
      </c>
      <c r="I81" s="9" t="s">
        <v>70</v>
      </c>
      <c r="J81" s="11" t="s">
        <v>427</v>
      </c>
      <c r="K81" s="13" t="s">
        <v>428</v>
      </c>
    </row>
    <row r="82">
      <c r="A82" s="7" t="s">
        <v>429</v>
      </c>
      <c r="B82" s="7" t="s">
        <v>333</v>
      </c>
      <c r="C82" s="9">
        <v>1.0</v>
      </c>
      <c r="D82" s="9" t="s">
        <v>430</v>
      </c>
      <c r="E82" s="7"/>
      <c r="F82" s="10" t="s">
        <v>431</v>
      </c>
      <c r="G82" s="9">
        <v>2.0</v>
      </c>
      <c r="H82" s="9" t="s">
        <v>432</v>
      </c>
      <c r="I82" s="9" t="s">
        <v>26</v>
      </c>
      <c r="J82" s="11" t="s">
        <v>433</v>
      </c>
      <c r="K82" s="13" t="s">
        <v>434</v>
      </c>
      <c r="L82" s="13" t="s">
        <v>435</v>
      </c>
      <c r="M82" s="13" t="s">
        <v>436</v>
      </c>
    </row>
    <row r="83">
      <c r="A83" s="7" t="s">
        <v>437</v>
      </c>
      <c r="B83" s="7" t="s">
        <v>333</v>
      </c>
      <c r="C83" s="15">
        <v>1.0</v>
      </c>
      <c r="D83" s="9" t="s">
        <v>438</v>
      </c>
      <c r="E83" s="7" t="s">
        <v>439</v>
      </c>
      <c r="F83" s="10" t="s">
        <v>440</v>
      </c>
      <c r="G83" s="9">
        <v>0.0</v>
      </c>
      <c r="H83" s="9" t="s">
        <v>441</v>
      </c>
      <c r="I83" s="9" t="s">
        <v>32</v>
      </c>
      <c r="J83" s="11" t="s">
        <v>442</v>
      </c>
      <c r="K83" s="13" t="s">
        <v>443</v>
      </c>
    </row>
    <row r="84">
      <c r="A84" s="7" t="s">
        <v>444</v>
      </c>
      <c r="B84" s="7" t="s">
        <v>363</v>
      </c>
      <c r="C84" s="9">
        <v>1.0</v>
      </c>
      <c r="D84" s="9" t="s">
        <v>238</v>
      </c>
      <c r="E84" s="7" t="s">
        <v>445</v>
      </c>
      <c r="F84" s="10" t="s">
        <v>446</v>
      </c>
      <c r="G84" s="9">
        <v>3.0</v>
      </c>
      <c r="H84" s="9" t="s">
        <v>447</v>
      </c>
      <c r="I84" s="9" t="s">
        <v>70</v>
      </c>
      <c r="J84" s="11" t="s">
        <v>448</v>
      </c>
      <c r="K84" s="13" t="s">
        <v>449</v>
      </c>
      <c r="L84" s="13" t="s">
        <v>450</v>
      </c>
      <c r="M84" s="13" t="s">
        <v>451</v>
      </c>
      <c r="N84" s="13" t="s">
        <v>452</v>
      </c>
      <c r="O84" s="13" t="s">
        <v>453</v>
      </c>
      <c r="P84" s="13" t="s">
        <v>454</v>
      </c>
      <c r="Q84" s="13" t="s">
        <v>455</v>
      </c>
    </row>
    <row r="85">
      <c r="A85" s="7" t="s">
        <v>456</v>
      </c>
      <c r="B85" s="7" t="s">
        <v>363</v>
      </c>
      <c r="C85" s="9">
        <v>1.0</v>
      </c>
      <c r="D85" s="9" t="s">
        <v>457</v>
      </c>
      <c r="E85" s="7"/>
      <c r="F85" s="10" t="s">
        <v>458</v>
      </c>
      <c r="G85" s="9">
        <v>2.0</v>
      </c>
      <c r="H85" s="9" t="s">
        <v>459</v>
      </c>
      <c r="I85" s="9" t="s">
        <v>26</v>
      </c>
      <c r="J85" s="11" t="s">
        <v>460</v>
      </c>
      <c r="K85" s="13" t="s">
        <v>461</v>
      </c>
      <c r="L85" s="13" t="s">
        <v>462</v>
      </c>
      <c r="M85" s="13" t="s">
        <v>463</v>
      </c>
      <c r="N85" s="13" t="s">
        <v>464</v>
      </c>
      <c r="O85" s="13" t="s">
        <v>465</v>
      </c>
      <c r="P85" s="13" t="s">
        <v>466</v>
      </c>
      <c r="Q85" s="13" t="s">
        <v>467</v>
      </c>
      <c r="R85" s="13" t="s">
        <v>468</v>
      </c>
      <c r="S85" s="13" t="s">
        <v>469</v>
      </c>
      <c r="T85" s="13" t="s">
        <v>470</v>
      </c>
    </row>
    <row r="86">
      <c r="A86" s="7" t="s">
        <v>471</v>
      </c>
      <c r="B86" s="7" t="s">
        <v>363</v>
      </c>
      <c r="C86" s="9">
        <v>1.0</v>
      </c>
      <c r="D86" s="9" t="s">
        <v>28</v>
      </c>
      <c r="E86" s="7" t="s">
        <v>472</v>
      </c>
      <c r="F86" s="10" t="s">
        <v>473</v>
      </c>
      <c r="G86" s="9">
        <v>4.0</v>
      </c>
      <c r="H86" s="9" t="s">
        <v>474</v>
      </c>
      <c r="I86" s="9" t="s">
        <v>32</v>
      </c>
      <c r="J86" s="11" t="s">
        <v>475</v>
      </c>
      <c r="K86" s="13" t="s">
        <v>476</v>
      </c>
      <c r="L86" s="13" t="s">
        <v>477</v>
      </c>
      <c r="M86" s="13" t="s">
        <v>478</v>
      </c>
      <c r="N86" s="13" t="s">
        <v>479</v>
      </c>
      <c r="O86" s="13" t="s">
        <v>480</v>
      </c>
      <c r="P86" s="13" t="s">
        <v>481</v>
      </c>
      <c r="Q86" s="13" t="s">
        <v>482</v>
      </c>
      <c r="R86" s="13" t="s">
        <v>483</v>
      </c>
      <c r="S86" s="13" t="s">
        <v>484</v>
      </c>
      <c r="T86" s="13" t="s">
        <v>485</v>
      </c>
    </row>
    <row r="87" hidden="1">
      <c r="A87" s="16" t="s">
        <v>486</v>
      </c>
      <c r="B87" s="46" t="s">
        <v>390</v>
      </c>
      <c r="C87" s="15">
        <v>2.0</v>
      </c>
      <c r="D87" s="15" t="s">
        <v>487</v>
      </c>
      <c r="E87" s="16" t="s">
        <v>488</v>
      </c>
      <c r="F87" s="47" t="s">
        <v>489</v>
      </c>
      <c r="G87" s="9">
        <v>3.0</v>
      </c>
      <c r="H87" s="9" t="s">
        <v>490</v>
      </c>
      <c r="I87" s="9" t="s">
        <v>32</v>
      </c>
    </row>
    <row r="88" hidden="1">
      <c r="A88" s="7" t="s">
        <v>491</v>
      </c>
      <c r="B88" s="48" t="s">
        <v>390</v>
      </c>
      <c r="C88" s="9">
        <v>2.0</v>
      </c>
      <c r="D88" s="9" t="s">
        <v>492</v>
      </c>
      <c r="E88" s="16" t="s">
        <v>493</v>
      </c>
      <c r="F88" s="49" t="s">
        <v>494</v>
      </c>
      <c r="G88" s="9">
        <v>3.0</v>
      </c>
      <c r="H88" s="9" t="s">
        <v>495</v>
      </c>
      <c r="I88" s="9" t="s">
        <v>32</v>
      </c>
    </row>
    <row r="89">
      <c r="A89" s="16" t="s">
        <v>496</v>
      </c>
      <c r="B89" s="7" t="s">
        <v>390</v>
      </c>
      <c r="C89" s="9">
        <v>1.0</v>
      </c>
      <c r="D89" s="21" t="s">
        <v>405</v>
      </c>
      <c r="E89" s="16" t="s">
        <v>497</v>
      </c>
      <c r="F89" s="17" t="s">
        <v>498</v>
      </c>
      <c r="G89" s="21">
        <v>5.0</v>
      </c>
      <c r="H89" s="9" t="s">
        <v>499</v>
      </c>
      <c r="I89" s="21" t="s">
        <v>26</v>
      </c>
      <c r="J89" s="11" t="s">
        <v>500</v>
      </c>
      <c r="K89" s="13" t="s">
        <v>501</v>
      </c>
      <c r="L89" s="13" t="s">
        <v>502</v>
      </c>
      <c r="M89" s="13" t="s">
        <v>503</v>
      </c>
      <c r="N89" s="13" t="s">
        <v>504</v>
      </c>
      <c r="O89" s="13" t="s">
        <v>505</v>
      </c>
      <c r="P89" s="13" t="s">
        <v>506</v>
      </c>
      <c r="Q89" s="13" t="s">
        <v>507</v>
      </c>
      <c r="R89" s="13" t="s">
        <v>508</v>
      </c>
      <c r="S89" s="13" t="s">
        <v>509</v>
      </c>
      <c r="T89" s="13" t="s">
        <v>510</v>
      </c>
    </row>
    <row r="90">
      <c r="A90" s="22" t="s">
        <v>511</v>
      </c>
      <c r="B90" s="7" t="s">
        <v>390</v>
      </c>
      <c r="C90" s="9">
        <v>1.0</v>
      </c>
      <c r="D90" s="9" t="s">
        <v>512</v>
      </c>
      <c r="E90" s="7" t="s">
        <v>513</v>
      </c>
      <c r="F90" s="10" t="s">
        <v>514</v>
      </c>
      <c r="G90" s="9">
        <v>1.0</v>
      </c>
      <c r="H90" s="9" t="s">
        <v>411</v>
      </c>
      <c r="I90" s="9" t="s">
        <v>26</v>
      </c>
      <c r="J90" s="11" t="s">
        <v>515</v>
      </c>
      <c r="K90" s="13" t="s">
        <v>516</v>
      </c>
      <c r="L90" s="13" t="s">
        <v>517</v>
      </c>
      <c r="M90" s="13" t="s">
        <v>518</v>
      </c>
      <c r="N90" s="13" t="s">
        <v>519</v>
      </c>
      <c r="O90" s="13" t="s">
        <v>520</v>
      </c>
      <c r="P90" s="13" t="s">
        <v>521</v>
      </c>
      <c r="Q90" s="13" t="s">
        <v>522</v>
      </c>
      <c r="R90" s="12" t="s">
        <v>523</v>
      </c>
      <c r="S90" s="13" t="s">
        <v>524</v>
      </c>
      <c r="T90" s="13" t="s">
        <v>525</v>
      </c>
    </row>
    <row r="91">
      <c r="A91" s="16" t="s">
        <v>526</v>
      </c>
      <c r="B91" s="7" t="s">
        <v>390</v>
      </c>
      <c r="C91" s="9">
        <v>1.0</v>
      </c>
      <c r="D91" s="9" t="s">
        <v>37</v>
      </c>
      <c r="E91" s="7" t="s">
        <v>527</v>
      </c>
      <c r="F91" s="10" t="s">
        <v>528</v>
      </c>
      <c r="G91" s="9">
        <v>1.0</v>
      </c>
      <c r="H91" s="50" t="s">
        <v>411</v>
      </c>
      <c r="I91" s="9" t="s">
        <v>26</v>
      </c>
      <c r="J91" s="11" t="s">
        <v>529</v>
      </c>
      <c r="K91" s="13" t="s">
        <v>530</v>
      </c>
      <c r="L91" s="13" t="s">
        <v>531</v>
      </c>
      <c r="M91" s="13" t="s">
        <v>532</v>
      </c>
      <c r="N91" s="13" t="s">
        <v>533</v>
      </c>
      <c r="O91" s="13" t="s">
        <v>534</v>
      </c>
      <c r="P91" s="13" t="s">
        <v>535</v>
      </c>
      <c r="Q91" s="13" t="s">
        <v>536</v>
      </c>
      <c r="R91" s="13" t="s">
        <v>537</v>
      </c>
      <c r="S91" s="13" t="s">
        <v>538</v>
      </c>
      <c r="T91" s="13" t="s">
        <v>539</v>
      </c>
    </row>
    <row r="92">
      <c r="A92" s="22" t="s">
        <v>540</v>
      </c>
      <c r="B92" s="7" t="s">
        <v>390</v>
      </c>
      <c r="C92" s="9">
        <v>1.0</v>
      </c>
      <c r="D92" s="9" t="s">
        <v>541</v>
      </c>
      <c r="E92" s="7" t="s">
        <v>542</v>
      </c>
      <c r="F92" s="10" t="s">
        <v>543</v>
      </c>
      <c r="G92" s="9">
        <v>5.0</v>
      </c>
      <c r="H92" s="9" t="s">
        <v>544</v>
      </c>
      <c r="I92" s="9" t="s">
        <v>26</v>
      </c>
      <c r="J92" s="11" t="s">
        <v>545</v>
      </c>
      <c r="K92" s="13" t="s">
        <v>546</v>
      </c>
      <c r="L92" s="13" t="s">
        <v>547</v>
      </c>
      <c r="M92" s="13" t="s">
        <v>548</v>
      </c>
      <c r="N92" s="13" t="s">
        <v>549</v>
      </c>
      <c r="O92" s="13" t="s">
        <v>550</v>
      </c>
      <c r="P92" s="13" t="s">
        <v>551</v>
      </c>
      <c r="Q92" s="13" t="s">
        <v>552</v>
      </c>
      <c r="R92" s="13" t="s">
        <v>553</v>
      </c>
      <c r="S92" s="13" t="s">
        <v>554</v>
      </c>
      <c r="T92" s="13" t="s">
        <v>555</v>
      </c>
    </row>
    <row r="93" hidden="1">
      <c r="A93" s="16" t="s">
        <v>556</v>
      </c>
      <c r="B93" s="45" t="s">
        <v>390</v>
      </c>
      <c r="C93" s="15">
        <v>0.0</v>
      </c>
      <c r="D93" s="15" t="s">
        <v>220</v>
      </c>
      <c r="E93" s="16" t="s">
        <v>557</v>
      </c>
      <c r="F93" s="17" t="s">
        <v>558</v>
      </c>
      <c r="G93" s="15">
        <v>2.0</v>
      </c>
      <c r="H93" s="15" t="s">
        <v>559</v>
      </c>
      <c r="I93" s="15" t="s">
        <v>70</v>
      </c>
    </row>
    <row r="94" hidden="1">
      <c r="A94" s="16" t="s">
        <v>560</v>
      </c>
      <c r="B94" s="45" t="s">
        <v>390</v>
      </c>
      <c r="C94" s="15">
        <v>2.0</v>
      </c>
      <c r="D94" s="15" t="s">
        <v>561</v>
      </c>
      <c r="E94" s="16" t="s">
        <v>562</v>
      </c>
      <c r="F94" s="17" t="s">
        <v>563</v>
      </c>
      <c r="G94" s="15">
        <v>1.0</v>
      </c>
      <c r="H94" s="15" t="s">
        <v>393</v>
      </c>
      <c r="I94" s="15" t="s">
        <v>26</v>
      </c>
    </row>
    <row r="95" hidden="1">
      <c r="A95" s="24" t="s">
        <v>564</v>
      </c>
      <c r="B95" s="48" t="s">
        <v>390</v>
      </c>
      <c r="C95" s="9">
        <v>2.0</v>
      </c>
      <c r="D95" s="21" t="s">
        <v>380</v>
      </c>
      <c r="E95" s="16" t="s">
        <v>565</v>
      </c>
      <c r="F95" s="10" t="s">
        <v>566</v>
      </c>
      <c r="G95" s="9">
        <v>2.0</v>
      </c>
      <c r="H95" s="9" t="s">
        <v>559</v>
      </c>
      <c r="I95" s="21" t="s">
        <v>26</v>
      </c>
    </row>
    <row r="96">
      <c r="A96" s="7" t="s">
        <v>567</v>
      </c>
      <c r="B96" s="7" t="s">
        <v>390</v>
      </c>
      <c r="C96" s="9">
        <v>1.0</v>
      </c>
      <c r="D96" s="9" t="s">
        <v>380</v>
      </c>
      <c r="E96" s="7" t="s">
        <v>568</v>
      </c>
      <c r="F96" s="10" t="s">
        <v>569</v>
      </c>
      <c r="G96" s="9">
        <v>1.0</v>
      </c>
      <c r="H96" s="9" t="s">
        <v>559</v>
      </c>
      <c r="I96" s="9" t="s">
        <v>26</v>
      </c>
      <c r="J96" s="11" t="s">
        <v>570</v>
      </c>
      <c r="K96" s="13" t="s">
        <v>571</v>
      </c>
      <c r="L96" s="13" t="s">
        <v>572</v>
      </c>
      <c r="M96" s="13" t="s">
        <v>573</v>
      </c>
      <c r="N96" s="13" t="s">
        <v>574</v>
      </c>
      <c r="O96" s="13" t="s">
        <v>575</v>
      </c>
      <c r="P96" s="13" t="s">
        <v>576</v>
      </c>
      <c r="Q96" s="13" t="s">
        <v>577</v>
      </c>
      <c r="R96" s="13" t="s">
        <v>578</v>
      </c>
      <c r="S96" s="13" t="s">
        <v>579</v>
      </c>
      <c r="T96" s="13" t="s">
        <v>580</v>
      </c>
    </row>
    <row r="97">
      <c r="A97" s="24" t="s">
        <v>581</v>
      </c>
      <c r="B97" s="7" t="s">
        <v>390</v>
      </c>
      <c r="C97" s="9">
        <v>1.0</v>
      </c>
      <c r="D97" s="21" t="s">
        <v>405</v>
      </c>
      <c r="E97" s="7" t="s">
        <v>582</v>
      </c>
      <c r="F97" s="10" t="s">
        <v>583</v>
      </c>
      <c r="G97" s="9">
        <v>2.0</v>
      </c>
      <c r="H97" s="9" t="s">
        <v>411</v>
      </c>
      <c r="I97" s="21" t="s">
        <v>26</v>
      </c>
      <c r="J97" s="11" t="s">
        <v>584</v>
      </c>
      <c r="K97" s="13" t="s">
        <v>585</v>
      </c>
      <c r="L97" s="13" t="s">
        <v>586</v>
      </c>
      <c r="M97" s="13" t="s">
        <v>587</v>
      </c>
      <c r="N97" s="13" t="s">
        <v>588</v>
      </c>
    </row>
    <row r="98">
      <c r="A98" s="7" t="s">
        <v>589</v>
      </c>
      <c r="B98" s="7" t="s">
        <v>390</v>
      </c>
      <c r="C98" s="9">
        <v>1.0</v>
      </c>
      <c r="D98" s="9" t="s">
        <v>380</v>
      </c>
      <c r="E98" s="7" t="s">
        <v>590</v>
      </c>
      <c r="F98" s="10" t="s">
        <v>591</v>
      </c>
      <c r="G98" s="9">
        <v>3.0</v>
      </c>
      <c r="H98" s="9" t="s">
        <v>495</v>
      </c>
      <c r="I98" s="15" t="s">
        <v>26</v>
      </c>
      <c r="J98" s="11" t="s">
        <v>592</v>
      </c>
      <c r="K98" s="13" t="s">
        <v>593</v>
      </c>
      <c r="L98" s="13" t="s">
        <v>594</v>
      </c>
      <c r="M98" s="13" t="s">
        <v>595</v>
      </c>
      <c r="N98" s="13" t="s">
        <v>596</v>
      </c>
      <c r="O98" s="13" t="s">
        <v>597</v>
      </c>
      <c r="P98" s="13" t="s">
        <v>598</v>
      </c>
      <c r="Q98" s="13" t="s">
        <v>599</v>
      </c>
      <c r="R98" s="13" t="s">
        <v>600</v>
      </c>
      <c r="S98" s="13" t="s">
        <v>601</v>
      </c>
      <c r="T98" s="13" t="s">
        <v>602</v>
      </c>
    </row>
    <row r="99" hidden="1">
      <c r="A99" s="7" t="s">
        <v>603</v>
      </c>
      <c r="B99" s="43" t="s">
        <v>390</v>
      </c>
      <c r="C99" s="9">
        <v>2.0</v>
      </c>
      <c r="D99" s="9" t="s">
        <v>604</v>
      </c>
      <c r="E99" s="7" t="s">
        <v>605</v>
      </c>
      <c r="F99" s="10" t="s">
        <v>606</v>
      </c>
      <c r="G99" s="9">
        <v>5.0</v>
      </c>
      <c r="H99" s="9" t="s">
        <v>607</v>
      </c>
      <c r="I99" s="15" t="s">
        <v>70</v>
      </c>
    </row>
    <row r="100">
      <c r="A100" s="16" t="s">
        <v>608</v>
      </c>
      <c r="B100" s="7" t="s">
        <v>390</v>
      </c>
      <c r="C100" s="9">
        <v>1.0</v>
      </c>
      <c r="D100" s="9" t="s">
        <v>561</v>
      </c>
      <c r="E100" s="7" t="s">
        <v>609</v>
      </c>
      <c r="F100" s="17" t="s">
        <v>610</v>
      </c>
      <c r="G100" s="9">
        <v>4.0</v>
      </c>
      <c r="H100" s="9" t="s">
        <v>611</v>
      </c>
      <c r="I100" s="9" t="s">
        <v>26</v>
      </c>
      <c r="J100" s="11" t="s">
        <v>612</v>
      </c>
      <c r="K100" s="13" t="s">
        <v>613</v>
      </c>
      <c r="L100" s="13" t="s">
        <v>614</v>
      </c>
      <c r="M100" s="13" t="s">
        <v>615</v>
      </c>
      <c r="N100" s="13" t="s">
        <v>616</v>
      </c>
      <c r="O100" s="13" t="s">
        <v>617</v>
      </c>
      <c r="P100" s="13" t="s">
        <v>618</v>
      </c>
      <c r="Q100" s="13" t="s">
        <v>619</v>
      </c>
      <c r="R100" s="13" t="s">
        <v>620</v>
      </c>
      <c r="S100" s="13" t="s">
        <v>621</v>
      </c>
      <c r="T100" s="13" t="s">
        <v>622</v>
      </c>
    </row>
    <row r="101" hidden="1">
      <c r="A101" s="16" t="s">
        <v>623</v>
      </c>
      <c r="B101" s="45" t="s">
        <v>390</v>
      </c>
      <c r="C101" s="15">
        <v>2.0</v>
      </c>
      <c r="D101" s="15" t="s">
        <v>624</v>
      </c>
      <c r="E101" s="16" t="s">
        <v>625</v>
      </c>
      <c r="F101" s="17" t="s">
        <v>361</v>
      </c>
      <c r="G101" s="15">
        <v>3.0</v>
      </c>
      <c r="H101" s="15" t="s">
        <v>393</v>
      </c>
      <c r="I101" s="9" t="s">
        <v>70</v>
      </c>
    </row>
    <row r="102" hidden="1">
      <c r="A102" s="22" t="s">
        <v>626</v>
      </c>
      <c r="B102" s="43" t="s">
        <v>390</v>
      </c>
      <c r="C102" s="9">
        <v>2.0</v>
      </c>
      <c r="D102" s="9" t="s">
        <v>627</v>
      </c>
      <c r="E102" s="7" t="s">
        <v>628</v>
      </c>
      <c r="F102" s="10" t="s">
        <v>629</v>
      </c>
      <c r="G102" s="9">
        <v>2.0</v>
      </c>
      <c r="H102" s="9" t="s">
        <v>393</v>
      </c>
      <c r="I102" s="9" t="s">
        <v>70</v>
      </c>
    </row>
    <row r="103" hidden="1">
      <c r="A103" s="51" t="s">
        <v>630</v>
      </c>
      <c r="B103" s="52" t="s">
        <v>390</v>
      </c>
      <c r="C103" s="53">
        <v>0.0</v>
      </c>
      <c r="D103" s="53" t="s">
        <v>287</v>
      </c>
      <c r="E103" s="54" t="s">
        <v>631</v>
      </c>
      <c r="F103" s="55" t="s">
        <v>632</v>
      </c>
      <c r="G103" s="56">
        <v>2.0</v>
      </c>
      <c r="H103" s="53" t="s">
        <v>559</v>
      </c>
      <c r="I103" s="56" t="s">
        <v>26</v>
      </c>
    </row>
    <row r="104" hidden="1">
      <c r="A104" s="7" t="s">
        <v>633</v>
      </c>
      <c r="B104" s="48" t="s">
        <v>390</v>
      </c>
      <c r="C104" s="9">
        <v>2.0</v>
      </c>
      <c r="D104" s="9" t="s">
        <v>634</v>
      </c>
      <c r="E104" s="7" t="s">
        <v>635</v>
      </c>
      <c r="F104" s="10" t="s">
        <v>636</v>
      </c>
      <c r="G104" s="9">
        <v>1.0</v>
      </c>
      <c r="H104" s="9" t="s">
        <v>411</v>
      </c>
      <c r="I104" s="9" t="s">
        <v>26</v>
      </c>
    </row>
    <row r="105" hidden="1">
      <c r="A105" s="16" t="s">
        <v>637</v>
      </c>
      <c r="B105" s="45" t="s">
        <v>390</v>
      </c>
      <c r="C105" s="15">
        <v>2.0</v>
      </c>
      <c r="D105" s="15" t="s">
        <v>319</v>
      </c>
      <c r="E105" s="16" t="s">
        <v>638</v>
      </c>
      <c r="F105" s="17" t="s">
        <v>361</v>
      </c>
      <c r="G105" s="15">
        <v>4.0</v>
      </c>
      <c r="H105" s="15" t="s">
        <v>611</v>
      </c>
      <c r="I105" s="15" t="s">
        <v>26</v>
      </c>
    </row>
    <row r="106" hidden="1">
      <c r="A106" s="16" t="s">
        <v>639</v>
      </c>
      <c r="B106" s="16" t="s">
        <v>390</v>
      </c>
      <c r="C106" s="15">
        <v>2.0</v>
      </c>
      <c r="D106" s="15" t="s">
        <v>492</v>
      </c>
      <c r="E106" s="16" t="s">
        <v>640</v>
      </c>
      <c r="F106" s="17" t="s">
        <v>641</v>
      </c>
      <c r="G106" s="15">
        <v>3.0</v>
      </c>
      <c r="H106" s="15" t="s">
        <v>490</v>
      </c>
      <c r="I106" s="15" t="s">
        <v>32</v>
      </c>
    </row>
    <row r="107">
      <c r="A107" s="16" t="s">
        <v>642</v>
      </c>
      <c r="B107" s="16" t="s">
        <v>390</v>
      </c>
      <c r="C107" s="15">
        <v>1.0</v>
      </c>
      <c r="D107" s="15" t="s">
        <v>380</v>
      </c>
      <c r="E107" s="16" t="s">
        <v>643</v>
      </c>
      <c r="F107" s="33"/>
      <c r="G107" s="15">
        <v>3.0</v>
      </c>
      <c r="H107" s="15" t="s">
        <v>611</v>
      </c>
      <c r="I107" s="15" t="s">
        <v>26</v>
      </c>
      <c r="J107" s="11" t="s">
        <v>644</v>
      </c>
      <c r="K107" s="13" t="s">
        <v>645</v>
      </c>
      <c r="L107" s="13" t="s">
        <v>646</v>
      </c>
      <c r="M107" s="13" t="s">
        <v>647</v>
      </c>
      <c r="N107" s="13" t="s">
        <v>648</v>
      </c>
      <c r="O107" s="13" t="s">
        <v>649</v>
      </c>
      <c r="P107" s="13" t="s">
        <v>650</v>
      </c>
      <c r="Q107" s="13" t="s">
        <v>651</v>
      </c>
      <c r="R107" s="13" t="s">
        <v>652</v>
      </c>
      <c r="S107" s="13" t="s">
        <v>653</v>
      </c>
      <c r="T107" s="13" t="s">
        <v>654</v>
      </c>
    </row>
    <row r="108">
      <c r="A108" s="16" t="s">
        <v>655</v>
      </c>
      <c r="B108" s="16" t="s">
        <v>390</v>
      </c>
      <c r="C108" s="15">
        <v>1.0</v>
      </c>
      <c r="D108" s="15" t="s">
        <v>292</v>
      </c>
      <c r="E108" s="57" t="s">
        <v>656</v>
      </c>
      <c r="F108" s="17" t="s">
        <v>361</v>
      </c>
      <c r="G108" s="15">
        <v>3.0</v>
      </c>
      <c r="H108" s="15" t="s">
        <v>393</v>
      </c>
      <c r="I108" s="15" t="s">
        <v>26</v>
      </c>
      <c r="J108" s="11" t="s">
        <v>657</v>
      </c>
      <c r="K108" s="13" t="s">
        <v>658</v>
      </c>
      <c r="L108" s="13" t="s">
        <v>659</v>
      </c>
      <c r="M108" s="13" t="s">
        <v>660</v>
      </c>
      <c r="N108" s="13" t="s">
        <v>661</v>
      </c>
      <c r="O108" s="13" t="s">
        <v>662</v>
      </c>
      <c r="P108" s="13" t="s">
        <v>663</v>
      </c>
      <c r="Q108" s="13" t="s">
        <v>664</v>
      </c>
      <c r="R108" s="13" t="s">
        <v>665</v>
      </c>
      <c r="S108" s="13" t="s">
        <v>666</v>
      </c>
      <c r="T108" s="13" t="s">
        <v>667</v>
      </c>
    </row>
    <row r="109" hidden="1">
      <c r="A109" s="16" t="s">
        <v>668</v>
      </c>
      <c r="B109" s="45" t="s">
        <v>390</v>
      </c>
      <c r="C109" s="15">
        <v>2.0</v>
      </c>
      <c r="D109" s="15" t="s">
        <v>669</v>
      </c>
      <c r="E109" s="16" t="s">
        <v>270</v>
      </c>
      <c r="F109" s="17" t="s">
        <v>670</v>
      </c>
      <c r="G109" s="15">
        <v>2.0</v>
      </c>
      <c r="H109" s="15" t="s">
        <v>559</v>
      </c>
      <c r="I109" s="15" t="s">
        <v>26</v>
      </c>
    </row>
    <row r="110">
      <c r="A110" s="24" t="s">
        <v>671</v>
      </c>
      <c r="B110" s="7" t="s">
        <v>390</v>
      </c>
      <c r="C110" s="9">
        <v>1.0</v>
      </c>
      <c r="D110" s="9" t="s">
        <v>319</v>
      </c>
      <c r="E110" s="7" t="s">
        <v>672</v>
      </c>
      <c r="F110" s="10" t="s">
        <v>673</v>
      </c>
      <c r="G110" s="9">
        <v>2.0</v>
      </c>
      <c r="H110" s="9" t="s">
        <v>611</v>
      </c>
      <c r="I110" s="21" t="s">
        <v>26</v>
      </c>
      <c r="J110" s="11" t="s">
        <v>674</v>
      </c>
      <c r="K110" s="13" t="s">
        <v>675</v>
      </c>
      <c r="L110" s="13" t="s">
        <v>676</v>
      </c>
      <c r="M110" s="13" t="s">
        <v>677</v>
      </c>
      <c r="N110" s="13" t="s">
        <v>678</v>
      </c>
      <c r="O110" s="13" t="s">
        <v>679</v>
      </c>
      <c r="P110" s="13" t="s">
        <v>680</v>
      </c>
      <c r="Q110" s="13" t="s">
        <v>681</v>
      </c>
      <c r="R110" s="13" t="s">
        <v>682</v>
      </c>
      <c r="S110" s="13" t="s">
        <v>683</v>
      </c>
      <c r="T110" s="13" t="s">
        <v>684</v>
      </c>
    </row>
    <row r="111">
      <c r="A111" s="51" t="s">
        <v>685</v>
      </c>
      <c r="B111" s="16" t="s">
        <v>390</v>
      </c>
      <c r="C111" s="15">
        <v>1.0</v>
      </c>
      <c r="D111" s="15" t="s">
        <v>634</v>
      </c>
      <c r="E111" s="16" t="s">
        <v>686</v>
      </c>
      <c r="F111" s="58"/>
      <c r="G111" s="15">
        <v>2.0</v>
      </c>
      <c r="H111" s="15" t="s">
        <v>490</v>
      </c>
      <c r="I111" s="15" t="s">
        <v>32</v>
      </c>
      <c r="J111" s="11" t="s">
        <v>687</v>
      </c>
      <c r="K111" s="13" t="s">
        <v>688</v>
      </c>
      <c r="L111" s="13" t="s">
        <v>689</v>
      </c>
      <c r="M111" s="13" t="s">
        <v>690</v>
      </c>
      <c r="N111" s="13" t="s">
        <v>691</v>
      </c>
      <c r="O111" s="13" t="s">
        <v>692</v>
      </c>
      <c r="P111" s="13" t="s">
        <v>693</v>
      </c>
      <c r="Q111" s="13" t="s">
        <v>694</v>
      </c>
      <c r="R111" s="13" t="s">
        <v>695</v>
      </c>
      <c r="S111" s="13" t="s">
        <v>696</v>
      </c>
      <c r="T111" s="13" t="s">
        <v>697</v>
      </c>
    </row>
    <row r="112" hidden="1">
      <c r="A112" s="7" t="s">
        <v>698</v>
      </c>
      <c r="B112" s="48" t="s">
        <v>390</v>
      </c>
      <c r="C112" s="9">
        <v>2.0</v>
      </c>
      <c r="D112" s="9" t="s">
        <v>319</v>
      </c>
      <c r="E112" s="7" t="s">
        <v>699</v>
      </c>
      <c r="F112" s="10" t="s">
        <v>24</v>
      </c>
      <c r="G112" s="9">
        <v>1.0</v>
      </c>
      <c r="H112" s="9" t="s">
        <v>411</v>
      </c>
      <c r="I112" s="9" t="s">
        <v>26</v>
      </c>
    </row>
    <row r="113" hidden="1">
      <c r="A113" s="7" t="s">
        <v>700</v>
      </c>
      <c r="B113" s="59" t="s">
        <v>390</v>
      </c>
      <c r="C113" s="9">
        <v>0.0</v>
      </c>
      <c r="D113" s="9" t="s">
        <v>405</v>
      </c>
      <c r="E113" s="7" t="s">
        <v>701</v>
      </c>
      <c r="F113" s="10" t="s">
        <v>702</v>
      </c>
      <c r="G113" s="9">
        <v>3.0</v>
      </c>
      <c r="H113" s="9" t="s">
        <v>393</v>
      </c>
      <c r="I113" s="9" t="s">
        <v>26</v>
      </c>
    </row>
    <row r="114" hidden="1">
      <c r="A114" s="7" t="s">
        <v>703</v>
      </c>
      <c r="B114" s="25" t="s">
        <v>390</v>
      </c>
      <c r="C114" s="9">
        <v>2.0</v>
      </c>
      <c r="D114" s="9" t="s">
        <v>405</v>
      </c>
      <c r="E114" s="7" t="s">
        <v>704</v>
      </c>
      <c r="F114" s="10" t="s">
        <v>705</v>
      </c>
      <c r="G114" s="9">
        <v>2.0</v>
      </c>
      <c r="H114" s="9" t="s">
        <v>559</v>
      </c>
      <c r="I114" s="9" t="s">
        <v>26</v>
      </c>
      <c r="J114" s="11" t="s">
        <v>706</v>
      </c>
      <c r="K114" s="13" t="s">
        <v>707</v>
      </c>
      <c r="L114" s="13" t="s">
        <v>708</v>
      </c>
      <c r="M114" s="13" t="s">
        <v>709</v>
      </c>
      <c r="N114" s="13" t="s">
        <v>710</v>
      </c>
      <c r="O114" s="13" t="s">
        <v>711</v>
      </c>
      <c r="P114" s="13" t="s">
        <v>712</v>
      </c>
      <c r="Q114" s="13" t="s">
        <v>713</v>
      </c>
      <c r="R114" s="13" t="s">
        <v>714</v>
      </c>
      <c r="S114" s="13" t="s">
        <v>715</v>
      </c>
      <c r="T114" s="13" t="s">
        <v>716</v>
      </c>
    </row>
    <row r="115">
      <c r="A115" s="16" t="s">
        <v>717</v>
      </c>
      <c r="B115" s="25" t="s">
        <v>390</v>
      </c>
      <c r="C115" s="9">
        <v>1.0</v>
      </c>
      <c r="D115" s="9" t="s">
        <v>319</v>
      </c>
      <c r="E115" s="7" t="s">
        <v>718</v>
      </c>
      <c r="F115" s="10" t="s">
        <v>719</v>
      </c>
      <c r="G115" s="9">
        <v>2.0</v>
      </c>
      <c r="H115" s="9" t="s">
        <v>393</v>
      </c>
      <c r="I115" s="9" t="s">
        <v>70</v>
      </c>
      <c r="J115" s="11" t="s">
        <v>720</v>
      </c>
      <c r="K115" s="13" t="s">
        <v>721</v>
      </c>
      <c r="L115" s="13" t="s">
        <v>722</v>
      </c>
      <c r="M115" s="13" t="s">
        <v>723</v>
      </c>
      <c r="N115" s="13" t="s">
        <v>724</v>
      </c>
      <c r="O115" s="13" t="s">
        <v>725</v>
      </c>
      <c r="P115" s="13" t="s">
        <v>726</v>
      </c>
      <c r="Q115" s="13" t="s">
        <v>727</v>
      </c>
      <c r="R115" s="13" t="s">
        <v>728</v>
      </c>
      <c r="S115" s="13" t="s">
        <v>729</v>
      </c>
      <c r="T115" s="13" t="s">
        <v>730</v>
      </c>
    </row>
    <row r="116">
      <c r="A116" s="7" t="s">
        <v>731</v>
      </c>
      <c r="B116" s="25" t="s">
        <v>390</v>
      </c>
      <c r="C116" s="9">
        <v>1.0</v>
      </c>
      <c r="D116" s="9" t="s">
        <v>512</v>
      </c>
      <c r="E116" s="7" t="s">
        <v>732</v>
      </c>
      <c r="F116" s="10" t="s">
        <v>733</v>
      </c>
      <c r="G116" s="9">
        <v>3.0</v>
      </c>
      <c r="H116" s="9" t="s">
        <v>611</v>
      </c>
      <c r="I116" s="9" t="s">
        <v>70</v>
      </c>
      <c r="J116" s="11" t="s">
        <v>734</v>
      </c>
      <c r="K116" s="13" t="s">
        <v>735</v>
      </c>
      <c r="L116" s="13" t="s">
        <v>736</v>
      </c>
      <c r="M116" s="13" t="s">
        <v>737</v>
      </c>
      <c r="N116" s="13" t="s">
        <v>738</v>
      </c>
      <c r="O116" s="13" t="s">
        <v>739</v>
      </c>
      <c r="P116" s="13" t="s">
        <v>740</v>
      </c>
      <c r="Q116" s="13" t="s">
        <v>741</v>
      </c>
      <c r="R116" s="13" t="s">
        <v>742</v>
      </c>
      <c r="S116" s="13" t="s">
        <v>743</v>
      </c>
      <c r="T116" s="13" t="s">
        <v>744</v>
      </c>
    </row>
    <row r="117" hidden="1">
      <c r="A117" s="16" t="s">
        <v>745</v>
      </c>
      <c r="B117" s="44" t="s">
        <v>390</v>
      </c>
      <c r="C117" s="15">
        <v>2.0</v>
      </c>
      <c r="D117" s="15" t="s">
        <v>492</v>
      </c>
      <c r="E117" s="16" t="s">
        <v>746</v>
      </c>
      <c r="F117" s="17" t="s">
        <v>361</v>
      </c>
      <c r="G117" s="15">
        <v>4.0</v>
      </c>
      <c r="H117" s="15" t="s">
        <v>499</v>
      </c>
      <c r="I117" s="15" t="s">
        <v>32</v>
      </c>
    </row>
    <row r="118">
      <c r="A118" s="31" t="s">
        <v>747</v>
      </c>
      <c r="B118" s="40" t="s">
        <v>390</v>
      </c>
      <c r="C118" s="15">
        <v>1.0</v>
      </c>
      <c r="D118" s="15" t="s">
        <v>338</v>
      </c>
      <c r="E118" s="16" t="s">
        <v>748</v>
      </c>
      <c r="F118" s="17" t="s">
        <v>749</v>
      </c>
      <c r="G118" s="15">
        <v>4.0</v>
      </c>
      <c r="H118" s="15" t="s">
        <v>544</v>
      </c>
      <c r="I118" s="15" t="s">
        <v>70</v>
      </c>
      <c r="J118" s="11" t="s">
        <v>750</v>
      </c>
      <c r="K118" s="13" t="s">
        <v>751</v>
      </c>
      <c r="L118" s="13" t="s">
        <v>752</v>
      </c>
      <c r="M118" s="13" t="s">
        <v>753</v>
      </c>
      <c r="N118" s="13" t="s">
        <v>754</v>
      </c>
      <c r="O118" s="13" t="s">
        <v>755</v>
      </c>
      <c r="P118" s="13" t="s">
        <v>756</v>
      </c>
      <c r="Q118" s="13" t="s">
        <v>757</v>
      </c>
      <c r="R118" s="13" t="s">
        <v>758</v>
      </c>
      <c r="S118" s="13" t="s">
        <v>759</v>
      </c>
      <c r="T118" s="13" t="s">
        <v>760</v>
      </c>
    </row>
    <row r="119" hidden="1">
      <c r="A119" s="7" t="s">
        <v>761</v>
      </c>
      <c r="B119" s="60" t="s">
        <v>390</v>
      </c>
      <c r="C119" s="9">
        <v>2.0</v>
      </c>
      <c r="D119" s="9" t="s">
        <v>380</v>
      </c>
      <c r="E119" s="18" t="s">
        <v>762</v>
      </c>
      <c r="F119" s="47" t="s">
        <v>763</v>
      </c>
      <c r="G119" s="9">
        <v>5.0</v>
      </c>
      <c r="H119" s="9" t="s">
        <v>544</v>
      </c>
      <c r="I119" s="9" t="s">
        <v>32</v>
      </c>
    </row>
    <row r="120" hidden="1">
      <c r="A120" s="7" t="s">
        <v>764</v>
      </c>
      <c r="B120" s="61" t="s">
        <v>390</v>
      </c>
      <c r="C120" s="9">
        <v>2.0</v>
      </c>
      <c r="D120" s="9" t="s">
        <v>765</v>
      </c>
      <c r="E120" s="7" t="s">
        <v>766</v>
      </c>
      <c r="F120" s="10" t="s">
        <v>767</v>
      </c>
      <c r="G120" s="9">
        <v>4.0</v>
      </c>
      <c r="H120" s="9" t="s">
        <v>611</v>
      </c>
      <c r="I120" s="9" t="s">
        <v>70</v>
      </c>
    </row>
    <row r="121" hidden="1">
      <c r="A121" s="31" t="s">
        <v>768</v>
      </c>
      <c r="B121" s="40" t="s">
        <v>390</v>
      </c>
      <c r="C121" s="15">
        <v>2.0</v>
      </c>
      <c r="D121" s="15" t="s">
        <v>359</v>
      </c>
      <c r="E121" s="16" t="s">
        <v>769</v>
      </c>
      <c r="F121" s="17" t="s">
        <v>770</v>
      </c>
      <c r="G121" s="15">
        <v>3.0</v>
      </c>
      <c r="H121" s="15" t="s">
        <v>611</v>
      </c>
      <c r="I121" s="15" t="s">
        <v>70</v>
      </c>
    </row>
    <row r="122">
      <c r="A122" s="7" t="s">
        <v>771</v>
      </c>
      <c r="B122" s="25" t="s">
        <v>390</v>
      </c>
      <c r="C122" s="9">
        <v>1.0</v>
      </c>
      <c r="D122" s="9" t="s">
        <v>405</v>
      </c>
      <c r="E122" s="62" t="s">
        <v>772</v>
      </c>
      <c r="F122" s="63" t="s">
        <v>773</v>
      </c>
      <c r="G122" s="9">
        <v>5.0</v>
      </c>
      <c r="H122" s="9" t="s">
        <v>499</v>
      </c>
      <c r="I122" s="9" t="s">
        <v>70</v>
      </c>
      <c r="J122" s="11" t="s">
        <v>774</v>
      </c>
      <c r="K122" s="13" t="s">
        <v>775</v>
      </c>
      <c r="L122" s="13" t="s">
        <v>776</v>
      </c>
      <c r="M122" s="13" t="s">
        <v>777</v>
      </c>
      <c r="N122" s="13" t="s">
        <v>778</v>
      </c>
      <c r="O122" s="13" t="s">
        <v>779</v>
      </c>
      <c r="P122" s="13" t="s">
        <v>780</v>
      </c>
      <c r="Q122" s="13" t="s">
        <v>781</v>
      </c>
      <c r="R122" s="13" t="s">
        <v>782</v>
      </c>
      <c r="S122" s="13" t="s">
        <v>783</v>
      </c>
      <c r="T122" s="13" t="s">
        <v>784</v>
      </c>
    </row>
    <row r="123" hidden="1">
      <c r="A123" s="16" t="s">
        <v>785</v>
      </c>
      <c r="B123" s="44" t="s">
        <v>390</v>
      </c>
      <c r="C123" s="15">
        <v>2.0</v>
      </c>
      <c r="D123" s="15" t="s">
        <v>786</v>
      </c>
      <c r="E123" s="16" t="s">
        <v>787</v>
      </c>
      <c r="F123" s="33"/>
      <c r="G123" s="15">
        <v>3.0</v>
      </c>
      <c r="H123" s="15" t="s">
        <v>495</v>
      </c>
      <c r="I123" s="15" t="s">
        <v>32</v>
      </c>
    </row>
    <row r="124" hidden="1">
      <c r="A124" s="16" t="s">
        <v>788</v>
      </c>
      <c r="B124" s="42" t="s">
        <v>390</v>
      </c>
      <c r="C124" s="15">
        <v>2.0</v>
      </c>
      <c r="D124" s="15" t="s">
        <v>238</v>
      </c>
      <c r="E124" s="16" t="s">
        <v>789</v>
      </c>
      <c r="F124" s="17" t="s">
        <v>790</v>
      </c>
      <c r="G124" s="15">
        <v>3.0</v>
      </c>
      <c r="H124" s="9" t="s">
        <v>393</v>
      </c>
      <c r="I124" s="9" t="s">
        <v>26</v>
      </c>
    </row>
    <row r="125">
      <c r="A125" s="16" t="s">
        <v>791</v>
      </c>
      <c r="B125" s="40" t="s">
        <v>390</v>
      </c>
      <c r="C125" s="15">
        <v>1.0</v>
      </c>
      <c r="D125" s="15" t="s">
        <v>380</v>
      </c>
      <c r="E125" s="16" t="s">
        <v>792</v>
      </c>
      <c r="F125" s="17" t="s">
        <v>361</v>
      </c>
      <c r="G125" s="15">
        <v>3.0</v>
      </c>
      <c r="H125" s="15" t="s">
        <v>611</v>
      </c>
      <c r="I125" s="15" t="s">
        <v>70</v>
      </c>
      <c r="J125" s="11" t="s">
        <v>793</v>
      </c>
      <c r="K125" s="13" t="s">
        <v>794</v>
      </c>
      <c r="L125" s="13" t="s">
        <v>795</v>
      </c>
      <c r="M125" s="13" t="s">
        <v>796</v>
      </c>
      <c r="N125" s="13" t="s">
        <v>797</v>
      </c>
      <c r="O125" s="13" t="s">
        <v>798</v>
      </c>
      <c r="P125" s="13" t="s">
        <v>799</v>
      </c>
      <c r="Q125" s="13" t="s">
        <v>800</v>
      </c>
      <c r="R125" s="13" t="s">
        <v>801</v>
      </c>
      <c r="S125" s="13" t="s">
        <v>802</v>
      </c>
      <c r="T125" s="13" t="s">
        <v>803</v>
      </c>
    </row>
    <row r="126" hidden="1">
      <c r="A126" s="16" t="s">
        <v>804</v>
      </c>
      <c r="B126" s="44" t="s">
        <v>390</v>
      </c>
      <c r="C126" s="15">
        <v>2.0</v>
      </c>
      <c r="D126" s="15" t="s">
        <v>561</v>
      </c>
      <c r="E126" s="16" t="s">
        <v>805</v>
      </c>
      <c r="F126" s="17" t="s">
        <v>361</v>
      </c>
      <c r="G126" s="15">
        <v>4.0</v>
      </c>
      <c r="H126" s="15" t="s">
        <v>403</v>
      </c>
      <c r="I126" s="15" t="s">
        <v>70</v>
      </c>
    </row>
    <row r="127" hidden="1">
      <c r="A127" s="16" t="s">
        <v>806</v>
      </c>
      <c r="B127" s="44" t="s">
        <v>390</v>
      </c>
      <c r="C127" s="15">
        <v>2.0</v>
      </c>
      <c r="D127" s="15" t="s">
        <v>380</v>
      </c>
      <c r="E127" s="16" t="s">
        <v>807</v>
      </c>
      <c r="F127" s="33"/>
      <c r="G127" s="15">
        <v>5.0</v>
      </c>
      <c r="H127" s="15" t="s">
        <v>559</v>
      </c>
      <c r="I127" s="15" t="s">
        <v>26</v>
      </c>
    </row>
    <row r="128">
      <c r="A128" s="7" t="s">
        <v>808</v>
      </c>
      <c r="B128" s="25" t="s">
        <v>390</v>
      </c>
      <c r="C128" s="9">
        <v>1.0</v>
      </c>
      <c r="D128" s="15" t="s">
        <v>809</v>
      </c>
      <c r="E128" s="16" t="s">
        <v>810</v>
      </c>
      <c r="F128" s="17" t="s">
        <v>811</v>
      </c>
      <c r="G128" s="15">
        <v>6.0</v>
      </c>
      <c r="H128" s="15" t="s">
        <v>495</v>
      </c>
      <c r="I128" s="9" t="s">
        <v>70</v>
      </c>
      <c r="J128" s="11" t="s">
        <v>812</v>
      </c>
      <c r="K128" s="13" t="s">
        <v>813</v>
      </c>
      <c r="L128" s="13" t="s">
        <v>814</v>
      </c>
      <c r="M128" s="13" t="s">
        <v>815</v>
      </c>
      <c r="N128" s="13" t="s">
        <v>816</v>
      </c>
      <c r="O128" s="13" t="s">
        <v>817</v>
      </c>
      <c r="P128" s="13" t="s">
        <v>818</v>
      </c>
    </row>
    <row r="129">
      <c r="A129" s="28" t="s">
        <v>819</v>
      </c>
      <c r="B129" s="64" t="s">
        <v>390</v>
      </c>
      <c r="C129" s="53">
        <v>1.0</v>
      </c>
      <c r="D129" s="65" t="s">
        <v>149</v>
      </c>
      <c r="E129" s="29" t="s">
        <v>820</v>
      </c>
      <c r="F129" s="66" t="s">
        <v>811</v>
      </c>
      <c r="G129" s="65">
        <v>4.0</v>
      </c>
      <c r="H129" s="65" t="s">
        <v>499</v>
      </c>
      <c r="I129" s="67" t="s">
        <v>70</v>
      </c>
      <c r="J129" s="11" t="s">
        <v>821</v>
      </c>
      <c r="K129" s="13" t="s">
        <v>822</v>
      </c>
      <c r="L129" s="13" t="s">
        <v>823</v>
      </c>
      <c r="M129" s="13" t="s">
        <v>824</v>
      </c>
      <c r="N129" s="13" t="s">
        <v>825</v>
      </c>
      <c r="O129" s="13" t="s">
        <v>826</v>
      </c>
      <c r="P129" s="13" t="s">
        <v>827</v>
      </c>
      <c r="Q129" s="13" t="s">
        <v>828</v>
      </c>
      <c r="R129" s="13" t="s">
        <v>829</v>
      </c>
      <c r="S129" s="13" t="s">
        <v>830</v>
      </c>
      <c r="T129" s="13" t="s">
        <v>831</v>
      </c>
    </row>
    <row r="130">
      <c r="A130" s="24" t="s">
        <v>832</v>
      </c>
      <c r="B130" s="25" t="s">
        <v>390</v>
      </c>
      <c r="C130" s="9">
        <v>1.0</v>
      </c>
      <c r="D130" s="9" t="s">
        <v>423</v>
      </c>
      <c r="E130" s="16" t="s">
        <v>833</v>
      </c>
      <c r="F130" s="17" t="s">
        <v>834</v>
      </c>
      <c r="G130" s="21">
        <v>2.0</v>
      </c>
      <c r="H130" s="9" t="s">
        <v>559</v>
      </c>
      <c r="I130" s="21" t="s">
        <v>70</v>
      </c>
      <c r="J130" s="11" t="s">
        <v>835</v>
      </c>
      <c r="K130" s="13" t="s">
        <v>836</v>
      </c>
      <c r="L130" s="13" t="s">
        <v>837</v>
      </c>
      <c r="M130" s="13" t="s">
        <v>838</v>
      </c>
      <c r="N130" s="13" t="s">
        <v>839</v>
      </c>
      <c r="O130" s="13" t="s">
        <v>840</v>
      </c>
      <c r="P130" s="13" t="s">
        <v>841</v>
      </c>
    </row>
    <row r="131">
      <c r="A131" s="68" t="s">
        <v>842</v>
      </c>
      <c r="B131" s="25" t="s">
        <v>390</v>
      </c>
      <c r="C131" s="9">
        <v>1.0</v>
      </c>
      <c r="D131" s="9" t="s">
        <v>111</v>
      </c>
      <c r="E131" s="7" t="s">
        <v>843</v>
      </c>
      <c r="F131" s="10" t="s">
        <v>844</v>
      </c>
      <c r="G131" s="21">
        <v>6.0</v>
      </c>
      <c r="H131" s="9" t="s">
        <v>845</v>
      </c>
      <c r="I131" s="9" t="s">
        <v>70</v>
      </c>
      <c r="J131" s="11" t="s">
        <v>846</v>
      </c>
      <c r="K131" s="13" t="s">
        <v>847</v>
      </c>
      <c r="L131" s="13" t="s">
        <v>848</v>
      </c>
      <c r="M131" s="13" t="s">
        <v>849</v>
      </c>
      <c r="N131" s="13" t="s">
        <v>850</v>
      </c>
      <c r="O131" s="13" t="s">
        <v>851</v>
      </c>
      <c r="P131" s="13" t="s">
        <v>852</v>
      </c>
      <c r="Q131" s="13" t="s">
        <v>853</v>
      </c>
    </row>
    <row r="132">
      <c r="A132" s="69" t="s">
        <v>854</v>
      </c>
      <c r="B132" s="70" t="s">
        <v>390</v>
      </c>
      <c r="C132" s="71">
        <v>1.0</v>
      </c>
      <c r="D132" s="71" t="s">
        <v>561</v>
      </c>
      <c r="E132" s="69" t="s">
        <v>855</v>
      </c>
      <c r="F132" s="69"/>
      <c r="G132" s="71">
        <v>3.0</v>
      </c>
      <c r="H132" s="71" t="s">
        <v>611</v>
      </c>
      <c r="I132" s="71" t="s">
        <v>70</v>
      </c>
      <c r="J132" s="11" t="s">
        <v>856</v>
      </c>
      <c r="K132" s="72" t="s">
        <v>857</v>
      </c>
      <c r="L132" s="72" t="s">
        <v>858</v>
      </c>
      <c r="M132" s="72" t="s">
        <v>859</v>
      </c>
      <c r="N132" s="72" t="s">
        <v>860</v>
      </c>
      <c r="O132" s="72" t="s">
        <v>861</v>
      </c>
      <c r="P132" s="72" t="s">
        <v>862</v>
      </c>
      <c r="Q132" s="72" t="s">
        <v>863</v>
      </c>
      <c r="R132" s="72" t="s">
        <v>864</v>
      </c>
      <c r="S132" s="72" t="s">
        <v>865</v>
      </c>
      <c r="T132" s="72" t="s">
        <v>866</v>
      </c>
    </row>
    <row r="133" hidden="1">
      <c r="A133" s="22" t="s">
        <v>867</v>
      </c>
      <c r="B133" s="25" t="s">
        <v>868</v>
      </c>
      <c r="C133" s="9">
        <v>2.0</v>
      </c>
      <c r="D133" s="9" t="s">
        <v>319</v>
      </c>
      <c r="E133" s="7" t="s">
        <v>869</v>
      </c>
      <c r="F133" s="10" t="s">
        <v>870</v>
      </c>
      <c r="G133" s="9">
        <v>3.0</v>
      </c>
      <c r="H133" s="9" t="s">
        <v>871</v>
      </c>
      <c r="I133" s="9" t="s">
        <v>70</v>
      </c>
    </row>
    <row r="134">
      <c r="A134" s="7" t="s">
        <v>872</v>
      </c>
      <c r="B134" s="25" t="s">
        <v>390</v>
      </c>
      <c r="C134" s="9">
        <v>1.0</v>
      </c>
      <c r="D134" s="9" t="s">
        <v>419</v>
      </c>
      <c r="F134" s="63" t="s">
        <v>873</v>
      </c>
      <c r="G134" s="9">
        <v>3.0</v>
      </c>
      <c r="H134" s="9" t="s">
        <v>559</v>
      </c>
      <c r="I134" s="9" t="s">
        <v>26</v>
      </c>
      <c r="J134" s="11" t="s">
        <v>874</v>
      </c>
      <c r="K134" s="13" t="s">
        <v>875</v>
      </c>
      <c r="L134" s="13" t="s">
        <v>876</v>
      </c>
      <c r="M134" s="13" t="s">
        <v>877</v>
      </c>
      <c r="N134" s="13" t="s">
        <v>878</v>
      </c>
      <c r="O134" s="13" t="s">
        <v>879</v>
      </c>
      <c r="P134" s="13" t="s">
        <v>880</v>
      </c>
      <c r="Q134" s="13" t="s">
        <v>881</v>
      </c>
      <c r="R134" s="13" t="s">
        <v>882</v>
      </c>
      <c r="S134" s="13" t="s">
        <v>883</v>
      </c>
      <c r="T134" s="13" t="s">
        <v>884</v>
      </c>
    </row>
    <row r="135" hidden="1">
      <c r="A135" s="18" t="s">
        <v>885</v>
      </c>
      <c r="B135" s="25" t="s">
        <v>868</v>
      </c>
      <c r="C135" s="9">
        <v>2.0</v>
      </c>
      <c r="D135" s="9" t="s">
        <v>886</v>
      </c>
      <c r="E135" s="7" t="s">
        <v>887</v>
      </c>
      <c r="F135" s="10" t="s">
        <v>888</v>
      </c>
      <c r="G135" s="9">
        <v>6.0</v>
      </c>
      <c r="H135" s="9" t="s">
        <v>889</v>
      </c>
      <c r="I135" s="9" t="s">
        <v>32</v>
      </c>
    </row>
    <row r="136" hidden="1">
      <c r="A136" s="7" t="s">
        <v>890</v>
      </c>
      <c r="B136" s="25" t="s">
        <v>891</v>
      </c>
      <c r="C136" s="9">
        <v>2.0</v>
      </c>
      <c r="D136" s="9" t="s">
        <v>892</v>
      </c>
      <c r="E136" s="73" t="s">
        <v>893</v>
      </c>
      <c r="F136" s="63" t="s">
        <v>894</v>
      </c>
      <c r="G136" s="9">
        <v>5.0</v>
      </c>
      <c r="H136" s="9" t="s">
        <v>895</v>
      </c>
      <c r="I136" s="9" t="s">
        <v>70</v>
      </c>
    </row>
    <row r="137">
      <c r="A137" s="7" t="s">
        <v>896</v>
      </c>
      <c r="B137" s="25" t="s">
        <v>390</v>
      </c>
      <c r="C137" s="9">
        <v>1.0</v>
      </c>
      <c r="D137" s="9" t="s">
        <v>380</v>
      </c>
      <c r="E137" s="7" t="s">
        <v>897</v>
      </c>
      <c r="F137" s="10" t="s">
        <v>898</v>
      </c>
      <c r="G137" s="9">
        <v>5.0</v>
      </c>
      <c r="H137" s="9" t="s">
        <v>544</v>
      </c>
      <c r="I137" s="9" t="s">
        <v>32</v>
      </c>
      <c r="J137" s="11" t="s">
        <v>899</v>
      </c>
      <c r="K137" s="13" t="s">
        <v>900</v>
      </c>
      <c r="L137" s="13" t="s">
        <v>901</v>
      </c>
      <c r="M137" s="13" t="s">
        <v>902</v>
      </c>
      <c r="N137" s="13" t="s">
        <v>903</v>
      </c>
      <c r="O137" s="13" t="s">
        <v>904</v>
      </c>
      <c r="P137" s="13" t="s">
        <v>905</v>
      </c>
      <c r="Q137" s="13" t="s">
        <v>906</v>
      </c>
      <c r="R137" s="13" t="s">
        <v>907</v>
      </c>
      <c r="S137" s="13" t="s">
        <v>908</v>
      </c>
      <c r="T137" s="13" t="s">
        <v>909</v>
      </c>
    </row>
    <row r="138" hidden="1">
      <c r="A138" s="16" t="s">
        <v>910</v>
      </c>
      <c r="B138" s="40" t="s">
        <v>891</v>
      </c>
      <c r="C138" s="15">
        <v>0.0</v>
      </c>
      <c r="D138" s="15" t="s">
        <v>911</v>
      </c>
      <c r="E138" s="16" t="s">
        <v>912</v>
      </c>
      <c r="F138" s="33"/>
      <c r="G138" s="15">
        <v>8.0</v>
      </c>
      <c r="H138" s="15" t="s">
        <v>913</v>
      </c>
      <c r="I138" s="15" t="s">
        <v>70</v>
      </c>
    </row>
    <row r="139" hidden="1">
      <c r="A139" s="16" t="s">
        <v>914</v>
      </c>
      <c r="B139" s="40" t="s">
        <v>891</v>
      </c>
      <c r="C139" s="15">
        <v>2.0</v>
      </c>
      <c r="D139" s="15" t="s">
        <v>149</v>
      </c>
      <c r="E139" s="16" t="s">
        <v>915</v>
      </c>
      <c r="F139" s="17" t="s">
        <v>916</v>
      </c>
      <c r="G139" s="15">
        <v>4.0</v>
      </c>
      <c r="H139" s="15" t="s">
        <v>917</v>
      </c>
      <c r="I139" s="15" t="s">
        <v>70</v>
      </c>
    </row>
    <row r="140">
      <c r="A140" s="7" t="s">
        <v>918</v>
      </c>
      <c r="B140" s="25" t="s">
        <v>390</v>
      </c>
      <c r="C140" s="9">
        <v>1.0</v>
      </c>
      <c r="D140" s="9" t="s">
        <v>765</v>
      </c>
      <c r="E140" s="16" t="s">
        <v>919</v>
      </c>
      <c r="F140" s="10" t="s">
        <v>920</v>
      </c>
      <c r="G140" s="9">
        <v>4.0</v>
      </c>
      <c r="H140" s="9" t="s">
        <v>499</v>
      </c>
      <c r="I140" s="9" t="s">
        <v>32</v>
      </c>
      <c r="J140" s="11" t="s">
        <v>921</v>
      </c>
      <c r="K140" s="13" t="s">
        <v>922</v>
      </c>
      <c r="L140" s="13" t="s">
        <v>923</v>
      </c>
      <c r="M140" s="13" t="s">
        <v>924</v>
      </c>
      <c r="N140" s="13" t="s">
        <v>925</v>
      </c>
      <c r="O140" s="13" t="s">
        <v>926</v>
      </c>
      <c r="P140" s="13" t="s">
        <v>927</v>
      </c>
      <c r="Q140" s="13" t="s">
        <v>928</v>
      </c>
      <c r="R140" s="13" t="s">
        <v>929</v>
      </c>
      <c r="S140" s="13" t="s">
        <v>930</v>
      </c>
      <c r="T140" s="13" t="s">
        <v>931</v>
      </c>
    </row>
    <row r="141" hidden="1">
      <c r="A141" s="22" t="s">
        <v>932</v>
      </c>
      <c r="B141" s="25" t="s">
        <v>891</v>
      </c>
      <c r="C141" s="9">
        <v>2.0</v>
      </c>
      <c r="D141" s="74" t="s">
        <v>911</v>
      </c>
      <c r="E141" s="7" t="s">
        <v>933</v>
      </c>
      <c r="F141" s="10" t="s">
        <v>934</v>
      </c>
      <c r="G141" s="9">
        <v>5.0</v>
      </c>
      <c r="H141" s="9" t="s">
        <v>917</v>
      </c>
      <c r="I141" s="9" t="s">
        <v>70</v>
      </c>
    </row>
    <row r="142">
      <c r="A142" s="16" t="s">
        <v>935</v>
      </c>
      <c r="B142" s="40" t="s">
        <v>390</v>
      </c>
      <c r="C142" s="15">
        <v>1.0</v>
      </c>
      <c r="D142" s="15" t="s">
        <v>561</v>
      </c>
      <c r="F142" s="33"/>
      <c r="G142" s="15">
        <v>3.0</v>
      </c>
      <c r="H142" s="15" t="s">
        <v>393</v>
      </c>
      <c r="I142" s="15" t="s">
        <v>26</v>
      </c>
    </row>
    <row r="143" hidden="1">
      <c r="A143" s="16" t="s">
        <v>936</v>
      </c>
      <c r="B143" s="40" t="s">
        <v>937</v>
      </c>
      <c r="C143" s="15">
        <v>2.0</v>
      </c>
      <c r="D143" s="15" t="s">
        <v>512</v>
      </c>
      <c r="E143" s="16" t="s">
        <v>938</v>
      </c>
      <c r="F143" s="17" t="s">
        <v>636</v>
      </c>
      <c r="G143" s="15">
        <v>0.0</v>
      </c>
      <c r="H143" s="15" t="s">
        <v>939</v>
      </c>
      <c r="I143" s="15" t="s">
        <v>70</v>
      </c>
    </row>
    <row r="144" hidden="1">
      <c r="A144" s="16" t="s">
        <v>940</v>
      </c>
      <c r="B144" s="40" t="s">
        <v>937</v>
      </c>
      <c r="C144" s="15">
        <v>2.0</v>
      </c>
      <c r="D144" s="15" t="s">
        <v>941</v>
      </c>
      <c r="E144" s="16" t="s">
        <v>942</v>
      </c>
      <c r="F144" s="17" t="s">
        <v>943</v>
      </c>
      <c r="G144" s="15">
        <v>3.0</v>
      </c>
      <c r="H144" s="15" t="s">
        <v>944</v>
      </c>
      <c r="I144" s="15" t="s">
        <v>70</v>
      </c>
    </row>
    <row r="145" hidden="1">
      <c r="A145" s="7" t="s">
        <v>945</v>
      </c>
      <c r="B145" s="25" t="s">
        <v>937</v>
      </c>
      <c r="C145" s="9">
        <v>0.0</v>
      </c>
      <c r="D145" s="9" t="s">
        <v>624</v>
      </c>
      <c r="E145" s="7" t="s">
        <v>946</v>
      </c>
      <c r="F145" s="47" t="s">
        <v>947</v>
      </c>
      <c r="G145" s="9">
        <v>7.0</v>
      </c>
      <c r="H145" s="9" t="s">
        <v>948</v>
      </c>
      <c r="I145" s="9" t="s">
        <v>70</v>
      </c>
    </row>
    <row r="146">
      <c r="A146" s="16" t="s">
        <v>949</v>
      </c>
      <c r="B146" s="40" t="s">
        <v>390</v>
      </c>
      <c r="C146" s="15">
        <v>1.0</v>
      </c>
      <c r="D146" s="15" t="s">
        <v>950</v>
      </c>
      <c r="F146" s="33"/>
      <c r="G146" s="15">
        <v>4.0</v>
      </c>
      <c r="H146" s="15" t="s">
        <v>611</v>
      </c>
      <c r="I146" s="15" t="s">
        <v>26</v>
      </c>
    </row>
    <row r="147" hidden="1">
      <c r="A147" s="7" t="s">
        <v>951</v>
      </c>
      <c r="B147" s="25" t="s">
        <v>937</v>
      </c>
      <c r="C147" s="15">
        <v>2.0</v>
      </c>
      <c r="D147" s="9" t="s">
        <v>952</v>
      </c>
      <c r="E147" s="7" t="s">
        <v>953</v>
      </c>
      <c r="F147" s="10" t="s">
        <v>954</v>
      </c>
      <c r="G147" s="9">
        <v>4.0</v>
      </c>
      <c r="H147" s="9" t="s">
        <v>944</v>
      </c>
      <c r="I147" s="9" t="s">
        <v>70</v>
      </c>
    </row>
    <row r="148">
      <c r="A148" s="24" t="s">
        <v>955</v>
      </c>
      <c r="B148" s="25" t="s">
        <v>390</v>
      </c>
      <c r="C148" s="15">
        <v>1.0</v>
      </c>
      <c r="D148" s="9" t="s">
        <v>561</v>
      </c>
      <c r="E148" s="7" t="s">
        <v>956</v>
      </c>
      <c r="F148" s="75" t="s">
        <v>957</v>
      </c>
      <c r="G148" s="21">
        <v>7.0</v>
      </c>
      <c r="H148" s="9" t="s">
        <v>958</v>
      </c>
      <c r="I148" s="21" t="s">
        <v>32</v>
      </c>
      <c r="J148" s="11" t="s">
        <v>959</v>
      </c>
      <c r="K148" s="13" t="s">
        <v>960</v>
      </c>
      <c r="L148" s="13" t="s">
        <v>961</v>
      </c>
      <c r="M148" s="13" t="s">
        <v>962</v>
      </c>
      <c r="N148" s="13" t="s">
        <v>963</v>
      </c>
      <c r="O148" s="13" t="s">
        <v>964</v>
      </c>
      <c r="P148" s="13" t="s">
        <v>965</v>
      </c>
      <c r="Q148" s="13" t="s">
        <v>966</v>
      </c>
      <c r="R148" s="13" t="s">
        <v>967</v>
      </c>
      <c r="S148" s="13" t="s">
        <v>968</v>
      </c>
      <c r="T148" s="13" t="s">
        <v>969</v>
      </c>
    </row>
    <row r="149" hidden="1">
      <c r="A149" s="22" t="s">
        <v>970</v>
      </c>
      <c r="B149" s="25" t="s">
        <v>937</v>
      </c>
      <c r="C149" s="9">
        <v>2.0</v>
      </c>
      <c r="D149" s="9" t="s">
        <v>971</v>
      </c>
      <c r="E149" s="7" t="s">
        <v>972</v>
      </c>
      <c r="F149" s="10" t="s">
        <v>973</v>
      </c>
      <c r="G149" s="9">
        <v>5.0</v>
      </c>
      <c r="H149" s="9" t="s">
        <v>944</v>
      </c>
      <c r="I149" s="9" t="s">
        <v>70</v>
      </c>
    </row>
    <row r="150" ht="15.75" customHeight="1">
      <c r="A150" s="20" t="s">
        <v>974</v>
      </c>
      <c r="B150" s="25" t="s">
        <v>390</v>
      </c>
      <c r="C150" s="9">
        <v>1.0</v>
      </c>
      <c r="D150" s="21" t="s">
        <v>380</v>
      </c>
      <c r="F150" s="10" t="s">
        <v>975</v>
      </c>
      <c r="G150" s="21">
        <v>5.0</v>
      </c>
      <c r="H150" s="9" t="s">
        <v>495</v>
      </c>
      <c r="I150" s="21" t="s">
        <v>26</v>
      </c>
      <c r="J150" s="11" t="s">
        <v>976</v>
      </c>
      <c r="K150" s="13" t="s">
        <v>977</v>
      </c>
      <c r="L150" s="13" t="s">
        <v>978</v>
      </c>
      <c r="M150" s="13" t="s">
        <v>979</v>
      </c>
      <c r="N150" s="13" t="s">
        <v>980</v>
      </c>
      <c r="O150" s="13" t="s">
        <v>981</v>
      </c>
      <c r="P150" s="13" t="s">
        <v>982</v>
      </c>
      <c r="Q150" s="13" t="s">
        <v>983</v>
      </c>
      <c r="R150" s="13" t="s">
        <v>984</v>
      </c>
      <c r="S150" s="13" t="s">
        <v>985</v>
      </c>
      <c r="T150" s="13" t="s">
        <v>986</v>
      </c>
    </row>
    <row r="151">
      <c r="A151" s="16" t="s">
        <v>987</v>
      </c>
      <c r="B151" s="40" t="s">
        <v>390</v>
      </c>
      <c r="C151" s="15">
        <v>1.0</v>
      </c>
      <c r="D151" s="15" t="s">
        <v>405</v>
      </c>
      <c r="E151" s="16"/>
      <c r="F151" s="17" t="s">
        <v>988</v>
      </c>
      <c r="G151" s="15">
        <v>9.0</v>
      </c>
      <c r="H151" s="15" t="s">
        <v>989</v>
      </c>
      <c r="I151" s="9" t="s">
        <v>26</v>
      </c>
      <c r="J151" s="11" t="s">
        <v>990</v>
      </c>
      <c r="K151" s="13" t="s">
        <v>991</v>
      </c>
      <c r="L151" s="13" t="s">
        <v>992</v>
      </c>
      <c r="M151" s="13" t="s">
        <v>993</v>
      </c>
      <c r="N151" s="13" t="s">
        <v>994</v>
      </c>
      <c r="O151" s="13" t="s">
        <v>995</v>
      </c>
      <c r="P151" s="13" t="s">
        <v>996</v>
      </c>
      <c r="Q151" s="13" t="s">
        <v>997</v>
      </c>
      <c r="R151" s="13" t="s">
        <v>998</v>
      </c>
      <c r="S151" s="13" t="s">
        <v>999</v>
      </c>
      <c r="T151" s="13" t="s">
        <v>1000</v>
      </c>
    </row>
    <row r="152">
      <c r="A152" s="16" t="s">
        <v>1001</v>
      </c>
      <c r="B152" s="40" t="s">
        <v>390</v>
      </c>
      <c r="C152" s="15">
        <v>1.0</v>
      </c>
      <c r="D152" s="15" t="s">
        <v>1002</v>
      </c>
      <c r="E152" s="16" t="s">
        <v>1003</v>
      </c>
      <c r="F152" s="17" t="s">
        <v>119</v>
      </c>
      <c r="G152" s="15">
        <v>3.0</v>
      </c>
      <c r="H152" s="15" t="s">
        <v>499</v>
      </c>
      <c r="I152" s="15" t="s">
        <v>32</v>
      </c>
      <c r="J152" s="11" t="s">
        <v>1004</v>
      </c>
      <c r="K152" s="13" t="s">
        <v>1005</v>
      </c>
      <c r="L152" s="13" t="s">
        <v>1006</v>
      </c>
      <c r="M152" s="13" t="s">
        <v>1007</v>
      </c>
      <c r="N152" s="13" t="s">
        <v>1008</v>
      </c>
      <c r="O152" s="13" t="s">
        <v>1009</v>
      </c>
    </row>
    <row r="153" hidden="1">
      <c r="A153" s="16" t="s">
        <v>1010</v>
      </c>
      <c r="B153" s="76" t="s">
        <v>1011</v>
      </c>
      <c r="C153" s="15">
        <v>2.0</v>
      </c>
      <c r="D153" s="15" t="s">
        <v>37</v>
      </c>
      <c r="E153" s="16" t="s">
        <v>1012</v>
      </c>
      <c r="F153" s="17" t="s">
        <v>1013</v>
      </c>
      <c r="G153" s="15">
        <v>2.0</v>
      </c>
      <c r="H153" s="15" t="s">
        <v>1014</v>
      </c>
      <c r="I153" s="15" t="s">
        <v>70</v>
      </c>
    </row>
    <row r="154">
      <c r="A154" s="31" t="s">
        <v>1015</v>
      </c>
      <c r="B154" s="40" t="s">
        <v>390</v>
      </c>
      <c r="C154" s="15">
        <v>1.0</v>
      </c>
      <c r="D154" s="16" t="s">
        <v>405</v>
      </c>
      <c r="E154" s="31" t="s">
        <v>1016</v>
      </c>
      <c r="G154" s="35"/>
      <c r="H154" s="35"/>
      <c r="I154" s="15" t="s">
        <v>32</v>
      </c>
    </row>
    <row r="155">
      <c r="A155" s="31" t="s">
        <v>1017</v>
      </c>
      <c r="B155" s="40" t="s">
        <v>390</v>
      </c>
      <c r="C155" s="15">
        <v>1.0</v>
      </c>
      <c r="D155" s="16" t="s">
        <v>405</v>
      </c>
      <c r="E155" s="77"/>
      <c r="G155" s="35"/>
      <c r="H155" s="35"/>
      <c r="I155" s="15" t="s">
        <v>32</v>
      </c>
    </row>
    <row r="156" hidden="1">
      <c r="A156" s="31" t="s">
        <v>1018</v>
      </c>
      <c r="B156" s="76" t="s">
        <v>1011</v>
      </c>
      <c r="C156" s="15">
        <v>2.0</v>
      </c>
      <c r="D156" s="15" t="s">
        <v>669</v>
      </c>
      <c r="E156" s="16" t="s">
        <v>1019</v>
      </c>
      <c r="F156" s="17" t="s">
        <v>670</v>
      </c>
      <c r="G156" s="15">
        <v>2.0</v>
      </c>
      <c r="H156" s="15" t="s">
        <v>1020</v>
      </c>
      <c r="I156" s="15" t="s">
        <v>26</v>
      </c>
    </row>
    <row r="157">
      <c r="A157" s="31" t="s">
        <v>1021</v>
      </c>
      <c r="B157" s="40" t="s">
        <v>390</v>
      </c>
      <c r="C157" s="15">
        <v>1.0</v>
      </c>
      <c r="D157" s="15" t="s">
        <v>1022</v>
      </c>
      <c r="E157" s="16" t="s">
        <v>1023</v>
      </c>
      <c r="F157" s="33"/>
      <c r="G157" s="15">
        <v>3.0</v>
      </c>
      <c r="H157" s="15" t="s">
        <v>393</v>
      </c>
      <c r="I157" s="15" t="s">
        <v>32</v>
      </c>
    </row>
    <row r="158">
      <c r="A158" s="16" t="s">
        <v>1024</v>
      </c>
      <c r="B158" s="40" t="s">
        <v>390</v>
      </c>
      <c r="C158" s="15">
        <v>1.0</v>
      </c>
      <c r="D158" s="15" t="s">
        <v>1025</v>
      </c>
      <c r="F158" s="33"/>
      <c r="G158" s="15">
        <v>2.0</v>
      </c>
      <c r="H158" s="9" t="s">
        <v>411</v>
      </c>
      <c r="I158" s="15" t="s">
        <v>26</v>
      </c>
    </row>
    <row r="159">
      <c r="A159" s="16" t="s">
        <v>1026</v>
      </c>
      <c r="B159" s="40" t="s">
        <v>390</v>
      </c>
      <c r="C159" s="15">
        <v>1.0</v>
      </c>
      <c r="D159" s="16" t="s">
        <v>405</v>
      </c>
      <c r="E159" s="78" t="s">
        <v>1027</v>
      </c>
      <c r="G159" s="15">
        <v>1.0</v>
      </c>
      <c r="H159" s="15" t="s">
        <v>1028</v>
      </c>
      <c r="I159" s="15" t="s">
        <v>26</v>
      </c>
    </row>
    <row r="160" hidden="1">
      <c r="A160" s="16" t="s">
        <v>1029</v>
      </c>
      <c r="B160" s="40" t="s">
        <v>1011</v>
      </c>
      <c r="C160" s="15">
        <v>2.0</v>
      </c>
      <c r="D160" s="15" t="s">
        <v>1030</v>
      </c>
      <c r="E160" s="16" t="s">
        <v>1031</v>
      </c>
      <c r="F160" s="17" t="s">
        <v>1032</v>
      </c>
      <c r="G160" s="15">
        <v>4.0</v>
      </c>
      <c r="H160" s="15" t="s">
        <v>415</v>
      </c>
      <c r="I160" s="15" t="s">
        <v>32</v>
      </c>
    </row>
    <row r="161">
      <c r="A161" s="7" t="s">
        <v>1033</v>
      </c>
      <c r="B161" s="7" t="s">
        <v>868</v>
      </c>
      <c r="C161" s="9">
        <v>1.0</v>
      </c>
      <c r="D161" s="9" t="s">
        <v>1034</v>
      </c>
      <c r="E161" s="7" t="s">
        <v>1035</v>
      </c>
      <c r="F161" s="10" t="s">
        <v>1036</v>
      </c>
      <c r="G161" s="9">
        <v>2.0</v>
      </c>
      <c r="H161" s="9" t="s">
        <v>871</v>
      </c>
      <c r="I161" s="9" t="s">
        <v>70</v>
      </c>
      <c r="J161" s="11" t="s">
        <v>1037</v>
      </c>
      <c r="K161" s="13" t="s">
        <v>1038</v>
      </c>
      <c r="L161" s="13" t="s">
        <v>1039</v>
      </c>
      <c r="M161" s="13" t="s">
        <v>1040</v>
      </c>
      <c r="N161" s="13" t="s">
        <v>1041</v>
      </c>
      <c r="O161" s="13" t="s">
        <v>1042</v>
      </c>
      <c r="P161" s="13" t="s">
        <v>1043</v>
      </c>
      <c r="Q161" s="13" t="s">
        <v>1044</v>
      </c>
      <c r="R161" s="13" t="s">
        <v>1045</v>
      </c>
      <c r="S161" s="13" t="s">
        <v>1046</v>
      </c>
      <c r="T161" s="13" t="s">
        <v>1047</v>
      </c>
    </row>
    <row r="162">
      <c r="A162" s="7" t="s">
        <v>1048</v>
      </c>
      <c r="B162" s="7" t="s">
        <v>868</v>
      </c>
      <c r="C162" s="9">
        <v>1.0</v>
      </c>
      <c r="D162" s="9" t="s">
        <v>319</v>
      </c>
      <c r="E162" s="7" t="s">
        <v>1049</v>
      </c>
      <c r="F162" s="75" t="s">
        <v>1050</v>
      </c>
      <c r="G162" s="9">
        <v>5.0</v>
      </c>
      <c r="H162" s="9" t="s">
        <v>1051</v>
      </c>
      <c r="I162" s="9" t="s">
        <v>32</v>
      </c>
      <c r="J162" s="11" t="s">
        <v>1052</v>
      </c>
      <c r="K162" s="13" t="s">
        <v>1053</v>
      </c>
      <c r="L162" s="13" t="s">
        <v>1054</v>
      </c>
      <c r="M162" s="13" t="s">
        <v>1055</v>
      </c>
      <c r="N162" s="13" t="s">
        <v>1056</v>
      </c>
      <c r="O162" s="13" t="s">
        <v>1057</v>
      </c>
      <c r="P162" s="13" t="s">
        <v>1058</v>
      </c>
      <c r="Q162" s="13" t="s">
        <v>1059</v>
      </c>
      <c r="R162" s="13" t="s">
        <v>1060</v>
      </c>
    </row>
    <row r="163" hidden="1">
      <c r="A163" s="16" t="s">
        <v>1061</v>
      </c>
      <c r="B163" s="79" t="s">
        <v>1011</v>
      </c>
      <c r="C163" s="15">
        <v>2.0</v>
      </c>
      <c r="D163" s="15" t="s">
        <v>37</v>
      </c>
      <c r="E163" s="16" t="s">
        <v>1062</v>
      </c>
      <c r="F163" s="17" t="s">
        <v>213</v>
      </c>
      <c r="G163" s="15">
        <v>2.0</v>
      </c>
      <c r="H163" s="15" t="s">
        <v>1063</v>
      </c>
      <c r="I163" s="9" t="s">
        <v>70</v>
      </c>
    </row>
    <row r="164" hidden="1">
      <c r="A164" s="16" t="s">
        <v>1064</v>
      </c>
      <c r="B164" s="79" t="s">
        <v>1011</v>
      </c>
      <c r="C164" s="15">
        <v>2.0</v>
      </c>
      <c r="D164" s="15" t="s">
        <v>149</v>
      </c>
      <c r="E164" s="16" t="s">
        <v>1065</v>
      </c>
      <c r="F164" s="17" t="s">
        <v>1066</v>
      </c>
      <c r="G164" s="15">
        <v>4.0</v>
      </c>
      <c r="H164" s="15" t="s">
        <v>1063</v>
      </c>
      <c r="I164" s="15" t="s">
        <v>70</v>
      </c>
    </row>
    <row r="165">
      <c r="A165" s="18" t="s">
        <v>1067</v>
      </c>
      <c r="B165" s="7" t="s">
        <v>868</v>
      </c>
      <c r="C165" s="9">
        <v>1.0</v>
      </c>
      <c r="D165" s="9" t="s">
        <v>1068</v>
      </c>
      <c r="E165" s="7"/>
      <c r="F165" s="10" t="s">
        <v>1069</v>
      </c>
      <c r="G165" s="9">
        <v>2.0</v>
      </c>
      <c r="H165" s="9" t="s">
        <v>1070</v>
      </c>
      <c r="I165" s="9" t="s">
        <v>26</v>
      </c>
      <c r="J165" s="11" t="s">
        <v>1071</v>
      </c>
      <c r="K165" s="13" t="s">
        <v>1072</v>
      </c>
      <c r="L165" s="13" t="s">
        <v>1073</v>
      </c>
      <c r="M165" s="13" t="s">
        <v>1074</v>
      </c>
      <c r="N165" s="13" t="s">
        <v>1075</v>
      </c>
      <c r="O165" s="13" t="s">
        <v>1076</v>
      </c>
      <c r="P165" s="13" t="s">
        <v>1077</v>
      </c>
      <c r="Q165" s="13" t="s">
        <v>1078</v>
      </c>
      <c r="R165" s="13" t="s">
        <v>1079</v>
      </c>
      <c r="S165" s="13" t="s">
        <v>1080</v>
      </c>
      <c r="T165" s="13" t="s">
        <v>1081</v>
      </c>
    </row>
    <row r="166">
      <c r="A166" s="80" t="s">
        <v>1082</v>
      </c>
      <c r="B166" s="7" t="s">
        <v>891</v>
      </c>
      <c r="C166" s="9">
        <v>1.0</v>
      </c>
      <c r="D166" s="9" t="s">
        <v>561</v>
      </c>
      <c r="E166" s="7" t="s">
        <v>1083</v>
      </c>
      <c r="F166" s="10" t="s">
        <v>1084</v>
      </c>
      <c r="G166" s="9">
        <v>5.0</v>
      </c>
      <c r="H166" s="9" t="s">
        <v>917</v>
      </c>
      <c r="I166" s="9" t="s">
        <v>70</v>
      </c>
      <c r="J166" s="11" t="s">
        <v>1085</v>
      </c>
      <c r="K166" s="13" t="s">
        <v>1086</v>
      </c>
      <c r="L166" s="13" t="s">
        <v>1087</v>
      </c>
      <c r="M166" s="13" t="s">
        <v>1088</v>
      </c>
      <c r="N166" s="13" t="s">
        <v>1089</v>
      </c>
      <c r="O166" s="13" t="s">
        <v>1090</v>
      </c>
      <c r="P166" s="13" t="s">
        <v>1091</v>
      </c>
      <c r="Q166" s="13" t="s">
        <v>1092</v>
      </c>
      <c r="R166" s="13" t="s">
        <v>1093</v>
      </c>
      <c r="S166" s="13" t="s">
        <v>1094</v>
      </c>
      <c r="T166" s="13" t="s">
        <v>1095</v>
      </c>
    </row>
    <row r="167" hidden="1">
      <c r="A167" s="7" t="s">
        <v>1096</v>
      </c>
      <c r="B167" s="81" t="s">
        <v>1011</v>
      </c>
      <c r="C167" s="9">
        <v>2.0</v>
      </c>
      <c r="D167" s="9" t="s">
        <v>37</v>
      </c>
      <c r="E167" s="82" t="s">
        <v>1097</v>
      </c>
      <c r="F167" s="10" t="s">
        <v>632</v>
      </c>
      <c r="G167" s="9">
        <v>3.0</v>
      </c>
      <c r="H167" s="9" t="s">
        <v>1020</v>
      </c>
      <c r="I167" s="9" t="s">
        <v>32</v>
      </c>
    </row>
    <row r="168">
      <c r="A168" s="7" t="s">
        <v>1098</v>
      </c>
      <c r="B168" s="7" t="s">
        <v>891</v>
      </c>
      <c r="C168" s="9">
        <v>1.0</v>
      </c>
      <c r="D168" s="9" t="s">
        <v>313</v>
      </c>
      <c r="E168" s="7" t="s">
        <v>1099</v>
      </c>
      <c r="F168" s="10" t="s">
        <v>1100</v>
      </c>
      <c r="G168" s="9">
        <v>6.0</v>
      </c>
      <c r="H168" s="9" t="s">
        <v>1101</v>
      </c>
      <c r="I168" s="9" t="s">
        <v>32</v>
      </c>
      <c r="J168" s="11" t="s">
        <v>1102</v>
      </c>
      <c r="K168" s="13" t="s">
        <v>1103</v>
      </c>
      <c r="L168" s="13" t="s">
        <v>1104</v>
      </c>
      <c r="M168" s="13" t="s">
        <v>1105</v>
      </c>
      <c r="N168" s="13" t="s">
        <v>1106</v>
      </c>
      <c r="O168" s="13" t="s">
        <v>1107</v>
      </c>
      <c r="P168" s="13" t="s">
        <v>1108</v>
      </c>
      <c r="Q168" s="13" t="s">
        <v>1109</v>
      </c>
      <c r="R168" s="13" t="s">
        <v>1110</v>
      </c>
      <c r="S168" s="13" t="s">
        <v>1111</v>
      </c>
      <c r="T168" s="13" t="s">
        <v>1112</v>
      </c>
    </row>
    <row r="169">
      <c r="A169" s="16" t="s">
        <v>1113</v>
      </c>
      <c r="B169" s="7" t="s">
        <v>891</v>
      </c>
      <c r="C169" s="9">
        <v>1.0</v>
      </c>
      <c r="D169" s="9" t="s">
        <v>1114</v>
      </c>
      <c r="E169" s="7"/>
      <c r="F169" s="10" t="s">
        <v>1115</v>
      </c>
      <c r="G169" s="9">
        <v>2.0</v>
      </c>
      <c r="H169" s="9" t="s">
        <v>1116</v>
      </c>
      <c r="I169" s="9" t="s">
        <v>26</v>
      </c>
      <c r="J169" s="11" t="s">
        <v>1117</v>
      </c>
      <c r="K169" s="13" t="s">
        <v>1118</v>
      </c>
      <c r="L169" s="13" t="s">
        <v>1119</v>
      </c>
      <c r="M169" s="13" t="s">
        <v>1120</v>
      </c>
      <c r="N169" s="13" t="s">
        <v>1121</v>
      </c>
      <c r="O169" s="13" t="s">
        <v>1122</v>
      </c>
      <c r="P169" s="13" t="s">
        <v>1123</v>
      </c>
      <c r="Q169" s="13" t="s">
        <v>1124</v>
      </c>
      <c r="R169" s="13" t="s">
        <v>1125</v>
      </c>
    </row>
    <row r="170" hidden="1">
      <c r="A170" s="22" t="s">
        <v>1126</v>
      </c>
      <c r="B170" s="81" t="s">
        <v>1011</v>
      </c>
      <c r="C170" s="9">
        <v>2.0</v>
      </c>
      <c r="D170" s="9" t="s">
        <v>308</v>
      </c>
      <c r="E170" s="7" t="s">
        <v>1127</v>
      </c>
      <c r="F170" s="10" t="s">
        <v>1128</v>
      </c>
      <c r="G170" s="9">
        <v>3.0</v>
      </c>
      <c r="H170" s="9" t="s">
        <v>1014</v>
      </c>
      <c r="I170" s="9" t="s">
        <v>70</v>
      </c>
    </row>
    <row r="171" hidden="1">
      <c r="A171" s="22" t="s">
        <v>1129</v>
      </c>
      <c r="B171" s="81" t="s">
        <v>1011</v>
      </c>
      <c r="C171" s="9">
        <v>2.0</v>
      </c>
      <c r="D171" s="9" t="s">
        <v>419</v>
      </c>
      <c r="E171" s="7" t="s">
        <v>1130</v>
      </c>
      <c r="F171" s="10" t="s">
        <v>1131</v>
      </c>
      <c r="G171" s="9">
        <v>2.0</v>
      </c>
      <c r="H171" s="9" t="s">
        <v>1132</v>
      </c>
      <c r="I171" s="9" t="s">
        <v>26</v>
      </c>
    </row>
    <row r="172" hidden="1">
      <c r="A172" s="16" t="s">
        <v>1133</v>
      </c>
      <c r="B172" s="79" t="s">
        <v>1011</v>
      </c>
      <c r="C172" s="15">
        <v>2.0</v>
      </c>
      <c r="D172" s="15" t="s">
        <v>149</v>
      </c>
      <c r="E172" s="16" t="s">
        <v>1134</v>
      </c>
      <c r="F172" s="17" t="s">
        <v>636</v>
      </c>
      <c r="G172" s="15">
        <v>4.0</v>
      </c>
      <c r="H172" s="15" t="s">
        <v>1135</v>
      </c>
      <c r="I172" s="15" t="s">
        <v>70</v>
      </c>
    </row>
    <row r="173" hidden="1">
      <c r="A173" s="22" t="s">
        <v>1136</v>
      </c>
      <c r="B173" s="81" t="s">
        <v>1011</v>
      </c>
      <c r="C173" s="9">
        <v>2.0</v>
      </c>
      <c r="D173" s="9" t="s">
        <v>308</v>
      </c>
      <c r="E173" s="7" t="s">
        <v>1137</v>
      </c>
      <c r="F173" s="10" t="s">
        <v>1138</v>
      </c>
      <c r="G173" s="9">
        <v>4.0</v>
      </c>
      <c r="H173" s="9" t="s">
        <v>1135</v>
      </c>
      <c r="I173" s="15" t="s">
        <v>70</v>
      </c>
    </row>
    <row r="174" hidden="1">
      <c r="A174" s="16" t="s">
        <v>1139</v>
      </c>
      <c r="B174" s="79" t="s">
        <v>1011</v>
      </c>
      <c r="C174" s="15">
        <v>2.0</v>
      </c>
      <c r="D174" s="15" t="s">
        <v>37</v>
      </c>
      <c r="E174" s="16" t="s">
        <v>1140</v>
      </c>
      <c r="F174" s="17" t="s">
        <v>1141</v>
      </c>
      <c r="G174" s="15">
        <v>1.0</v>
      </c>
      <c r="H174" s="15" t="s">
        <v>1132</v>
      </c>
      <c r="I174" s="15" t="s">
        <v>26</v>
      </c>
    </row>
    <row r="175">
      <c r="A175" s="7" t="s">
        <v>1142</v>
      </c>
      <c r="B175" s="7" t="s">
        <v>937</v>
      </c>
      <c r="C175" s="15">
        <v>1.0</v>
      </c>
      <c r="D175" s="9" t="s">
        <v>1143</v>
      </c>
      <c r="E175" s="7" t="s">
        <v>1144</v>
      </c>
      <c r="F175" s="10" t="s">
        <v>1145</v>
      </c>
      <c r="G175" s="9">
        <v>5.0</v>
      </c>
      <c r="H175" s="9" t="s">
        <v>944</v>
      </c>
      <c r="I175" s="9" t="s">
        <v>70</v>
      </c>
      <c r="J175" s="11" t="s">
        <v>1146</v>
      </c>
      <c r="K175" s="13" t="s">
        <v>1147</v>
      </c>
      <c r="L175" s="13" t="s">
        <v>1148</v>
      </c>
      <c r="M175" s="13" t="s">
        <v>1149</v>
      </c>
      <c r="N175" s="13" t="s">
        <v>1150</v>
      </c>
      <c r="O175" s="13" t="s">
        <v>1151</v>
      </c>
      <c r="P175" s="13" t="s">
        <v>1152</v>
      </c>
    </row>
    <row r="176" hidden="1">
      <c r="A176" s="16" t="s">
        <v>1153</v>
      </c>
      <c r="B176" s="79" t="s">
        <v>1011</v>
      </c>
      <c r="C176" s="15">
        <v>2.0</v>
      </c>
      <c r="D176" s="15" t="s">
        <v>149</v>
      </c>
      <c r="E176" s="16" t="s">
        <v>1154</v>
      </c>
      <c r="F176" s="17" t="s">
        <v>1155</v>
      </c>
      <c r="G176" s="15">
        <v>3.0</v>
      </c>
      <c r="H176" s="15" t="s">
        <v>1135</v>
      </c>
      <c r="I176" s="15" t="s">
        <v>26</v>
      </c>
    </row>
    <row r="177">
      <c r="A177" s="7" t="s">
        <v>1156</v>
      </c>
      <c r="B177" s="7" t="s">
        <v>937</v>
      </c>
      <c r="C177" s="9">
        <v>1.0</v>
      </c>
      <c r="D177" s="9" t="s">
        <v>786</v>
      </c>
      <c r="E177" s="7" t="s">
        <v>1157</v>
      </c>
      <c r="F177" s="10" t="s">
        <v>1158</v>
      </c>
      <c r="G177" s="9">
        <v>5.0</v>
      </c>
      <c r="H177" s="9" t="s">
        <v>1159</v>
      </c>
      <c r="I177" s="9" t="s">
        <v>32</v>
      </c>
      <c r="J177" s="11" t="s">
        <v>1160</v>
      </c>
      <c r="K177" s="13" t="s">
        <v>1161</v>
      </c>
      <c r="L177" s="13" t="s">
        <v>1162</v>
      </c>
      <c r="M177" s="13" t="s">
        <v>1163</v>
      </c>
    </row>
    <row r="178" hidden="1">
      <c r="A178" s="51" t="s">
        <v>1164</v>
      </c>
      <c r="B178" s="81" t="s">
        <v>1011</v>
      </c>
      <c r="C178" s="9">
        <v>2.0</v>
      </c>
      <c r="D178" s="9" t="s">
        <v>319</v>
      </c>
      <c r="E178" s="7" t="s">
        <v>1165</v>
      </c>
      <c r="F178" s="10" t="s">
        <v>1166</v>
      </c>
      <c r="G178" s="9">
        <v>3.0</v>
      </c>
      <c r="H178" s="9" t="s">
        <v>1063</v>
      </c>
      <c r="I178" s="9" t="s">
        <v>70</v>
      </c>
    </row>
    <row r="179">
      <c r="A179" s="7" t="s">
        <v>1167</v>
      </c>
      <c r="B179" s="7" t="s">
        <v>937</v>
      </c>
      <c r="C179" s="9">
        <v>1.0</v>
      </c>
      <c r="D179" s="9" t="s">
        <v>1168</v>
      </c>
      <c r="E179" s="7"/>
      <c r="F179" s="10" t="s">
        <v>1169</v>
      </c>
      <c r="G179" s="9">
        <v>2.0</v>
      </c>
      <c r="H179" s="9" t="s">
        <v>939</v>
      </c>
      <c r="I179" s="9" t="s">
        <v>26</v>
      </c>
      <c r="J179" s="11" t="s">
        <v>1170</v>
      </c>
      <c r="K179" s="13" t="s">
        <v>1171</v>
      </c>
      <c r="L179" s="13" t="s">
        <v>1172</v>
      </c>
      <c r="M179" s="13" t="s">
        <v>1173</v>
      </c>
      <c r="N179" s="13" t="s">
        <v>1174</v>
      </c>
      <c r="O179" s="13" t="s">
        <v>1175</v>
      </c>
      <c r="P179" s="13" t="s">
        <v>1176</v>
      </c>
      <c r="Q179" s="13" t="s">
        <v>1177</v>
      </c>
      <c r="R179" s="13" t="s">
        <v>1178</v>
      </c>
      <c r="S179" s="13" t="s">
        <v>1179</v>
      </c>
      <c r="T179" s="13" t="s">
        <v>1180</v>
      </c>
    </row>
    <row r="180">
      <c r="A180" s="7" t="s">
        <v>1181</v>
      </c>
      <c r="B180" s="7" t="s">
        <v>1011</v>
      </c>
      <c r="C180" s="9">
        <v>1.0</v>
      </c>
      <c r="D180" s="15" t="s">
        <v>627</v>
      </c>
      <c r="E180" s="16" t="s">
        <v>1182</v>
      </c>
      <c r="F180" s="38" t="s">
        <v>1183</v>
      </c>
      <c r="G180" s="15">
        <v>3.0</v>
      </c>
      <c r="H180" s="15" t="s">
        <v>1014</v>
      </c>
      <c r="I180" s="9" t="s">
        <v>26</v>
      </c>
      <c r="J180" s="11" t="s">
        <v>1184</v>
      </c>
      <c r="K180" s="13" t="s">
        <v>1185</v>
      </c>
      <c r="L180" s="13" t="s">
        <v>1186</v>
      </c>
      <c r="M180" s="13" t="s">
        <v>1187</v>
      </c>
      <c r="N180" s="13" t="s">
        <v>1188</v>
      </c>
      <c r="O180" s="13" t="s">
        <v>1189</v>
      </c>
      <c r="P180" s="13" t="s">
        <v>1186</v>
      </c>
      <c r="Q180" s="13" t="s">
        <v>1190</v>
      </c>
    </row>
    <row r="181" hidden="1">
      <c r="A181" s="22" t="s">
        <v>1191</v>
      </c>
      <c r="B181" s="81" t="s">
        <v>1011</v>
      </c>
      <c r="C181" s="15">
        <v>2.0</v>
      </c>
      <c r="D181" s="9" t="s">
        <v>80</v>
      </c>
      <c r="E181" s="7" t="s">
        <v>1192</v>
      </c>
      <c r="F181" s="10" t="s">
        <v>1193</v>
      </c>
      <c r="G181" s="9">
        <v>3.0</v>
      </c>
      <c r="H181" s="9" t="s">
        <v>1063</v>
      </c>
      <c r="I181" s="9" t="s">
        <v>70</v>
      </c>
    </row>
    <row r="182" ht="14.25" customHeight="1">
      <c r="A182" s="7" t="s">
        <v>1194</v>
      </c>
      <c r="B182" s="7" t="s">
        <v>1011</v>
      </c>
      <c r="C182" s="9">
        <v>1.0</v>
      </c>
      <c r="D182" s="9" t="s">
        <v>634</v>
      </c>
      <c r="E182" s="7" t="s">
        <v>1195</v>
      </c>
      <c r="F182" s="10" t="s">
        <v>1196</v>
      </c>
      <c r="G182" s="9">
        <v>1.0</v>
      </c>
      <c r="H182" s="9" t="s">
        <v>1020</v>
      </c>
      <c r="I182" s="9" t="s">
        <v>26</v>
      </c>
      <c r="J182" s="11" t="s">
        <v>1197</v>
      </c>
      <c r="K182" s="13" t="s">
        <v>1198</v>
      </c>
      <c r="L182" s="13" t="s">
        <v>1199</v>
      </c>
      <c r="M182" s="13" t="s">
        <v>1200</v>
      </c>
      <c r="N182" s="13" t="s">
        <v>1201</v>
      </c>
      <c r="O182" s="13" t="s">
        <v>1202</v>
      </c>
      <c r="P182" s="13" t="s">
        <v>1203</v>
      </c>
      <c r="Q182" s="13" t="s">
        <v>1204</v>
      </c>
    </row>
    <row r="183" hidden="1">
      <c r="A183" s="7" t="s">
        <v>1205</v>
      </c>
      <c r="B183" s="81" t="s">
        <v>1011</v>
      </c>
      <c r="C183" s="15">
        <v>2.0</v>
      </c>
      <c r="D183" s="9" t="s">
        <v>37</v>
      </c>
      <c r="E183" s="83" t="s">
        <v>1206</v>
      </c>
      <c r="F183" s="10" t="s">
        <v>1207</v>
      </c>
      <c r="G183" s="9">
        <v>3.0</v>
      </c>
      <c r="H183" s="9" t="s">
        <v>1063</v>
      </c>
      <c r="I183" s="9" t="s">
        <v>70</v>
      </c>
    </row>
    <row r="184" ht="16.5" hidden="1" customHeight="1">
      <c r="A184" s="22" t="s">
        <v>1208</v>
      </c>
      <c r="B184" s="81" t="s">
        <v>1011</v>
      </c>
      <c r="C184" s="9">
        <v>0.0</v>
      </c>
      <c r="D184" s="9" t="s">
        <v>238</v>
      </c>
      <c r="E184" s="7" t="s">
        <v>1209</v>
      </c>
      <c r="F184" s="10" t="s">
        <v>1210</v>
      </c>
      <c r="G184" s="9">
        <v>4.0</v>
      </c>
      <c r="H184" s="9" t="s">
        <v>1135</v>
      </c>
      <c r="I184" s="15" t="s">
        <v>70</v>
      </c>
    </row>
    <row r="185" hidden="1">
      <c r="A185" s="16" t="s">
        <v>1211</v>
      </c>
      <c r="B185" s="81" t="s">
        <v>1011</v>
      </c>
      <c r="C185" s="9">
        <v>2.0</v>
      </c>
      <c r="D185" s="9" t="s">
        <v>971</v>
      </c>
      <c r="E185" s="7" t="s">
        <v>1212</v>
      </c>
      <c r="F185" s="10" t="s">
        <v>632</v>
      </c>
      <c r="G185" s="9">
        <v>2.0</v>
      </c>
      <c r="H185" s="9" t="s">
        <v>1213</v>
      </c>
      <c r="I185" s="9" t="s">
        <v>70</v>
      </c>
    </row>
    <row r="186">
      <c r="A186" s="16" t="s">
        <v>1214</v>
      </c>
      <c r="B186" s="7" t="s">
        <v>1011</v>
      </c>
      <c r="C186" s="9">
        <v>1.0</v>
      </c>
      <c r="D186" s="9" t="s">
        <v>37</v>
      </c>
      <c r="E186" s="7" t="s">
        <v>60</v>
      </c>
      <c r="F186" s="10" t="s">
        <v>1215</v>
      </c>
      <c r="G186" s="9">
        <v>1.0</v>
      </c>
      <c r="H186" s="9" t="s">
        <v>1132</v>
      </c>
      <c r="I186" s="9" t="s">
        <v>26</v>
      </c>
      <c r="J186" s="11" t="s">
        <v>1216</v>
      </c>
      <c r="K186" s="13" t="s">
        <v>1217</v>
      </c>
      <c r="L186" s="13" t="s">
        <v>1218</v>
      </c>
      <c r="M186" s="13" t="s">
        <v>1219</v>
      </c>
      <c r="N186" s="13" t="s">
        <v>1220</v>
      </c>
      <c r="O186" s="13" t="s">
        <v>1221</v>
      </c>
      <c r="P186" s="13" t="s">
        <v>1222</v>
      </c>
      <c r="Q186" s="13" t="s">
        <v>1223</v>
      </c>
      <c r="R186" s="13" t="s">
        <v>1224</v>
      </c>
      <c r="S186" s="13" t="s">
        <v>1225</v>
      </c>
    </row>
    <row r="187" hidden="1">
      <c r="A187" s="16" t="s">
        <v>1226</v>
      </c>
      <c r="B187" s="79" t="s">
        <v>1011</v>
      </c>
      <c r="C187" s="15">
        <v>2.0</v>
      </c>
      <c r="D187" s="15" t="s">
        <v>111</v>
      </c>
      <c r="E187" s="16" t="s">
        <v>1227</v>
      </c>
      <c r="F187" s="17" t="s">
        <v>1228</v>
      </c>
      <c r="G187" s="15">
        <v>1.0</v>
      </c>
      <c r="H187" s="15" t="s">
        <v>1132</v>
      </c>
      <c r="I187" s="15" t="s">
        <v>26</v>
      </c>
    </row>
    <row r="188">
      <c r="A188" s="22" t="s">
        <v>1229</v>
      </c>
      <c r="B188" s="7" t="s">
        <v>1011</v>
      </c>
      <c r="C188" s="9">
        <v>1.0</v>
      </c>
      <c r="D188" s="9" t="s">
        <v>133</v>
      </c>
      <c r="E188" s="7" t="s">
        <v>1230</v>
      </c>
      <c r="F188" s="10" t="s">
        <v>1231</v>
      </c>
      <c r="G188" s="9">
        <v>3.0</v>
      </c>
      <c r="H188" s="9" t="s">
        <v>1232</v>
      </c>
      <c r="I188" s="9" t="s">
        <v>26</v>
      </c>
      <c r="J188" s="11" t="s">
        <v>1233</v>
      </c>
      <c r="K188" s="13" t="s">
        <v>1234</v>
      </c>
      <c r="L188" s="13" t="s">
        <v>1235</v>
      </c>
      <c r="M188" s="13" t="s">
        <v>1236</v>
      </c>
      <c r="N188" s="13" t="s">
        <v>1237</v>
      </c>
      <c r="O188" s="13" t="s">
        <v>1238</v>
      </c>
    </row>
    <row r="189">
      <c r="A189" s="22" t="s">
        <v>1239</v>
      </c>
      <c r="B189" s="7" t="s">
        <v>1011</v>
      </c>
      <c r="C189" s="9">
        <v>1.0</v>
      </c>
      <c r="D189" s="9" t="s">
        <v>405</v>
      </c>
      <c r="E189" s="7" t="s">
        <v>1240</v>
      </c>
      <c r="F189" s="10" t="s">
        <v>1241</v>
      </c>
      <c r="G189" s="9">
        <v>2.0</v>
      </c>
      <c r="H189" s="9" t="s">
        <v>1063</v>
      </c>
      <c r="I189" s="9" t="s">
        <v>26</v>
      </c>
      <c r="J189" s="11" t="s">
        <v>1242</v>
      </c>
      <c r="K189" s="13" t="s">
        <v>1243</v>
      </c>
      <c r="L189" s="13" t="s">
        <v>1244</v>
      </c>
      <c r="M189" s="13" t="s">
        <v>1245</v>
      </c>
      <c r="N189" s="13" t="s">
        <v>1246</v>
      </c>
      <c r="O189" s="13" t="s">
        <v>1247</v>
      </c>
      <c r="P189" s="13" t="s">
        <v>1248</v>
      </c>
      <c r="Q189" s="13" t="s">
        <v>1249</v>
      </c>
    </row>
    <row r="190">
      <c r="A190" s="22" t="s">
        <v>1250</v>
      </c>
      <c r="B190" s="7" t="s">
        <v>1011</v>
      </c>
      <c r="C190" s="9">
        <v>1.0</v>
      </c>
      <c r="D190" s="9" t="s">
        <v>80</v>
      </c>
      <c r="E190" s="7" t="s">
        <v>1251</v>
      </c>
      <c r="F190" s="10" t="s">
        <v>1252</v>
      </c>
      <c r="G190" s="9">
        <v>4.0</v>
      </c>
      <c r="H190" s="9" t="s">
        <v>1253</v>
      </c>
      <c r="I190" s="9" t="s">
        <v>26</v>
      </c>
      <c r="J190" s="11" t="s">
        <v>1254</v>
      </c>
      <c r="K190" s="13" t="s">
        <v>1255</v>
      </c>
      <c r="L190" s="13" t="s">
        <v>1256</v>
      </c>
      <c r="M190" s="13" t="s">
        <v>1257</v>
      </c>
      <c r="N190" s="13" t="s">
        <v>1258</v>
      </c>
      <c r="O190" s="13" t="s">
        <v>1259</v>
      </c>
    </row>
    <row r="191">
      <c r="A191" s="7" t="s">
        <v>1260</v>
      </c>
      <c r="B191" s="7" t="s">
        <v>1011</v>
      </c>
      <c r="C191" s="9">
        <v>1.0</v>
      </c>
      <c r="D191" s="9" t="s">
        <v>971</v>
      </c>
      <c r="E191" s="73" t="s">
        <v>1261</v>
      </c>
      <c r="F191" s="17" t="s">
        <v>1262</v>
      </c>
      <c r="G191" s="9">
        <v>6.0</v>
      </c>
      <c r="H191" s="9" t="s">
        <v>1263</v>
      </c>
      <c r="I191" s="9" t="s">
        <v>26</v>
      </c>
      <c r="J191" s="11" t="s">
        <v>1264</v>
      </c>
      <c r="K191" s="13" t="s">
        <v>1265</v>
      </c>
      <c r="L191" s="13" t="s">
        <v>1266</v>
      </c>
      <c r="M191" s="13" t="s">
        <v>1267</v>
      </c>
      <c r="N191" s="13" t="s">
        <v>1268</v>
      </c>
      <c r="O191" s="13" t="s">
        <v>1269</v>
      </c>
      <c r="P191" s="13" t="s">
        <v>1270</v>
      </c>
    </row>
    <row r="192" hidden="1">
      <c r="A192" s="22" t="s">
        <v>1271</v>
      </c>
      <c r="B192" s="81" t="s">
        <v>1011</v>
      </c>
      <c r="C192" s="9">
        <v>2.0</v>
      </c>
      <c r="D192" s="9" t="s">
        <v>111</v>
      </c>
      <c r="E192" s="7" t="s">
        <v>1272</v>
      </c>
      <c r="F192" s="10" t="s">
        <v>1273</v>
      </c>
      <c r="G192" s="9">
        <v>1.0</v>
      </c>
      <c r="H192" s="9" t="s">
        <v>1020</v>
      </c>
      <c r="I192" s="9" t="s">
        <v>26</v>
      </c>
    </row>
    <row r="193" hidden="1">
      <c r="A193" s="7" t="s">
        <v>1274</v>
      </c>
      <c r="B193" s="81" t="s">
        <v>1011</v>
      </c>
      <c r="C193" s="15">
        <v>2.0</v>
      </c>
      <c r="D193" s="9" t="s">
        <v>250</v>
      </c>
      <c r="E193" s="7" t="s">
        <v>1275</v>
      </c>
      <c r="F193" s="10" t="s">
        <v>24</v>
      </c>
      <c r="G193" s="9">
        <v>6.0</v>
      </c>
      <c r="H193" s="9" t="s">
        <v>1232</v>
      </c>
      <c r="I193" s="9" t="s">
        <v>32</v>
      </c>
    </row>
    <row r="194">
      <c r="A194" s="24" t="s">
        <v>1276</v>
      </c>
      <c r="B194" s="7" t="s">
        <v>1011</v>
      </c>
      <c r="C194" s="9">
        <v>1.0</v>
      </c>
      <c r="D194" s="21" t="s">
        <v>111</v>
      </c>
      <c r="E194" s="73" t="s">
        <v>1277</v>
      </c>
      <c r="F194" s="63" t="s">
        <v>1278</v>
      </c>
      <c r="G194" s="9">
        <v>2.0</v>
      </c>
      <c r="H194" s="9" t="s">
        <v>1279</v>
      </c>
      <c r="I194" s="15" t="s">
        <v>26</v>
      </c>
      <c r="J194" s="11" t="s">
        <v>1280</v>
      </c>
      <c r="K194" s="13" t="s">
        <v>1281</v>
      </c>
      <c r="L194" s="13" t="s">
        <v>1282</v>
      </c>
      <c r="M194" s="13" t="s">
        <v>1283</v>
      </c>
      <c r="N194" s="13" t="s">
        <v>1284</v>
      </c>
      <c r="O194" s="13" t="s">
        <v>1285</v>
      </c>
    </row>
    <row r="195" hidden="1">
      <c r="A195" s="16" t="s">
        <v>1286</v>
      </c>
      <c r="B195" s="79" t="s">
        <v>1011</v>
      </c>
      <c r="C195" s="15">
        <v>2.0</v>
      </c>
      <c r="D195" s="15" t="s">
        <v>971</v>
      </c>
      <c r="E195" s="16" t="s">
        <v>1287</v>
      </c>
      <c r="F195" s="17" t="s">
        <v>24</v>
      </c>
      <c r="G195" s="15">
        <v>1.0</v>
      </c>
      <c r="H195" s="15" t="s">
        <v>1132</v>
      </c>
      <c r="I195" s="15" t="s">
        <v>26</v>
      </c>
    </row>
    <row r="196">
      <c r="A196" s="16" t="s">
        <v>1288</v>
      </c>
      <c r="B196" s="7" t="s">
        <v>1011</v>
      </c>
      <c r="C196" s="9">
        <v>1.0</v>
      </c>
      <c r="D196" s="9" t="s">
        <v>419</v>
      </c>
      <c r="E196" s="7" t="s">
        <v>1289</v>
      </c>
      <c r="F196" s="10" t="s">
        <v>1290</v>
      </c>
      <c r="G196" s="9">
        <v>1.0</v>
      </c>
      <c r="H196" s="9" t="s">
        <v>1020</v>
      </c>
      <c r="I196" s="21" t="s">
        <v>26</v>
      </c>
      <c r="J196" s="11" t="s">
        <v>1291</v>
      </c>
      <c r="K196" s="13" t="s">
        <v>1292</v>
      </c>
      <c r="L196" s="13" t="s">
        <v>1293</v>
      </c>
      <c r="M196" s="13" t="s">
        <v>1294</v>
      </c>
      <c r="N196" s="13" t="s">
        <v>1295</v>
      </c>
      <c r="O196" s="13" t="s">
        <v>1296</v>
      </c>
      <c r="P196" s="13" t="s">
        <v>1297</v>
      </c>
      <c r="Q196" s="13" t="s">
        <v>1298</v>
      </c>
    </row>
    <row r="197">
      <c r="A197" s="7" t="s">
        <v>1299</v>
      </c>
      <c r="B197" s="7" t="s">
        <v>1011</v>
      </c>
      <c r="C197" s="9">
        <v>1.0</v>
      </c>
      <c r="D197" s="9" t="s">
        <v>971</v>
      </c>
      <c r="E197" s="7" t="s">
        <v>1300</v>
      </c>
      <c r="F197" s="10" t="s">
        <v>1301</v>
      </c>
      <c r="G197" s="9">
        <v>0.0</v>
      </c>
      <c r="H197" s="9" t="s">
        <v>1253</v>
      </c>
      <c r="I197" s="9" t="s">
        <v>26</v>
      </c>
      <c r="J197" s="11" t="s">
        <v>1302</v>
      </c>
      <c r="K197" s="13" t="s">
        <v>1303</v>
      </c>
      <c r="L197" s="13" t="s">
        <v>1304</v>
      </c>
      <c r="M197" s="13" t="s">
        <v>1305</v>
      </c>
      <c r="N197" s="13" t="s">
        <v>1306</v>
      </c>
      <c r="O197" s="13" t="s">
        <v>1307</v>
      </c>
    </row>
    <row r="198">
      <c r="A198" s="7" t="s">
        <v>1308</v>
      </c>
      <c r="B198" s="7" t="s">
        <v>1011</v>
      </c>
      <c r="C198" s="9">
        <v>1.0</v>
      </c>
      <c r="D198" s="9" t="s">
        <v>111</v>
      </c>
      <c r="E198" s="73" t="s">
        <v>1309</v>
      </c>
      <c r="F198" s="84" t="s">
        <v>1310</v>
      </c>
      <c r="G198" s="9">
        <v>2.0</v>
      </c>
      <c r="H198" s="9" t="s">
        <v>1014</v>
      </c>
      <c r="I198" s="9" t="s">
        <v>26</v>
      </c>
      <c r="J198" s="11" t="s">
        <v>1311</v>
      </c>
      <c r="K198" s="13" t="s">
        <v>1312</v>
      </c>
      <c r="L198" s="13" t="s">
        <v>1313</v>
      </c>
    </row>
    <row r="199">
      <c r="A199" s="16" t="s">
        <v>1314</v>
      </c>
      <c r="B199" s="7" t="s">
        <v>1011</v>
      </c>
      <c r="C199" s="9">
        <v>1.0</v>
      </c>
      <c r="D199" s="9" t="s">
        <v>149</v>
      </c>
      <c r="E199" s="32" t="s">
        <v>1315</v>
      </c>
      <c r="F199" s="10" t="s">
        <v>1316</v>
      </c>
      <c r="G199" s="9">
        <v>4.0</v>
      </c>
      <c r="H199" s="9" t="s">
        <v>1063</v>
      </c>
      <c r="I199" s="9" t="s">
        <v>70</v>
      </c>
      <c r="J199" s="11" t="s">
        <v>1317</v>
      </c>
      <c r="K199" s="13" t="s">
        <v>1318</v>
      </c>
      <c r="L199" s="13" t="s">
        <v>1319</v>
      </c>
      <c r="M199" s="13" t="s">
        <v>1320</v>
      </c>
      <c r="N199" s="13" t="s">
        <v>1321</v>
      </c>
      <c r="O199" s="13" t="s">
        <v>1322</v>
      </c>
      <c r="P199" s="13" t="s">
        <v>1323</v>
      </c>
      <c r="Q199" s="13" t="s">
        <v>1324</v>
      </c>
    </row>
    <row r="200">
      <c r="A200" s="7" t="s">
        <v>1325</v>
      </c>
      <c r="B200" s="7" t="s">
        <v>1011</v>
      </c>
      <c r="C200" s="9">
        <v>1.0</v>
      </c>
      <c r="D200" s="9" t="s">
        <v>37</v>
      </c>
      <c r="E200" s="7" t="s">
        <v>1326</v>
      </c>
      <c r="F200" s="10" t="s">
        <v>1327</v>
      </c>
      <c r="G200" s="9">
        <v>1.0</v>
      </c>
      <c r="H200" s="9" t="s">
        <v>1020</v>
      </c>
      <c r="I200" s="9" t="s">
        <v>70</v>
      </c>
      <c r="J200" s="11" t="s">
        <v>1328</v>
      </c>
      <c r="K200" s="13" t="s">
        <v>1329</v>
      </c>
      <c r="L200" s="13" t="s">
        <v>1330</v>
      </c>
      <c r="M200" s="13" t="s">
        <v>1331</v>
      </c>
    </row>
    <row r="201" hidden="1">
      <c r="A201" s="16" t="s">
        <v>1332</v>
      </c>
      <c r="B201" s="16" t="s">
        <v>1011</v>
      </c>
      <c r="C201" s="15">
        <v>2.0</v>
      </c>
      <c r="D201" s="15" t="s">
        <v>1333</v>
      </c>
      <c r="E201" s="16" t="s">
        <v>1334</v>
      </c>
      <c r="F201" s="17" t="s">
        <v>1335</v>
      </c>
      <c r="G201" s="15">
        <v>5.0</v>
      </c>
      <c r="H201" s="15" t="s">
        <v>415</v>
      </c>
      <c r="I201" s="15" t="s">
        <v>26</v>
      </c>
    </row>
    <row r="202" hidden="1">
      <c r="A202" s="51" t="s">
        <v>1336</v>
      </c>
      <c r="B202" s="54" t="s">
        <v>1337</v>
      </c>
      <c r="C202" s="53">
        <v>2.0</v>
      </c>
      <c r="D202" s="53" t="s">
        <v>1338</v>
      </c>
      <c r="E202" s="54" t="s">
        <v>1339</v>
      </c>
      <c r="F202" s="55" t="s">
        <v>24</v>
      </c>
      <c r="G202" s="56">
        <v>7.0</v>
      </c>
      <c r="H202" s="53" t="s">
        <v>1340</v>
      </c>
      <c r="I202" s="56" t="s">
        <v>70</v>
      </c>
    </row>
    <row r="203">
      <c r="A203" s="22" t="s">
        <v>1341</v>
      </c>
      <c r="B203" s="7" t="s">
        <v>1011</v>
      </c>
      <c r="C203" s="9">
        <v>1.0</v>
      </c>
      <c r="D203" s="9" t="s">
        <v>250</v>
      </c>
      <c r="E203" s="7" t="s">
        <v>1342</v>
      </c>
      <c r="F203" s="10" t="s">
        <v>1343</v>
      </c>
      <c r="G203" s="9">
        <v>2.0</v>
      </c>
      <c r="H203" s="9" t="s">
        <v>1014</v>
      </c>
      <c r="I203" s="9" t="s">
        <v>70</v>
      </c>
      <c r="J203" s="11" t="s">
        <v>1344</v>
      </c>
      <c r="K203" s="13" t="s">
        <v>1345</v>
      </c>
      <c r="L203" s="13" t="s">
        <v>1346</v>
      </c>
      <c r="M203" s="13" t="s">
        <v>1347</v>
      </c>
    </row>
    <row r="204" hidden="1">
      <c r="A204" s="7" t="s">
        <v>1348</v>
      </c>
      <c r="B204" s="7" t="s">
        <v>1337</v>
      </c>
      <c r="C204" s="9">
        <v>2.0</v>
      </c>
      <c r="D204" s="9" t="s">
        <v>380</v>
      </c>
      <c r="E204" s="16" t="s">
        <v>1349</v>
      </c>
      <c r="F204" s="17" t="s">
        <v>1350</v>
      </c>
      <c r="G204" s="9">
        <v>3.0</v>
      </c>
      <c r="H204" s="9" t="s">
        <v>1351</v>
      </c>
      <c r="I204" s="9" t="s">
        <v>70</v>
      </c>
    </row>
    <row r="205">
      <c r="A205" s="7" t="s">
        <v>1352</v>
      </c>
      <c r="B205" s="7" t="s">
        <v>1011</v>
      </c>
      <c r="C205" s="9">
        <v>1.0</v>
      </c>
      <c r="D205" s="9" t="s">
        <v>80</v>
      </c>
      <c r="E205" s="7" t="s">
        <v>1353</v>
      </c>
      <c r="F205" s="10" t="s">
        <v>1354</v>
      </c>
      <c r="G205" s="9">
        <v>2.0</v>
      </c>
      <c r="H205" s="9" t="s">
        <v>1063</v>
      </c>
      <c r="I205" s="9" t="s">
        <v>70</v>
      </c>
      <c r="J205" s="11" t="s">
        <v>1355</v>
      </c>
      <c r="K205" s="13" t="s">
        <v>1356</v>
      </c>
      <c r="L205" s="13" t="s">
        <v>1357</v>
      </c>
      <c r="M205" s="13" t="s">
        <v>1358</v>
      </c>
      <c r="N205" s="13" t="s">
        <v>1359</v>
      </c>
      <c r="O205" s="13" t="s">
        <v>1360</v>
      </c>
    </row>
    <row r="206" hidden="1">
      <c r="A206" s="16" t="s">
        <v>1361</v>
      </c>
      <c r="B206" s="16" t="s">
        <v>1337</v>
      </c>
      <c r="C206" s="15">
        <v>2.0</v>
      </c>
      <c r="D206" s="15" t="s">
        <v>238</v>
      </c>
      <c r="E206" s="16" t="s">
        <v>1362</v>
      </c>
      <c r="F206" s="17" t="s">
        <v>168</v>
      </c>
      <c r="G206" s="15">
        <v>2.0</v>
      </c>
      <c r="H206" s="15" t="s">
        <v>1363</v>
      </c>
      <c r="I206" s="15" t="s">
        <v>70</v>
      </c>
    </row>
    <row r="207" hidden="1">
      <c r="A207" s="16" t="s">
        <v>1364</v>
      </c>
      <c r="B207" s="16" t="s">
        <v>1337</v>
      </c>
      <c r="C207" s="15">
        <v>2.0</v>
      </c>
      <c r="D207" s="15" t="s">
        <v>1365</v>
      </c>
      <c r="E207" s="16" t="s">
        <v>1366</v>
      </c>
      <c r="F207" s="33"/>
      <c r="G207" s="15">
        <v>3.0</v>
      </c>
      <c r="H207" s="15" t="s">
        <v>1351</v>
      </c>
      <c r="I207" s="15" t="s">
        <v>70</v>
      </c>
    </row>
    <row r="208">
      <c r="A208" s="85" t="s">
        <v>1367</v>
      </c>
      <c r="B208" s="7" t="s">
        <v>1011</v>
      </c>
      <c r="C208" s="9">
        <v>1.0</v>
      </c>
      <c r="D208" s="9" t="s">
        <v>911</v>
      </c>
      <c r="E208" s="73" t="s">
        <v>1368</v>
      </c>
      <c r="F208" s="86" t="s">
        <v>1369</v>
      </c>
      <c r="G208" s="9">
        <v>3.0</v>
      </c>
      <c r="H208" s="9" t="s">
        <v>1063</v>
      </c>
      <c r="I208" s="21" t="s">
        <v>70</v>
      </c>
      <c r="J208" s="11" t="s">
        <v>1370</v>
      </c>
      <c r="K208" s="13" t="s">
        <v>1371</v>
      </c>
      <c r="L208" s="13" t="s">
        <v>1372</v>
      </c>
      <c r="M208" s="13" t="s">
        <v>1373</v>
      </c>
      <c r="N208" s="13" t="s">
        <v>1374</v>
      </c>
      <c r="O208" s="13" t="s">
        <v>1375</v>
      </c>
      <c r="P208" s="13" t="s">
        <v>1376</v>
      </c>
      <c r="Q208" s="13" t="s">
        <v>1377</v>
      </c>
      <c r="R208" s="13" t="s">
        <v>1378</v>
      </c>
    </row>
    <row r="209" hidden="1">
      <c r="A209" s="7" t="s">
        <v>1379</v>
      </c>
      <c r="B209" s="7" t="s">
        <v>1337</v>
      </c>
      <c r="C209" s="9">
        <v>2.0</v>
      </c>
      <c r="D209" s="9" t="s">
        <v>419</v>
      </c>
      <c r="E209" s="7" t="s">
        <v>1380</v>
      </c>
      <c r="F209" s="10" t="s">
        <v>1381</v>
      </c>
      <c r="G209" s="9">
        <v>3.0</v>
      </c>
      <c r="H209" s="9" t="s">
        <v>1351</v>
      </c>
      <c r="I209" s="9" t="s">
        <v>70</v>
      </c>
    </row>
    <row r="210">
      <c r="A210" s="24" t="s">
        <v>1382</v>
      </c>
      <c r="B210" s="7" t="s">
        <v>1011</v>
      </c>
      <c r="C210" s="9">
        <v>1.0</v>
      </c>
      <c r="D210" s="9" t="s">
        <v>149</v>
      </c>
      <c r="E210" s="7" t="s">
        <v>1383</v>
      </c>
      <c r="F210" s="10" t="s">
        <v>1384</v>
      </c>
      <c r="G210" s="21">
        <v>3.0</v>
      </c>
      <c r="H210" s="9" t="s">
        <v>1253</v>
      </c>
      <c r="I210" s="21" t="s">
        <v>70</v>
      </c>
      <c r="J210" s="11" t="s">
        <v>1385</v>
      </c>
      <c r="K210" s="13" t="s">
        <v>1386</v>
      </c>
      <c r="L210" s="13" t="s">
        <v>1387</v>
      </c>
      <c r="M210" s="13" t="s">
        <v>1388</v>
      </c>
      <c r="N210" s="13" t="s">
        <v>1389</v>
      </c>
      <c r="O210" s="13" t="s">
        <v>1390</v>
      </c>
      <c r="P210" s="13" t="s">
        <v>1391</v>
      </c>
      <c r="Q210" s="13" t="s">
        <v>1392</v>
      </c>
      <c r="R210" s="13" t="s">
        <v>1393</v>
      </c>
      <c r="S210" s="13" t="s">
        <v>1394</v>
      </c>
      <c r="T210" s="13" t="s">
        <v>1395</v>
      </c>
    </row>
    <row r="211" hidden="1">
      <c r="A211" s="7" t="s">
        <v>1396</v>
      </c>
      <c r="B211" s="7" t="s">
        <v>1397</v>
      </c>
      <c r="C211" s="9">
        <v>2.0</v>
      </c>
      <c r="D211" s="9" t="s">
        <v>37</v>
      </c>
      <c r="E211" s="87" t="s">
        <v>1398</v>
      </c>
      <c r="F211" s="10" t="s">
        <v>811</v>
      </c>
      <c r="G211" s="9">
        <v>3.0</v>
      </c>
      <c r="H211" s="9" t="s">
        <v>1399</v>
      </c>
      <c r="I211" s="9" t="s">
        <v>70</v>
      </c>
    </row>
    <row r="212">
      <c r="A212" s="16" t="s">
        <v>1400</v>
      </c>
      <c r="B212" s="16" t="s">
        <v>1011</v>
      </c>
      <c r="C212" s="15">
        <v>1.0</v>
      </c>
      <c r="D212" s="15" t="s">
        <v>149</v>
      </c>
      <c r="E212" s="16" t="s">
        <v>1401</v>
      </c>
      <c r="F212" s="17" t="s">
        <v>1402</v>
      </c>
      <c r="G212" s="15">
        <v>2.0</v>
      </c>
      <c r="H212" s="15" t="s">
        <v>1213</v>
      </c>
      <c r="I212" s="15" t="s">
        <v>70</v>
      </c>
      <c r="J212" s="11" t="s">
        <v>1403</v>
      </c>
      <c r="K212" s="13" t="s">
        <v>1404</v>
      </c>
      <c r="L212" s="13" t="s">
        <v>1405</v>
      </c>
      <c r="M212" s="13" t="s">
        <v>1406</v>
      </c>
      <c r="N212" s="13" t="s">
        <v>1407</v>
      </c>
      <c r="O212" s="13" t="s">
        <v>1408</v>
      </c>
      <c r="P212" s="13" t="s">
        <v>1409</v>
      </c>
      <c r="Q212" s="13" t="s">
        <v>1410</v>
      </c>
      <c r="R212" s="13" t="s">
        <v>1411</v>
      </c>
      <c r="S212" s="13" t="s">
        <v>1412</v>
      </c>
    </row>
    <row r="213" hidden="1">
      <c r="A213" s="16" t="s">
        <v>1413</v>
      </c>
      <c r="B213" s="16" t="s">
        <v>1397</v>
      </c>
      <c r="C213" s="15">
        <v>2.0</v>
      </c>
      <c r="D213" s="15" t="s">
        <v>1414</v>
      </c>
      <c r="E213" s="16" t="s">
        <v>1415</v>
      </c>
      <c r="F213" s="17" t="s">
        <v>811</v>
      </c>
      <c r="G213" s="15">
        <v>3.0</v>
      </c>
      <c r="H213" s="15" t="s">
        <v>1416</v>
      </c>
      <c r="I213" s="9" t="s">
        <v>70</v>
      </c>
    </row>
    <row r="214">
      <c r="A214" s="69" t="s">
        <v>1417</v>
      </c>
      <c r="B214" s="88" t="s">
        <v>1011</v>
      </c>
      <c r="C214" s="71">
        <v>1.0</v>
      </c>
      <c r="D214" s="71" t="s">
        <v>308</v>
      </c>
      <c r="E214" s="69" t="s">
        <v>1418</v>
      </c>
      <c r="F214" s="69"/>
      <c r="G214" s="71">
        <v>4.0</v>
      </c>
      <c r="H214" s="71" t="s">
        <v>415</v>
      </c>
      <c r="I214" s="71" t="s">
        <v>70</v>
      </c>
      <c r="J214" s="11" t="s">
        <v>1419</v>
      </c>
      <c r="K214" s="72" t="s">
        <v>1420</v>
      </c>
      <c r="L214" s="72" t="s">
        <v>1421</v>
      </c>
      <c r="M214" s="72" t="s">
        <v>1422</v>
      </c>
      <c r="N214" s="72" t="s">
        <v>1423</v>
      </c>
      <c r="O214" s="72" t="s">
        <v>1424</v>
      </c>
      <c r="P214" s="72" t="s">
        <v>1425</v>
      </c>
      <c r="Q214" s="72" t="s">
        <v>1426</v>
      </c>
      <c r="R214" s="72" t="s">
        <v>1427</v>
      </c>
      <c r="S214" s="28"/>
      <c r="T214" s="28"/>
    </row>
    <row r="215" hidden="1">
      <c r="A215" s="22" t="s">
        <v>1428</v>
      </c>
      <c r="B215" s="7" t="s">
        <v>1397</v>
      </c>
      <c r="C215" s="9">
        <v>2.0</v>
      </c>
      <c r="D215" s="9" t="s">
        <v>323</v>
      </c>
      <c r="E215" s="87" t="s">
        <v>1429</v>
      </c>
      <c r="F215" s="10" t="s">
        <v>1430</v>
      </c>
      <c r="G215" s="9">
        <v>2.0</v>
      </c>
      <c r="H215" s="74" t="s">
        <v>1399</v>
      </c>
      <c r="I215" s="9" t="s">
        <v>70</v>
      </c>
    </row>
    <row r="216" hidden="1">
      <c r="A216" s="16" t="s">
        <v>1431</v>
      </c>
      <c r="B216" s="16" t="s">
        <v>1397</v>
      </c>
      <c r="C216" s="15">
        <v>2.0</v>
      </c>
      <c r="D216" s="15" t="s">
        <v>1432</v>
      </c>
      <c r="E216" s="16" t="s">
        <v>1433</v>
      </c>
      <c r="F216" s="33"/>
      <c r="G216" s="15">
        <v>3.0</v>
      </c>
      <c r="H216" s="15" t="s">
        <v>1434</v>
      </c>
      <c r="I216" s="9" t="s">
        <v>70</v>
      </c>
    </row>
    <row r="217" hidden="1">
      <c r="A217" s="16" t="s">
        <v>1435</v>
      </c>
      <c r="B217" s="16" t="s">
        <v>1397</v>
      </c>
      <c r="C217" s="15">
        <v>2.0</v>
      </c>
      <c r="D217" s="15" t="s">
        <v>1143</v>
      </c>
      <c r="E217" s="16" t="s">
        <v>1436</v>
      </c>
      <c r="F217" s="33"/>
      <c r="G217" s="15">
        <v>7.0</v>
      </c>
      <c r="H217" s="15" t="s">
        <v>1437</v>
      </c>
      <c r="I217" s="15" t="s">
        <v>70</v>
      </c>
    </row>
    <row r="218" hidden="1">
      <c r="A218" s="16" t="s">
        <v>1438</v>
      </c>
      <c r="B218" s="16" t="s">
        <v>1397</v>
      </c>
      <c r="C218" s="15">
        <v>2.0</v>
      </c>
      <c r="D218" s="15" t="s">
        <v>37</v>
      </c>
      <c r="E218" s="16" t="s">
        <v>1439</v>
      </c>
      <c r="F218" s="33"/>
      <c r="G218" s="15">
        <v>1.0</v>
      </c>
      <c r="H218" s="15" t="s">
        <v>1440</v>
      </c>
      <c r="I218" s="15" t="s">
        <v>26</v>
      </c>
    </row>
    <row r="219">
      <c r="A219" s="16" t="s">
        <v>1441</v>
      </c>
      <c r="B219" s="7" t="s">
        <v>1011</v>
      </c>
      <c r="C219" s="9">
        <v>1.0</v>
      </c>
      <c r="D219" s="9" t="s">
        <v>149</v>
      </c>
      <c r="E219" s="16" t="s">
        <v>1442</v>
      </c>
      <c r="F219" s="17" t="s">
        <v>1443</v>
      </c>
      <c r="G219" s="9">
        <v>2.0</v>
      </c>
      <c r="H219" s="9" t="s">
        <v>415</v>
      </c>
      <c r="I219" s="9" t="s">
        <v>32</v>
      </c>
      <c r="J219" s="57" t="s">
        <v>1444</v>
      </c>
      <c r="K219" s="13" t="s">
        <v>1445</v>
      </c>
      <c r="L219" s="13" t="s">
        <v>1446</v>
      </c>
      <c r="M219" s="13" t="s">
        <v>1447</v>
      </c>
      <c r="N219" s="13" t="s">
        <v>1448</v>
      </c>
      <c r="O219" s="13" t="s">
        <v>1449</v>
      </c>
    </row>
    <row r="220">
      <c r="A220" s="16" t="s">
        <v>1450</v>
      </c>
      <c r="B220" s="16" t="s">
        <v>1011</v>
      </c>
      <c r="C220" s="15">
        <v>1.0</v>
      </c>
      <c r="D220" s="15" t="s">
        <v>133</v>
      </c>
      <c r="E220" s="16" t="s">
        <v>1451</v>
      </c>
      <c r="F220" s="17" t="s">
        <v>1452</v>
      </c>
      <c r="G220" s="15">
        <v>3.0</v>
      </c>
      <c r="H220" s="15" t="s">
        <v>1014</v>
      </c>
      <c r="I220" s="9" t="s">
        <v>32</v>
      </c>
      <c r="J220" s="57" t="s">
        <v>1453</v>
      </c>
      <c r="K220" s="13" t="s">
        <v>1454</v>
      </c>
      <c r="L220" s="13" t="s">
        <v>1455</v>
      </c>
      <c r="M220" s="13" t="s">
        <v>1456</v>
      </c>
      <c r="N220" s="13" t="s">
        <v>1457</v>
      </c>
    </row>
    <row r="221">
      <c r="A221" s="24" t="s">
        <v>1458</v>
      </c>
      <c r="B221" s="7" t="s">
        <v>1011</v>
      </c>
      <c r="C221" s="9">
        <v>1.0</v>
      </c>
      <c r="D221" s="9" t="s">
        <v>37</v>
      </c>
      <c r="E221" s="7" t="s">
        <v>1459</v>
      </c>
      <c r="F221" s="10" t="s">
        <v>1460</v>
      </c>
      <c r="G221" s="9">
        <v>4.0</v>
      </c>
      <c r="H221" s="9" t="s">
        <v>1063</v>
      </c>
      <c r="I221" s="21" t="s">
        <v>32</v>
      </c>
      <c r="J221" s="16" t="s">
        <v>1461</v>
      </c>
      <c r="K221" s="13" t="s">
        <v>1462</v>
      </c>
      <c r="L221" s="13" t="s">
        <v>1463</v>
      </c>
      <c r="M221" s="13" t="s">
        <v>1464</v>
      </c>
      <c r="N221" s="13" t="s">
        <v>1465</v>
      </c>
      <c r="O221" s="13" t="s">
        <v>1466</v>
      </c>
      <c r="P221" s="13" t="s">
        <v>1467</v>
      </c>
    </row>
    <row r="222" hidden="1">
      <c r="A222" s="7" t="s">
        <v>1468</v>
      </c>
      <c r="B222" s="89" t="s">
        <v>1469</v>
      </c>
      <c r="C222" s="9">
        <v>2.0</v>
      </c>
      <c r="D222" s="9" t="s">
        <v>111</v>
      </c>
      <c r="E222" s="16" t="s">
        <v>1470</v>
      </c>
      <c r="F222" s="17" t="s">
        <v>24</v>
      </c>
      <c r="G222" s="9">
        <v>0.0</v>
      </c>
      <c r="H222" s="9" t="s">
        <v>1471</v>
      </c>
      <c r="I222" s="9" t="s">
        <v>32</v>
      </c>
    </row>
    <row r="223">
      <c r="A223" s="28" t="s">
        <v>1472</v>
      </c>
      <c r="B223" s="29" t="s">
        <v>1011</v>
      </c>
      <c r="C223" s="65">
        <v>1.0</v>
      </c>
      <c r="D223" s="65" t="s">
        <v>419</v>
      </c>
      <c r="E223" s="90" t="s">
        <v>1473</v>
      </c>
      <c r="F223" s="66" t="s">
        <v>632</v>
      </c>
      <c r="G223" s="67">
        <v>7.0</v>
      </c>
      <c r="H223" s="65" t="s">
        <v>1474</v>
      </c>
      <c r="I223" s="67" t="s">
        <v>32</v>
      </c>
      <c r="J223" s="16" t="s">
        <v>1475</v>
      </c>
      <c r="K223" s="13" t="s">
        <v>1476</v>
      </c>
      <c r="L223" s="13" t="s">
        <v>1477</v>
      </c>
      <c r="M223" s="13" t="s">
        <v>1478</v>
      </c>
      <c r="N223" s="13" t="s">
        <v>1479</v>
      </c>
      <c r="O223" s="13" t="s">
        <v>1480</v>
      </c>
      <c r="P223" s="13" t="s">
        <v>1481</v>
      </c>
      <c r="Q223" s="13" t="s">
        <v>1482</v>
      </c>
    </row>
    <row r="224">
      <c r="A224" s="31" t="s">
        <v>1483</v>
      </c>
      <c r="B224" s="16" t="s">
        <v>1011</v>
      </c>
      <c r="C224" s="15">
        <v>1.0</v>
      </c>
      <c r="D224" s="15" t="s">
        <v>359</v>
      </c>
      <c r="E224" s="16" t="s">
        <v>1484</v>
      </c>
      <c r="F224" s="17" t="s">
        <v>1485</v>
      </c>
      <c r="G224" s="15">
        <v>6.0</v>
      </c>
      <c r="H224" s="15" t="s">
        <v>1232</v>
      </c>
      <c r="I224" s="15" t="s">
        <v>32</v>
      </c>
      <c r="K224" s="13" t="s">
        <v>1486</v>
      </c>
      <c r="L224" s="13" t="s">
        <v>1487</v>
      </c>
      <c r="M224" s="13" t="s">
        <v>1488</v>
      </c>
      <c r="N224" s="13" t="s">
        <v>1489</v>
      </c>
    </row>
    <row r="225" hidden="1">
      <c r="A225" s="16" t="s">
        <v>1490</v>
      </c>
      <c r="B225" s="91" t="s">
        <v>1469</v>
      </c>
      <c r="C225" s="15">
        <v>2.0</v>
      </c>
      <c r="D225" s="15" t="s">
        <v>1491</v>
      </c>
      <c r="E225" s="16" t="s">
        <v>1492</v>
      </c>
      <c r="F225" s="17" t="s">
        <v>240</v>
      </c>
      <c r="G225" s="15">
        <v>3.0</v>
      </c>
      <c r="H225" s="15" t="s">
        <v>1493</v>
      </c>
      <c r="I225" s="15" t="s">
        <v>32</v>
      </c>
    </row>
    <row r="226" hidden="1">
      <c r="A226" s="22" t="s">
        <v>1494</v>
      </c>
      <c r="B226" s="89" t="s">
        <v>1469</v>
      </c>
      <c r="C226" s="9">
        <v>2.0</v>
      </c>
      <c r="D226" s="9" t="s">
        <v>37</v>
      </c>
      <c r="E226" s="7" t="s">
        <v>1495</v>
      </c>
      <c r="F226" s="10" t="s">
        <v>1496</v>
      </c>
      <c r="G226" s="9">
        <v>2.0</v>
      </c>
      <c r="H226" s="9" t="s">
        <v>1497</v>
      </c>
      <c r="I226" s="9" t="s">
        <v>70</v>
      </c>
    </row>
    <row r="227" hidden="1">
      <c r="A227" s="16" t="s">
        <v>1498</v>
      </c>
      <c r="B227" s="91" t="s">
        <v>1469</v>
      </c>
      <c r="C227" s="15">
        <v>2.0</v>
      </c>
      <c r="D227" s="15" t="s">
        <v>1499</v>
      </c>
      <c r="E227" s="16" t="s">
        <v>1500</v>
      </c>
      <c r="F227" s="17" t="s">
        <v>1501</v>
      </c>
      <c r="G227" s="15">
        <v>5.0</v>
      </c>
      <c r="H227" s="15" t="s">
        <v>1502</v>
      </c>
      <c r="I227" s="15" t="s">
        <v>70</v>
      </c>
    </row>
    <row r="228" hidden="1">
      <c r="A228" s="16" t="s">
        <v>1503</v>
      </c>
      <c r="B228" s="30" t="s">
        <v>1469</v>
      </c>
      <c r="C228" s="15">
        <v>2.0</v>
      </c>
      <c r="D228" s="15" t="s">
        <v>1504</v>
      </c>
      <c r="E228" s="16" t="s">
        <v>1505</v>
      </c>
      <c r="F228" s="17" t="s">
        <v>213</v>
      </c>
      <c r="G228" s="15">
        <v>4.0</v>
      </c>
      <c r="H228" s="15" t="s">
        <v>1493</v>
      </c>
      <c r="I228" s="15" t="s">
        <v>26</v>
      </c>
    </row>
    <row r="229">
      <c r="A229" s="69" t="s">
        <v>1506</v>
      </c>
      <c r="B229" s="88" t="s">
        <v>1011</v>
      </c>
      <c r="C229" s="71">
        <v>1.0</v>
      </c>
      <c r="D229" s="71" t="s">
        <v>419</v>
      </c>
      <c r="E229" s="69" t="s">
        <v>1507</v>
      </c>
      <c r="F229" s="69"/>
      <c r="G229" s="71">
        <v>7.0</v>
      </c>
      <c r="H229" s="71" t="s">
        <v>1474</v>
      </c>
      <c r="I229" s="71" t="s">
        <v>32</v>
      </c>
      <c r="J229" s="28"/>
      <c r="K229" s="28"/>
      <c r="L229" s="28"/>
      <c r="M229" s="28"/>
      <c r="N229" s="28"/>
      <c r="O229" s="28"/>
      <c r="P229" s="28"/>
      <c r="Q229" s="28"/>
      <c r="R229" s="28"/>
      <c r="S229" s="28"/>
      <c r="T229" s="28"/>
    </row>
    <row r="230">
      <c r="A230" s="31" t="s">
        <v>1508</v>
      </c>
      <c r="B230" s="16" t="s">
        <v>1011</v>
      </c>
      <c r="C230" s="15">
        <v>1.0</v>
      </c>
      <c r="D230" s="15" t="s">
        <v>250</v>
      </c>
      <c r="E230" s="16" t="s">
        <v>1509</v>
      </c>
      <c r="F230" s="33"/>
      <c r="G230" s="15">
        <v>3.0</v>
      </c>
      <c r="H230" s="15" t="s">
        <v>1020</v>
      </c>
      <c r="I230" s="15" t="s">
        <v>32</v>
      </c>
    </row>
    <row r="231">
      <c r="A231" s="16" t="s">
        <v>1510</v>
      </c>
      <c r="B231" s="92" t="s">
        <v>1011</v>
      </c>
      <c r="C231" s="15">
        <v>1.0</v>
      </c>
      <c r="D231" s="15" t="s">
        <v>319</v>
      </c>
      <c r="E231" s="16" t="s">
        <v>1511</v>
      </c>
      <c r="F231" s="33"/>
      <c r="G231" s="15">
        <v>2.0</v>
      </c>
      <c r="H231" s="15" t="s">
        <v>1132</v>
      </c>
      <c r="I231" s="15" t="s">
        <v>32</v>
      </c>
      <c r="K231" s="93" t="s">
        <v>1512</v>
      </c>
    </row>
    <row r="232">
      <c r="A232" s="16" t="s">
        <v>1513</v>
      </c>
      <c r="B232" s="7" t="s">
        <v>1011</v>
      </c>
      <c r="C232" s="9">
        <v>1.0</v>
      </c>
      <c r="D232" s="9" t="s">
        <v>419</v>
      </c>
      <c r="E232" s="94"/>
      <c r="F232" s="95" t="s">
        <v>1514</v>
      </c>
      <c r="G232" s="9">
        <v>5.0</v>
      </c>
      <c r="H232" s="15" t="s">
        <v>1135</v>
      </c>
      <c r="I232" s="9" t="s">
        <v>26</v>
      </c>
      <c r="J232" s="11" t="s">
        <v>1515</v>
      </c>
      <c r="K232" s="13" t="s">
        <v>1516</v>
      </c>
      <c r="L232" s="13" t="s">
        <v>1517</v>
      </c>
      <c r="M232" s="13" t="s">
        <v>1518</v>
      </c>
      <c r="N232" s="13" t="s">
        <v>1519</v>
      </c>
      <c r="O232" s="13" t="s">
        <v>1520</v>
      </c>
      <c r="P232" s="13" t="s">
        <v>1521</v>
      </c>
      <c r="Q232" s="13" t="s">
        <v>1522</v>
      </c>
    </row>
    <row r="233">
      <c r="A233" s="7" t="s">
        <v>1523</v>
      </c>
      <c r="B233" s="7" t="s">
        <v>1011</v>
      </c>
      <c r="C233" s="9">
        <v>1.0</v>
      </c>
      <c r="D233" s="9" t="s">
        <v>149</v>
      </c>
      <c r="E233" s="96"/>
      <c r="F233" s="10" t="s">
        <v>1524</v>
      </c>
      <c r="G233" s="9">
        <v>4.0</v>
      </c>
      <c r="H233" s="9" t="s">
        <v>1253</v>
      </c>
      <c r="I233" s="9" t="s">
        <v>26</v>
      </c>
      <c r="J233" s="11" t="s">
        <v>1525</v>
      </c>
      <c r="K233" s="13" t="s">
        <v>1526</v>
      </c>
      <c r="L233" s="13" t="s">
        <v>1527</v>
      </c>
      <c r="M233" s="13" t="s">
        <v>1528</v>
      </c>
      <c r="N233" s="13" t="s">
        <v>1529</v>
      </c>
      <c r="O233" s="13" t="s">
        <v>1530</v>
      </c>
      <c r="P233" s="13" t="s">
        <v>1531</v>
      </c>
      <c r="Q233" s="13" t="s">
        <v>1532</v>
      </c>
      <c r="R233" s="13" t="s">
        <v>1533</v>
      </c>
      <c r="S233" s="13" t="s">
        <v>1534</v>
      </c>
    </row>
    <row r="234">
      <c r="A234" s="16" t="s">
        <v>1535</v>
      </c>
      <c r="B234" s="16" t="s">
        <v>1011</v>
      </c>
      <c r="C234" s="15">
        <v>1.0</v>
      </c>
      <c r="D234" s="15" t="s">
        <v>1536</v>
      </c>
      <c r="F234" s="33"/>
      <c r="G234" s="15">
        <v>3.0</v>
      </c>
      <c r="H234" s="15" t="s">
        <v>1014</v>
      </c>
      <c r="I234" s="15" t="s">
        <v>26</v>
      </c>
    </row>
    <row r="235" hidden="1">
      <c r="A235" s="24" t="s">
        <v>1537</v>
      </c>
      <c r="B235" s="89" t="s">
        <v>1469</v>
      </c>
      <c r="C235" s="9">
        <v>2.0</v>
      </c>
      <c r="D235" s="9" t="s">
        <v>892</v>
      </c>
      <c r="E235" s="87" t="s">
        <v>1538</v>
      </c>
      <c r="F235" s="10" t="s">
        <v>24</v>
      </c>
      <c r="G235" s="9">
        <v>2.0</v>
      </c>
      <c r="H235" s="9" t="s">
        <v>1471</v>
      </c>
      <c r="I235" s="21" t="s">
        <v>26</v>
      </c>
    </row>
    <row r="236" hidden="1">
      <c r="A236" s="22" t="s">
        <v>1539</v>
      </c>
      <c r="B236" s="89" t="s">
        <v>1469</v>
      </c>
      <c r="C236" s="9">
        <v>0.0</v>
      </c>
      <c r="D236" s="9" t="s">
        <v>1540</v>
      </c>
      <c r="E236" s="18" t="s">
        <v>1541</v>
      </c>
      <c r="F236" s="10" t="s">
        <v>1542</v>
      </c>
      <c r="G236" s="9">
        <v>4.0</v>
      </c>
      <c r="H236" s="9" t="s">
        <v>1493</v>
      </c>
      <c r="I236" s="9" t="s">
        <v>70</v>
      </c>
    </row>
    <row r="237">
      <c r="A237" s="16" t="s">
        <v>1543</v>
      </c>
      <c r="B237" s="16" t="s">
        <v>1011</v>
      </c>
      <c r="C237" s="15">
        <v>1.0</v>
      </c>
      <c r="D237" s="15" t="s">
        <v>195</v>
      </c>
      <c r="F237" s="33"/>
      <c r="G237" s="15">
        <v>2.0</v>
      </c>
      <c r="H237" s="15" t="s">
        <v>1020</v>
      </c>
      <c r="I237" s="15" t="s">
        <v>26</v>
      </c>
    </row>
    <row r="238" hidden="1">
      <c r="A238" s="16" t="s">
        <v>1544</v>
      </c>
      <c r="B238" s="89" t="s">
        <v>1469</v>
      </c>
      <c r="C238" s="9">
        <v>2.0</v>
      </c>
      <c r="D238" s="9" t="s">
        <v>634</v>
      </c>
      <c r="E238" s="24"/>
      <c r="F238" s="10" t="s">
        <v>1545</v>
      </c>
      <c r="G238" s="9">
        <v>7.0</v>
      </c>
      <c r="H238" s="9" t="s">
        <v>1546</v>
      </c>
      <c r="I238" s="9" t="s">
        <v>26</v>
      </c>
    </row>
    <row r="239" hidden="1">
      <c r="A239" s="31" t="s">
        <v>1547</v>
      </c>
      <c r="B239" s="91" t="s">
        <v>1469</v>
      </c>
      <c r="C239" s="15">
        <v>2.0</v>
      </c>
      <c r="D239" s="15" t="s">
        <v>1548</v>
      </c>
      <c r="E239" s="16" t="s">
        <v>270</v>
      </c>
      <c r="F239" s="17" t="s">
        <v>670</v>
      </c>
      <c r="G239" s="15">
        <v>2.0</v>
      </c>
      <c r="H239" s="15" t="s">
        <v>1471</v>
      </c>
      <c r="I239" s="15" t="s">
        <v>26</v>
      </c>
    </row>
    <row r="240" hidden="1">
      <c r="A240" s="16" t="s">
        <v>1549</v>
      </c>
      <c r="B240" s="91" t="s">
        <v>1469</v>
      </c>
      <c r="C240" s="15">
        <v>2.0</v>
      </c>
      <c r="D240" s="15" t="s">
        <v>133</v>
      </c>
      <c r="E240" s="16" t="s">
        <v>1550</v>
      </c>
      <c r="F240" s="17" t="s">
        <v>1551</v>
      </c>
      <c r="G240" s="15">
        <v>2.0</v>
      </c>
      <c r="H240" s="9" t="s">
        <v>1546</v>
      </c>
      <c r="I240" s="9" t="s">
        <v>70</v>
      </c>
    </row>
    <row r="241">
      <c r="A241" s="16" t="s">
        <v>1552</v>
      </c>
      <c r="B241" s="16" t="s">
        <v>1011</v>
      </c>
      <c r="C241" s="15">
        <v>1.0</v>
      </c>
      <c r="D241" s="15" t="s">
        <v>1553</v>
      </c>
      <c r="E241" s="97" t="s">
        <v>1554</v>
      </c>
      <c r="F241" s="33"/>
      <c r="G241" s="15">
        <v>2.0</v>
      </c>
      <c r="H241" s="15" t="s">
        <v>1020</v>
      </c>
      <c r="I241" s="9" t="s">
        <v>70</v>
      </c>
    </row>
    <row r="242">
      <c r="A242" s="16" t="s">
        <v>1555</v>
      </c>
      <c r="B242" s="16" t="s">
        <v>1011</v>
      </c>
      <c r="C242" s="15">
        <v>1.0</v>
      </c>
      <c r="D242" s="15" t="s">
        <v>344</v>
      </c>
      <c r="E242" s="16" t="s">
        <v>1556</v>
      </c>
      <c r="F242" s="33"/>
      <c r="G242" s="15">
        <v>1.0</v>
      </c>
      <c r="H242" s="15" t="s">
        <v>1132</v>
      </c>
      <c r="I242" s="9" t="s">
        <v>70</v>
      </c>
    </row>
    <row r="243">
      <c r="A243" s="16" t="s">
        <v>1557</v>
      </c>
      <c r="B243" s="16" t="s">
        <v>1011</v>
      </c>
      <c r="C243" s="15">
        <v>1.0</v>
      </c>
      <c r="D243" s="15" t="s">
        <v>96</v>
      </c>
      <c r="F243" s="33"/>
      <c r="G243" s="16">
        <v>3.0</v>
      </c>
      <c r="H243" s="16" t="s">
        <v>1279</v>
      </c>
      <c r="I243" s="9" t="s">
        <v>26</v>
      </c>
    </row>
    <row r="244" hidden="1">
      <c r="A244" s="16" t="s">
        <v>1558</v>
      </c>
      <c r="B244" s="91" t="s">
        <v>1469</v>
      </c>
      <c r="C244" s="15">
        <v>2.0</v>
      </c>
      <c r="D244" s="15" t="s">
        <v>111</v>
      </c>
      <c r="E244" s="16" t="s">
        <v>1559</v>
      </c>
      <c r="F244" s="17" t="s">
        <v>24</v>
      </c>
      <c r="G244" s="15">
        <v>1.0</v>
      </c>
      <c r="H244" s="15" t="s">
        <v>1471</v>
      </c>
      <c r="I244" s="15" t="s">
        <v>26</v>
      </c>
    </row>
    <row r="245">
      <c r="A245" s="16" t="s">
        <v>1560</v>
      </c>
      <c r="B245" s="16" t="s">
        <v>1011</v>
      </c>
      <c r="C245" s="15">
        <v>1.0</v>
      </c>
      <c r="D245" s="15" t="s">
        <v>1338</v>
      </c>
      <c r="F245" s="17" t="s">
        <v>1561</v>
      </c>
      <c r="H245" s="16" t="s">
        <v>1562</v>
      </c>
      <c r="I245" s="9" t="s">
        <v>26</v>
      </c>
    </row>
    <row r="246">
      <c r="A246" s="16" t="s">
        <v>1563</v>
      </c>
      <c r="B246" s="16" t="s">
        <v>1011</v>
      </c>
      <c r="C246" s="15">
        <v>1.0</v>
      </c>
      <c r="D246" s="15" t="s">
        <v>319</v>
      </c>
      <c r="E246" s="16" t="s">
        <v>1564</v>
      </c>
      <c r="F246" s="17"/>
      <c r="G246" s="16">
        <v>3.0</v>
      </c>
      <c r="H246" s="16" t="s">
        <v>415</v>
      </c>
      <c r="I246" s="9" t="s">
        <v>26</v>
      </c>
    </row>
    <row r="247">
      <c r="A247" s="7" t="s">
        <v>1565</v>
      </c>
      <c r="B247" s="7" t="s">
        <v>1337</v>
      </c>
      <c r="C247" s="9">
        <v>1.0</v>
      </c>
      <c r="D247" s="9" t="s">
        <v>971</v>
      </c>
      <c r="E247" s="7" t="s">
        <v>1566</v>
      </c>
      <c r="F247" s="10" t="s">
        <v>1567</v>
      </c>
      <c r="G247" s="9">
        <v>3.0</v>
      </c>
      <c r="H247" s="9" t="s">
        <v>1568</v>
      </c>
      <c r="I247" s="9" t="s">
        <v>70</v>
      </c>
    </row>
    <row r="248">
      <c r="A248" s="22" t="s">
        <v>1569</v>
      </c>
      <c r="B248" s="7" t="s">
        <v>1337</v>
      </c>
      <c r="C248" s="9">
        <v>1.0</v>
      </c>
      <c r="D248" s="9" t="s">
        <v>1570</v>
      </c>
      <c r="E248" s="7" t="s">
        <v>1571</v>
      </c>
      <c r="F248" s="10" t="s">
        <v>1572</v>
      </c>
      <c r="G248" s="9">
        <v>3.0</v>
      </c>
      <c r="H248" s="9" t="s">
        <v>1573</v>
      </c>
      <c r="I248" s="9" t="s">
        <v>32</v>
      </c>
    </row>
    <row r="249">
      <c r="A249" s="7" t="s">
        <v>1574</v>
      </c>
      <c r="B249" s="7" t="s">
        <v>1337</v>
      </c>
      <c r="C249" s="9">
        <v>1.0</v>
      </c>
      <c r="D249" s="9" t="s">
        <v>1575</v>
      </c>
      <c r="E249" s="7"/>
      <c r="F249" s="10" t="s">
        <v>1576</v>
      </c>
      <c r="G249" s="9">
        <v>2.0</v>
      </c>
      <c r="H249" s="9" t="s">
        <v>1577</v>
      </c>
      <c r="I249" s="9" t="s">
        <v>26</v>
      </c>
    </row>
    <row r="250">
      <c r="A250" s="7" t="s">
        <v>1578</v>
      </c>
      <c r="B250" s="7" t="s">
        <v>1397</v>
      </c>
      <c r="C250" s="9">
        <v>1.0</v>
      </c>
      <c r="D250" s="9" t="s">
        <v>1579</v>
      </c>
      <c r="E250" s="7" t="s">
        <v>1580</v>
      </c>
      <c r="F250" s="10" t="s">
        <v>1581</v>
      </c>
      <c r="G250" s="9">
        <v>1.0</v>
      </c>
      <c r="H250" s="9" t="s">
        <v>1582</v>
      </c>
      <c r="I250" s="9" t="s">
        <v>70</v>
      </c>
    </row>
    <row r="251" hidden="1">
      <c r="A251" s="31" t="s">
        <v>1583</v>
      </c>
      <c r="B251" s="91" t="s">
        <v>1469</v>
      </c>
      <c r="C251" s="15">
        <v>2.0</v>
      </c>
      <c r="D251" s="15" t="s">
        <v>1584</v>
      </c>
      <c r="E251" s="16" t="s">
        <v>1585</v>
      </c>
      <c r="F251" s="17" t="s">
        <v>916</v>
      </c>
      <c r="G251" s="15">
        <v>4.0</v>
      </c>
      <c r="H251" s="15" t="s">
        <v>1586</v>
      </c>
      <c r="I251" s="15" t="s">
        <v>26</v>
      </c>
    </row>
    <row r="252" hidden="1">
      <c r="A252" s="22" t="s">
        <v>1587</v>
      </c>
      <c r="B252" s="89" t="s">
        <v>1469</v>
      </c>
      <c r="C252" s="9">
        <v>0.0</v>
      </c>
      <c r="D252" s="9" t="s">
        <v>1491</v>
      </c>
      <c r="E252" s="7" t="s">
        <v>1588</v>
      </c>
      <c r="F252" s="10" t="s">
        <v>1589</v>
      </c>
      <c r="G252" s="9">
        <v>5.0</v>
      </c>
      <c r="H252" s="9" t="s">
        <v>1586</v>
      </c>
      <c r="I252" s="9" t="s">
        <v>26</v>
      </c>
    </row>
    <row r="253" ht="14.25" hidden="1" customHeight="1">
      <c r="A253" s="7" t="s">
        <v>1590</v>
      </c>
      <c r="B253" s="87" t="s">
        <v>1469</v>
      </c>
      <c r="C253" s="9">
        <v>2.0</v>
      </c>
      <c r="D253" s="9" t="s">
        <v>634</v>
      </c>
      <c r="E253" s="7" t="s">
        <v>1591</v>
      </c>
      <c r="F253" s="10" t="s">
        <v>1592</v>
      </c>
      <c r="G253" s="9">
        <v>1.0</v>
      </c>
      <c r="H253" s="9" t="s">
        <v>1497</v>
      </c>
      <c r="I253" s="9" t="s">
        <v>70</v>
      </c>
    </row>
    <row r="254">
      <c r="A254" s="7" t="s">
        <v>1593</v>
      </c>
      <c r="B254" s="7" t="s">
        <v>1397</v>
      </c>
      <c r="C254" s="9">
        <v>1.0</v>
      </c>
      <c r="D254" s="9" t="s">
        <v>1414</v>
      </c>
      <c r="E254" s="7" t="s">
        <v>1594</v>
      </c>
      <c r="F254" s="10" t="s">
        <v>1595</v>
      </c>
      <c r="G254" s="9">
        <v>2.0</v>
      </c>
      <c r="H254" s="9" t="s">
        <v>1596</v>
      </c>
      <c r="I254" s="9" t="s">
        <v>32</v>
      </c>
    </row>
    <row r="255" hidden="1">
      <c r="A255" s="31" t="s">
        <v>1597</v>
      </c>
      <c r="B255" s="16" t="s">
        <v>1469</v>
      </c>
      <c r="C255" s="15">
        <v>2.0</v>
      </c>
      <c r="D255" s="15" t="s">
        <v>1598</v>
      </c>
      <c r="E255" s="16" t="s">
        <v>1599</v>
      </c>
      <c r="F255" s="17" t="s">
        <v>1600</v>
      </c>
      <c r="G255" s="15">
        <v>4.0</v>
      </c>
      <c r="H255" s="15" t="s">
        <v>1502</v>
      </c>
      <c r="I255" s="15" t="s">
        <v>70</v>
      </c>
    </row>
    <row r="256" hidden="1">
      <c r="A256" s="16" t="s">
        <v>1601</v>
      </c>
      <c r="B256" s="16" t="s">
        <v>1469</v>
      </c>
      <c r="C256" s="15">
        <v>2.0</v>
      </c>
      <c r="D256" s="15" t="s">
        <v>111</v>
      </c>
      <c r="E256" s="16" t="s">
        <v>1602</v>
      </c>
      <c r="F256" s="17" t="s">
        <v>1603</v>
      </c>
      <c r="G256" s="15">
        <v>6.0</v>
      </c>
      <c r="H256" s="15" t="s">
        <v>1604</v>
      </c>
      <c r="I256" s="15" t="s">
        <v>32</v>
      </c>
    </row>
    <row r="257" hidden="1">
      <c r="A257" s="16" t="s">
        <v>1605</v>
      </c>
      <c r="B257" s="91" t="s">
        <v>1469</v>
      </c>
      <c r="C257" s="15">
        <v>2.0</v>
      </c>
      <c r="D257" s="15" t="s">
        <v>287</v>
      </c>
      <c r="E257" s="16" t="s">
        <v>1606</v>
      </c>
      <c r="F257" s="17" t="s">
        <v>1141</v>
      </c>
      <c r="G257" s="15">
        <v>3.0</v>
      </c>
      <c r="H257" s="15" t="s">
        <v>1586</v>
      </c>
      <c r="I257" s="15" t="s">
        <v>70</v>
      </c>
    </row>
    <row r="258" hidden="1">
      <c r="A258" s="16" t="s">
        <v>1607</v>
      </c>
      <c r="B258" s="91" t="s">
        <v>1469</v>
      </c>
      <c r="C258" s="15">
        <v>0.0</v>
      </c>
      <c r="D258" s="15" t="s">
        <v>149</v>
      </c>
      <c r="E258" s="16" t="s">
        <v>1608</v>
      </c>
      <c r="F258" s="17" t="s">
        <v>1609</v>
      </c>
      <c r="G258" s="9">
        <v>3.0</v>
      </c>
      <c r="H258" s="9" t="s">
        <v>1610</v>
      </c>
      <c r="I258" s="9" t="s">
        <v>32</v>
      </c>
    </row>
    <row r="259">
      <c r="A259" s="7" t="s">
        <v>1611</v>
      </c>
      <c r="B259" s="7" t="s">
        <v>1397</v>
      </c>
      <c r="C259" s="9">
        <v>1.0</v>
      </c>
      <c r="D259" s="9" t="s">
        <v>1612</v>
      </c>
      <c r="E259" s="7"/>
      <c r="F259" s="10" t="s">
        <v>1613</v>
      </c>
      <c r="G259" s="9">
        <v>2.0</v>
      </c>
      <c r="H259" s="9" t="s">
        <v>1440</v>
      </c>
      <c r="I259" s="9" t="s">
        <v>26</v>
      </c>
    </row>
    <row r="260" hidden="1">
      <c r="A260" s="16" t="s">
        <v>1614</v>
      </c>
      <c r="B260" s="16" t="s">
        <v>1469</v>
      </c>
      <c r="C260" s="15">
        <v>2.0</v>
      </c>
      <c r="D260" s="15" t="s">
        <v>1615</v>
      </c>
      <c r="E260" s="16" t="s">
        <v>1616</v>
      </c>
      <c r="F260" s="17" t="s">
        <v>1617</v>
      </c>
      <c r="G260" s="15">
        <v>6.0</v>
      </c>
      <c r="H260" s="15" t="s">
        <v>1604</v>
      </c>
      <c r="I260" s="15" t="s">
        <v>32</v>
      </c>
    </row>
    <row r="261" hidden="1">
      <c r="A261" s="16" t="s">
        <v>1618</v>
      </c>
      <c r="B261" s="91" t="s">
        <v>1469</v>
      </c>
      <c r="C261" s="15">
        <v>2.0</v>
      </c>
      <c r="D261" s="15" t="s">
        <v>313</v>
      </c>
      <c r="E261" s="16" t="s">
        <v>1619</v>
      </c>
      <c r="F261" s="17" t="s">
        <v>1620</v>
      </c>
      <c r="G261" s="15">
        <v>3.0</v>
      </c>
      <c r="H261" s="15" t="s">
        <v>1621</v>
      </c>
      <c r="I261" s="15" t="s">
        <v>26</v>
      </c>
    </row>
    <row r="262">
      <c r="A262" s="16" t="s">
        <v>1622</v>
      </c>
      <c r="B262" s="16" t="s">
        <v>1469</v>
      </c>
      <c r="C262" s="15">
        <v>1.0</v>
      </c>
      <c r="D262" s="15" t="s">
        <v>359</v>
      </c>
      <c r="E262" s="16" t="s">
        <v>1623</v>
      </c>
      <c r="F262" s="17" t="s">
        <v>916</v>
      </c>
      <c r="G262" s="15">
        <v>3.0</v>
      </c>
      <c r="H262" s="15" t="s">
        <v>1497</v>
      </c>
      <c r="I262" s="9" t="s">
        <v>26</v>
      </c>
    </row>
    <row r="263">
      <c r="A263" s="7" t="s">
        <v>1624</v>
      </c>
      <c r="B263" s="7" t="s">
        <v>1469</v>
      </c>
      <c r="C263" s="9">
        <v>1.0</v>
      </c>
      <c r="D263" s="9" t="s">
        <v>355</v>
      </c>
      <c r="E263" s="16" t="s">
        <v>1625</v>
      </c>
      <c r="F263" s="17" t="s">
        <v>1626</v>
      </c>
      <c r="G263" s="9">
        <v>6.0</v>
      </c>
      <c r="H263" s="9" t="s">
        <v>1586</v>
      </c>
      <c r="I263" s="15" t="s">
        <v>70</v>
      </c>
    </row>
    <row r="264">
      <c r="A264" s="22" t="s">
        <v>1627</v>
      </c>
      <c r="B264" s="7" t="s">
        <v>1469</v>
      </c>
      <c r="C264" s="9">
        <v>1.0</v>
      </c>
      <c r="D264" s="9" t="s">
        <v>111</v>
      </c>
      <c r="E264" s="7" t="s">
        <v>1628</v>
      </c>
      <c r="F264" s="10" t="s">
        <v>1629</v>
      </c>
      <c r="G264" s="9">
        <v>4.0</v>
      </c>
      <c r="H264" s="9" t="s">
        <v>1586</v>
      </c>
      <c r="I264" s="9" t="s">
        <v>70</v>
      </c>
    </row>
    <row r="265" hidden="1">
      <c r="A265" s="22" t="s">
        <v>1630</v>
      </c>
      <c r="B265" s="89" t="s">
        <v>1469</v>
      </c>
      <c r="C265" s="9">
        <v>2.0</v>
      </c>
      <c r="D265" s="9" t="s">
        <v>1598</v>
      </c>
      <c r="E265" s="16" t="s">
        <v>1631</v>
      </c>
      <c r="F265" s="10" t="s">
        <v>1632</v>
      </c>
      <c r="G265" s="9">
        <v>3.0</v>
      </c>
      <c r="H265" s="9" t="s">
        <v>1621</v>
      </c>
      <c r="I265" s="9" t="s">
        <v>26</v>
      </c>
    </row>
    <row r="266">
      <c r="A266" s="7" t="s">
        <v>1633</v>
      </c>
      <c r="B266" s="7" t="s">
        <v>1469</v>
      </c>
      <c r="C266" s="9">
        <v>1.0</v>
      </c>
      <c r="D266" s="9" t="s">
        <v>238</v>
      </c>
      <c r="E266" s="7" t="s">
        <v>81</v>
      </c>
      <c r="F266" s="10" t="s">
        <v>1634</v>
      </c>
      <c r="G266" s="9">
        <v>2.0</v>
      </c>
      <c r="H266" s="9" t="s">
        <v>1635</v>
      </c>
      <c r="I266" s="9" t="s">
        <v>26</v>
      </c>
    </row>
    <row r="267" hidden="1">
      <c r="A267" s="16" t="s">
        <v>1636</v>
      </c>
      <c r="B267" s="91" t="s">
        <v>1469</v>
      </c>
      <c r="C267" s="15">
        <v>2.0</v>
      </c>
      <c r="D267" s="15" t="s">
        <v>1637</v>
      </c>
      <c r="E267" s="16" t="s">
        <v>1638</v>
      </c>
      <c r="F267" s="17" t="s">
        <v>1228</v>
      </c>
      <c r="G267" s="15">
        <v>4.0</v>
      </c>
      <c r="H267" s="15" t="s">
        <v>1621</v>
      </c>
      <c r="I267" s="15" t="s">
        <v>26</v>
      </c>
    </row>
    <row r="268" hidden="1">
      <c r="A268" s="22" t="s">
        <v>1639</v>
      </c>
      <c r="B268" s="7" t="s">
        <v>1469</v>
      </c>
      <c r="C268" s="9">
        <v>2.0</v>
      </c>
      <c r="D268" s="9" t="s">
        <v>1640</v>
      </c>
      <c r="E268" s="87" t="s">
        <v>1641</v>
      </c>
      <c r="F268" s="10" t="s">
        <v>1642</v>
      </c>
      <c r="G268" s="9">
        <v>6.0</v>
      </c>
      <c r="H268" s="9" t="s">
        <v>1643</v>
      </c>
      <c r="I268" s="9" t="s">
        <v>32</v>
      </c>
    </row>
    <row r="269" hidden="1">
      <c r="A269" s="16" t="s">
        <v>1644</v>
      </c>
      <c r="B269" s="87" t="s">
        <v>1469</v>
      </c>
      <c r="C269" s="9">
        <v>2.0</v>
      </c>
      <c r="D269" s="15" t="s">
        <v>892</v>
      </c>
      <c r="E269" s="16" t="s">
        <v>1645</v>
      </c>
      <c r="F269" s="17" t="s">
        <v>1646</v>
      </c>
      <c r="G269" s="15">
        <v>3.0</v>
      </c>
      <c r="H269" s="15" t="s">
        <v>1493</v>
      </c>
      <c r="I269" s="15" t="s">
        <v>70</v>
      </c>
    </row>
    <row r="270" ht="15.75" customHeight="1">
      <c r="A270" s="7" t="s">
        <v>1647</v>
      </c>
      <c r="B270" s="7" t="s">
        <v>1469</v>
      </c>
      <c r="C270" s="9">
        <v>1.0</v>
      </c>
      <c r="D270" s="9" t="s">
        <v>359</v>
      </c>
      <c r="E270" s="7" t="s">
        <v>1648</v>
      </c>
      <c r="F270" s="10" t="s">
        <v>1649</v>
      </c>
      <c r="G270" s="9">
        <v>2.0</v>
      </c>
      <c r="H270" s="9" t="s">
        <v>1497</v>
      </c>
      <c r="I270" s="9" t="s">
        <v>70</v>
      </c>
    </row>
    <row r="271" hidden="1">
      <c r="A271" s="16" t="s">
        <v>1650</v>
      </c>
      <c r="B271" s="91" t="s">
        <v>1469</v>
      </c>
      <c r="C271" s="15">
        <v>2.0</v>
      </c>
      <c r="D271" s="15" t="s">
        <v>512</v>
      </c>
      <c r="E271" s="16" t="s">
        <v>1651</v>
      </c>
      <c r="F271" s="17" t="s">
        <v>119</v>
      </c>
      <c r="G271" s="15">
        <v>2.0</v>
      </c>
      <c r="H271" s="15" t="s">
        <v>1497</v>
      </c>
      <c r="I271" s="15" t="s">
        <v>26</v>
      </c>
    </row>
    <row r="272" hidden="1">
      <c r="A272" s="7" t="s">
        <v>1652</v>
      </c>
      <c r="B272" s="87" t="s">
        <v>1469</v>
      </c>
      <c r="C272" s="9">
        <v>2.0</v>
      </c>
      <c r="D272" s="9" t="s">
        <v>1491</v>
      </c>
      <c r="E272" s="7" t="s">
        <v>1653</v>
      </c>
      <c r="F272" s="10" t="s">
        <v>1654</v>
      </c>
      <c r="G272" s="9">
        <v>5.0</v>
      </c>
      <c r="H272" s="9" t="s">
        <v>1502</v>
      </c>
      <c r="I272" s="9" t="s">
        <v>26</v>
      </c>
    </row>
    <row r="273">
      <c r="A273" s="16" t="s">
        <v>1655</v>
      </c>
      <c r="B273" s="16" t="s">
        <v>1469</v>
      </c>
      <c r="C273" s="15">
        <v>1.0</v>
      </c>
      <c r="D273" s="15" t="s">
        <v>1637</v>
      </c>
      <c r="E273" s="16" t="s">
        <v>1656</v>
      </c>
      <c r="F273" s="17" t="s">
        <v>1657</v>
      </c>
      <c r="G273" s="15">
        <v>3.0</v>
      </c>
      <c r="H273" s="15" t="s">
        <v>1497</v>
      </c>
      <c r="I273" s="15" t="s">
        <v>26</v>
      </c>
    </row>
    <row r="274" hidden="1">
      <c r="A274" s="22" t="s">
        <v>1658</v>
      </c>
      <c r="B274" s="89" t="s">
        <v>1469</v>
      </c>
      <c r="C274" s="9">
        <v>2.0</v>
      </c>
      <c r="D274" s="9" t="s">
        <v>1365</v>
      </c>
      <c r="E274" s="7" t="s">
        <v>1659</v>
      </c>
      <c r="F274" s="10" t="s">
        <v>1660</v>
      </c>
      <c r="G274" s="9">
        <v>1.0</v>
      </c>
      <c r="H274" s="9" t="s">
        <v>1471</v>
      </c>
      <c r="I274" s="15" t="s">
        <v>26</v>
      </c>
    </row>
    <row r="275" hidden="1">
      <c r="A275" s="16" t="s">
        <v>1661</v>
      </c>
      <c r="B275" s="16" t="s">
        <v>1662</v>
      </c>
      <c r="C275" s="15">
        <v>0.0</v>
      </c>
      <c r="D275" s="15" t="s">
        <v>1663</v>
      </c>
      <c r="E275" s="16" t="s">
        <v>1664</v>
      </c>
      <c r="F275" s="38" t="s">
        <v>1665</v>
      </c>
      <c r="G275" s="15">
        <v>7.0</v>
      </c>
      <c r="H275" s="15" t="s">
        <v>1666</v>
      </c>
      <c r="I275" s="9" t="s">
        <v>32</v>
      </c>
    </row>
    <row r="276" hidden="1">
      <c r="A276" s="7" t="s">
        <v>1667</v>
      </c>
      <c r="B276" s="7" t="s">
        <v>1662</v>
      </c>
      <c r="C276" s="9">
        <v>2.0</v>
      </c>
      <c r="D276" s="9" t="s">
        <v>1668</v>
      </c>
      <c r="E276" s="7" t="s">
        <v>1669</v>
      </c>
      <c r="F276" s="10" t="s">
        <v>1670</v>
      </c>
      <c r="G276" s="9">
        <v>3.0</v>
      </c>
      <c r="H276" s="9" t="s">
        <v>1671</v>
      </c>
      <c r="I276" s="9" t="s">
        <v>70</v>
      </c>
    </row>
    <row r="277">
      <c r="A277" s="16" t="s">
        <v>1672</v>
      </c>
      <c r="B277" s="16" t="s">
        <v>1469</v>
      </c>
      <c r="C277" s="15">
        <v>1.0</v>
      </c>
      <c r="D277" s="15" t="s">
        <v>287</v>
      </c>
      <c r="E277" s="7" t="s">
        <v>1673</v>
      </c>
      <c r="F277" s="10" t="s">
        <v>1674</v>
      </c>
      <c r="G277" s="15">
        <v>3.0</v>
      </c>
      <c r="H277" s="15" t="s">
        <v>1497</v>
      </c>
      <c r="I277" s="15" t="s">
        <v>26</v>
      </c>
    </row>
    <row r="278">
      <c r="A278" s="16" t="s">
        <v>1675</v>
      </c>
      <c r="B278" s="91" t="s">
        <v>1469</v>
      </c>
      <c r="C278" s="15">
        <v>1.0</v>
      </c>
      <c r="D278" s="15" t="s">
        <v>1598</v>
      </c>
      <c r="E278" s="16" t="s">
        <v>1676</v>
      </c>
      <c r="F278" s="33"/>
      <c r="G278" s="15">
        <v>4.0</v>
      </c>
      <c r="H278" s="15" t="s">
        <v>1621</v>
      </c>
      <c r="I278" s="15" t="s">
        <v>70</v>
      </c>
    </row>
    <row r="279">
      <c r="A279" s="7" t="s">
        <v>1677</v>
      </c>
      <c r="B279" s="7" t="s">
        <v>1469</v>
      </c>
      <c r="C279" s="9">
        <v>1.0</v>
      </c>
      <c r="D279" s="9" t="s">
        <v>355</v>
      </c>
      <c r="E279" s="7" t="s">
        <v>1678</v>
      </c>
      <c r="F279" s="10" t="s">
        <v>1679</v>
      </c>
      <c r="G279" s="9">
        <v>5.0</v>
      </c>
      <c r="H279" s="9" t="s">
        <v>1586</v>
      </c>
      <c r="I279" s="9" t="s">
        <v>26</v>
      </c>
    </row>
    <row r="280" hidden="1">
      <c r="A280" s="16" t="s">
        <v>1680</v>
      </c>
      <c r="B280" s="16" t="s">
        <v>1469</v>
      </c>
      <c r="C280" s="15">
        <v>0.0</v>
      </c>
      <c r="D280" s="15" t="s">
        <v>111</v>
      </c>
      <c r="E280" s="7" t="s">
        <v>1681</v>
      </c>
      <c r="F280" s="10" t="s">
        <v>1682</v>
      </c>
      <c r="G280" s="15">
        <v>2.0</v>
      </c>
      <c r="H280" s="15" t="s">
        <v>1471</v>
      </c>
      <c r="I280" s="15" t="s">
        <v>26</v>
      </c>
    </row>
    <row r="281">
      <c r="A281" s="7" t="s">
        <v>1683</v>
      </c>
      <c r="B281" s="7" t="s">
        <v>1469</v>
      </c>
      <c r="C281" s="9">
        <v>1.0</v>
      </c>
      <c r="D281" s="9" t="s">
        <v>634</v>
      </c>
      <c r="E281" s="7" t="s">
        <v>1684</v>
      </c>
      <c r="F281" s="10" t="s">
        <v>1685</v>
      </c>
      <c r="G281" s="9">
        <v>3.0</v>
      </c>
      <c r="H281" s="9" t="s">
        <v>1493</v>
      </c>
      <c r="I281" s="9" t="s">
        <v>70</v>
      </c>
    </row>
    <row r="282">
      <c r="A282" s="7" t="s">
        <v>1686</v>
      </c>
      <c r="B282" s="7" t="s">
        <v>1469</v>
      </c>
      <c r="C282" s="9">
        <v>1.0</v>
      </c>
      <c r="D282" s="9" t="s">
        <v>1365</v>
      </c>
      <c r="E282" s="16" t="s">
        <v>1687</v>
      </c>
      <c r="F282" s="10" t="s">
        <v>1688</v>
      </c>
      <c r="G282" s="9">
        <v>3.0</v>
      </c>
      <c r="H282" s="9" t="s">
        <v>1610</v>
      </c>
      <c r="I282" s="9" t="s">
        <v>26</v>
      </c>
    </row>
    <row r="283" hidden="1">
      <c r="A283" s="7" t="s">
        <v>1689</v>
      </c>
      <c r="B283" s="98" t="s">
        <v>1690</v>
      </c>
      <c r="C283" s="9">
        <v>2.0</v>
      </c>
      <c r="D283" s="9" t="s">
        <v>124</v>
      </c>
      <c r="E283" s="7" t="s">
        <v>1691</v>
      </c>
      <c r="F283" s="17" t="s">
        <v>1692</v>
      </c>
      <c r="G283" s="9">
        <v>1.0</v>
      </c>
      <c r="H283" s="9" t="s">
        <v>1693</v>
      </c>
      <c r="I283" s="15" t="s">
        <v>70</v>
      </c>
    </row>
    <row r="284">
      <c r="A284" s="20" t="s">
        <v>1694</v>
      </c>
      <c r="B284" s="7" t="s">
        <v>1469</v>
      </c>
      <c r="C284" s="9">
        <v>1.0</v>
      </c>
      <c r="D284" s="9" t="s">
        <v>1640</v>
      </c>
      <c r="E284" s="7" t="s">
        <v>1695</v>
      </c>
      <c r="F284" s="10" t="s">
        <v>1696</v>
      </c>
      <c r="G284" s="9">
        <v>2.0</v>
      </c>
      <c r="H284" s="9" t="s">
        <v>1471</v>
      </c>
      <c r="I284" s="21" t="s">
        <v>26</v>
      </c>
    </row>
    <row r="285" hidden="1">
      <c r="A285" s="22" t="s">
        <v>1697</v>
      </c>
      <c r="B285" s="98" t="s">
        <v>1690</v>
      </c>
      <c r="C285" s="9">
        <v>2.0</v>
      </c>
      <c r="D285" s="9" t="s">
        <v>1698</v>
      </c>
      <c r="E285" s="7" t="s">
        <v>1699</v>
      </c>
      <c r="F285" s="10" t="s">
        <v>1700</v>
      </c>
      <c r="G285" s="9">
        <v>4.0</v>
      </c>
      <c r="H285" s="9" t="s">
        <v>1701</v>
      </c>
      <c r="I285" s="9" t="s">
        <v>32</v>
      </c>
    </row>
    <row r="286" hidden="1">
      <c r="A286" s="16" t="s">
        <v>1702</v>
      </c>
      <c r="B286" s="99" t="s">
        <v>1690</v>
      </c>
      <c r="C286" s="15">
        <v>2.0</v>
      </c>
      <c r="D286" s="15" t="s">
        <v>1703</v>
      </c>
      <c r="E286" s="30" t="s">
        <v>1704</v>
      </c>
      <c r="F286" s="17" t="s">
        <v>1705</v>
      </c>
      <c r="G286" s="15">
        <v>4.0</v>
      </c>
      <c r="H286" s="15" t="s">
        <v>1706</v>
      </c>
      <c r="I286" s="9" t="s">
        <v>32</v>
      </c>
    </row>
    <row r="287" hidden="1">
      <c r="A287" s="7" t="s">
        <v>1707</v>
      </c>
      <c r="B287" s="98" t="s">
        <v>1690</v>
      </c>
      <c r="C287" s="9">
        <v>2.0</v>
      </c>
      <c r="D287" s="9" t="s">
        <v>1708</v>
      </c>
      <c r="E287" s="16" t="s">
        <v>1709</v>
      </c>
      <c r="F287" s="10" t="s">
        <v>1710</v>
      </c>
      <c r="G287" s="9">
        <v>3.0</v>
      </c>
      <c r="H287" s="9" t="s">
        <v>1711</v>
      </c>
      <c r="I287" s="15" t="s">
        <v>70</v>
      </c>
    </row>
    <row r="288" hidden="1">
      <c r="A288" s="7" t="s">
        <v>1712</v>
      </c>
      <c r="B288" s="98" t="s">
        <v>1690</v>
      </c>
      <c r="C288" s="9">
        <v>2.0</v>
      </c>
      <c r="D288" s="9" t="s">
        <v>181</v>
      </c>
      <c r="E288" s="100" t="s">
        <v>1713</v>
      </c>
      <c r="F288" s="10" t="s">
        <v>1714</v>
      </c>
      <c r="G288" s="9">
        <v>0.0</v>
      </c>
      <c r="H288" s="9" t="s">
        <v>1715</v>
      </c>
      <c r="I288" s="15" t="s">
        <v>70</v>
      </c>
    </row>
    <row r="289" hidden="1">
      <c r="A289" s="16" t="s">
        <v>1716</v>
      </c>
      <c r="B289" s="98" t="s">
        <v>1690</v>
      </c>
      <c r="C289" s="9">
        <v>2.0</v>
      </c>
      <c r="D289" s="9" t="s">
        <v>124</v>
      </c>
      <c r="E289" s="7" t="s">
        <v>1717</v>
      </c>
      <c r="F289" s="10" t="s">
        <v>1718</v>
      </c>
      <c r="G289" s="9">
        <v>3.0</v>
      </c>
      <c r="H289" s="9" t="s">
        <v>1711</v>
      </c>
      <c r="I289" s="9" t="s">
        <v>26</v>
      </c>
    </row>
    <row r="290" hidden="1">
      <c r="A290" s="16" t="s">
        <v>1719</v>
      </c>
      <c r="B290" s="99" t="s">
        <v>1690</v>
      </c>
      <c r="C290" s="15">
        <v>2.0</v>
      </c>
      <c r="D290" s="15" t="s">
        <v>952</v>
      </c>
      <c r="E290" s="16" t="s">
        <v>1720</v>
      </c>
      <c r="F290" s="17" t="s">
        <v>1721</v>
      </c>
      <c r="G290" s="15">
        <v>0.0</v>
      </c>
      <c r="H290" s="15" t="s">
        <v>1715</v>
      </c>
      <c r="I290" s="15" t="s">
        <v>70</v>
      </c>
    </row>
    <row r="291" hidden="1">
      <c r="A291" s="16" t="s">
        <v>1722</v>
      </c>
      <c r="B291" s="99" t="s">
        <v>1690</v>
      </c>
      <c r="C291" s="15">
        <v>2.0</v>
      </c>
      <c r="D291" s="15" t="s">
        <v>124</v>
      </c>
      <c r="E291" s="16" t="s">
        <v>1723</v>
      </c>
      <c r="F291" s="17" t="s">
        <v>636</v>
      </c>
      <c r="G291" s="15">
        <v>4.0</v>
      </c>
      <c r="H291" s="15" t="s">
        <v>1724</v>
      </c>
      <c r="I291" s="9" t="s">
        <v>26</v>
      </c>
    </row>
    <row r="292" hidden="1">
      <c r="A292" s="7" t="s">
        <v>1725</v>
      </c>
      <c r="B292" s="98" t="s">
        <v>1690</v>
      </c>
      <c r="C292" s="9">
        <v>2.0</v>
      </c>
      <c r="D292" s="9" t="s">
        <v>1708</v>
      </c>
      <c r="E292" s="7" t="s">
        <v>1726</v>
      </c>
      <c r="F292" s="10" t="s">
        <v>636</v>
      </c>
      <c r="G292" s="9">
        <v>1.0</v>
      </c>
      <c r="H292" s="9" t="s">
        <v>1727</v>
      </c>
      <c r="I292" s="9" t="s">
        <v>32</v>
      </c>
    </row>
    <row r="293" hidden="1">
      <c r="A293" s="7" t="s">
        <v>1728</v>
      </c>
      <c r="B293" s="98" t="s">
        <v>1690</v>
      </c>
      <c r="C293" s="9">
        <v>2.0</v>
      </c>
      <c r="D293" s="9" t="s">
        <v>201</v>
      </c>
      <c r="E293" s="7" t="s">
        <v>1729</v>
      </c>
      <c r="F293" s="10" t="s">
        <v>1718</v>
      </c>
      <c r="G293" s="9">
        <v>5.0</v>
      </c>
      <c r="H293" s="9" t="s">
        <v>1701</v>
      </c>
      <c r="I293" s="9" t="s">
        <v>70</v>
      </c>
    </row>
    <row r="294">
      <c r="A294" s="7" t="s">
        <v>1730</v>
      </c>
      <c r="B294" s="7" t="s">
        <v>1469</v>
      </c>
      <c r="C294" s="9">
        <v>1.0</v>
      </c>
      <c r="D294" s="9" t="s">
        <v>1365</v>
      </c>
      <c r="E294" s="16" t="s">
        <v>1731</v>
      </c>
      <c r="F294" s="17" t="s">
        <v>1732</v>
      </c>
      <c r="G294" s="9">
        <v>2.0</v>
      </c>
      <c r="H294" s="9" t="s">
        <v>1471</v>
      </c>
      <c r="I294" s="9" t="s">
        <v>26</v>
      </c>
    </row>
    <row r="295" hidden="1">
      <c r="A295" s="7" t="s">
        <v>1733</v>
      </c>
      <c r="B295" s="98" t="s">
        <v>1690</v>
      </c>
      <c r="C295" s="9">
        <v>2.0</v>
      </c>
      <c r="D295" s="9" t="s">
        <v>1708</v>
      </c>
      <c r="E295" s="7" t="s">
        <v>1734</v>
      </c>
      <c r="F295" s="10" t="s">
        <v>636</v>
      </c>
      <c r="G295" s="9">
        <v>1.0</v>
      </c>
      <c r="H295" s="9" t="s">
        <v>1693</v>
      </c>
      <c r="I295" s="9" t="s">
        <v>26</v>
      </c>
    </row>
    <row r="296">
      <c r="A296" s="80" t="s">
        <v>1735</v>
      </c>
      <c r="B296" s="7" t="s">
        <v>1469</v>
      </c>
      <c r="C296" s="9">
        <v>1.0</v>
      </c>
      <c r="D296" s="9" t="s">
        <v>1736</v>
      </c>
      <c r="E296" s="7" t="s">
        <v>1737</v>
      </c>
      <c r="F296" s="17" t="s">
        <v>1738</v>
      </c>
      <c r="G296" s="9">
        <v>5.0</v>
      </c>
      <c r="H296" s="9" t="s">
        <v>1739</v>
      </c>
      <c r="I296" s="9" t="s">
        <v>70</v>
      </c>
    </row>
    <row r="297" hidden="1">
      <c r="A297" s="7" t="s">
        <v>1740</v>
      </c>
      <c r="B297" s="7" t="s">
        <v>1469</v>
      </c>
      <c r="C297" s="9">
        <v>0.0</v>
      </c>
      <c r="D297" s="9" t="s">
        <v>634</v>
      </c>
      <c r="E297" s="16" t="s">
        <v>1741</v>
      </c>
      <c r="F297" s="17" t="s">
        <v>1742</v>
      </c>
      <c r="G297" s="9">
        <v>2.0</v>
      </c>
      <c r="H297" s="9" t="s">
        <v>1471</v>
      </c>
      <c r="I297" s="9" t="s">
        <v>26</v>
      </c>
    </row>
    <row r="298">
      <c r="A298" s="24" t="s">
        <v>1743</v>
      </c>
      <c r="B298" s="7" t="s">
        <v>1469</v>
      </c>
      <c r="C298" s="15">
        <v>1.0</v>
      </c>
      <c r="D298" s="9" t="s">
        <v>1584</v>
      </c>
      <c r="E298" s="7" t="s">
        <v>1744</v>
      </c>
      <c r="F298" s="10" t="s">
        <v>1745</v>
      </c>
      <c r="G298" s="9">
        <v>7.0</v>
      </c>
      <c r="H298" s="9" t="s">
        <v>1604</v>
      </c>
      <c r="I298" s="9" t="s">
        <v>70</v>
      </c>
    </row>
    <row r="299">
      <c r="A299" s="24" t="s">
        <v>1746</v>
      </c>
      <c r="B299" s="7" t="s">
        <v>1469</v>
      </c>
      <c r="C299" s="9">
        <v>1.0</v>
      </c>
      <c r="D299" s="9" t="s">
        <v>1615</v>
      </c>
      <c r="E299" s="7" t="s">
        <v>1747</v>
      </c>
      <c r="F299" s="10" t="s">
        <v>1748</v>
      </c>
      <c r="G299" s="9">
        <v>4.0</v>
      </c>
      <c r="H299" s="9" t="s">
        <v>1586</v>
      </c>
      <c r="I299" s="9" t="s">
        <v>26</v>
      </c>
    </row>
    <row r="300" hidden="1">
      <c r="A300" s="22" t="s">
        <v>1749</v>
      </c>
      <c r="B300" s="98" t="s">
        <v>1690</v>
      </c>
      <c r="C300" s="9">
        <v>2.0</v>
      </c>
      <c r="D300" s="9" t="s">
        <v>1143</v>
      </c>
      <c r="E300" s="7" t="s">
        <v>1750</v>
      </c>
      <c r="F300" s="10" t="s">
        <v>1751</v>
      </c>
      <c r="G300" s="9">
        <v>3.0</v>
      </c>
      <c r="H300" s="9" t="s">
        <v>1711</v>
      </c>
      <c r="I300" s="9" t="s">
        <v>26</v>
      </c>
    </row>
    <row r="301" hidden="1">
      <c r="A301" s="22" t="s">
        <v>1752</v>
      </c>
      <c r="B301" s="98" t="s">
        <v>1690</v>
      </c>
      <c r="C301" s="9">
        <v>2.0</v>
      </c>
      <c r="D301" s="9" t="s">
        <v>37</v>
      </c>
      <c r="E301" s="7" t="s">
        <v>1753</v>
      </c>
      <c r="F301" s="10" t="s">
        <v>1754</v>
      </c>
      <c r="G301" s="9">
        <v>6.0</v>
      </c>
      <c r="H301" s="9" t="s">
        <v>1755</v>
      </c>
      <c r="I301" s="9" t="s">
        <v>70</v>
      </c>
    </row>
    <row r="302" hidden="1">
      <c r="A302" s="7" t="s">
        <v>1756</v>
      </c>
      <c r="B302" s="98" t="s">
        <v>1690</v>
      </c>
      <c r="C302" s="9">
        <v>2.0</v>
      </c>
      <c r="D302" s="9" t="s">
        <v>1708</v>
      </c>
      <c r="E302" s="16" t="s">
        <v>1757</v>
      </c>
      <c r="F302" s="10" t="s">
        <v>1758</v>
      </c>
      <c r="G302" s="9">
        <v>2.0</v>
      </c>
      <c r="H302" s="9" t="s">
        <v>1715</v>
      </c>
      <c r="I302" s="9" t="s">
        <v>70</v>
      </c>
    </row>
    <row r="303" hidden="1">
      <c r="A303" s="16" t="s">
        <v>1759</v>
      </c>
      <c r="B303" s="98" t="s">
        <v>1690</v>
      </c>
      <c r="C303" s="9">
        <v>2.0</v>
      </c>
      <c r="D303" s="15" t="s">
        <v>1002</v>
      </c>
      <c r="E303" s="16" t="s">
        <v>1760</v>
      </c>
      <c r="F303" s="55" t="s">
        <v>811</v>
      </c>
      <c r="G303" s="15">
        <v>5.0</v>
      </c>
      <c r="H303" s="15" t="s">
        <v>1761</v>
      </c>
      <c r="I303" s="15" t="s">
        <v>26</v>
      </c>
    </row>
    <row r="304">
      <c r="A304" s="7" t="s">
        <v>1762</v>
      </c>
      <c r="B304" s="7" t="s">
        <v>1469</v>
      </c>
      <c r="C304" s="9">
        <v>1.0</v>
      </c>
      <c r="D304" s="9" t="s">
        <v>287</v>
      </c>
      <c r="E304" s="7" t="s">
        <v>1763</v>
      </c>
      <c r="F304" s="10" t="s">
        <v>1764</v>
      </c>
      <c r="G304" s="9">
        <v>5.0</v>
      </c>
      <c r="H304" s="9" t="s">
        <v>1586</v>
      </c>
      <c r="I304" s="9" t="s">
        <v>26</v>
      </c>
    </row>
    <row r="305">
      <c r="A305" s="16" t="s">
        <v>1765</v>
      </c>
      <c r="B305" s="16" t="s">
        <v>1469</v>
      </c>
      <c r="C305" s="15">
        <v>1.0</v>
      </c>
      <c r="D305" s="15" t="s">
        <v>359</v>
      </c>
      <c r="E305" s="16" t="s">
        <v>1766</v>
      </c>
      <c r="F305" s="33"/>
      <c r="G305" s="15">
        <v>4.0</v>
      </c>
      <c r="H305" s="15" t="s">
        <v>1586</v>
      </c>
      <c r="I305" s="15" t="s">
        <v>70</v>
      </c>
    </row>
    <row r="306" hidden="1">
      <c r="A306" s="7" t="s">
        <v>1767</v>
      </c>
      <c r="B306" s="98" t="s">
        <v>1690</v>
      </c>
      <c r="C306" s="9">
        <v>2.0</v>
      </c>
      <c r="D306" s="9" t="s">
        <v>1768</v>
      </c>
      <c r="E306" s="18" t="s">
        <v>1769</v>
      </c>
      <c r="F306" s="17" t="s">
        <v>1770</v>
      </c>
      <c r="G306" s="9">
        <v>3.0</v>
      </c>
      <c r="H306" s="9" t="s">
        <v>1715</v>
      </c>
      <c r="I306" s="9" t="s">
        <v>70</v>
      </c>
    </row>
    <row r="307">
      <c r="A307" s="7" t="s">
        <v>1771</v>
      </c>
      <c r="B307" s="7" t="s">
        <v>1469</v>
      </c>
      <c r="C307" s="9">
        <v>1.0</v>
      </c>
      <c r="D307" s="9" t="s">
        <v>1772</v>
      </c>
      <c r="E307" s="7" t="s">
        <v>1773</v>
      </c>
      <c r="F307" s="10" t="s">
        <v>1774</v>
      </c>
      <c r="G307" s="9">
        <v>1.0</v>
      </c>
      <c r="H307" s="9" t="s">
        <v>1471</v>
      </c>
      <c r="I307" s="9" t="s">
        <v>26</v>
      </c>
    </row>
    <row r="308">
      <c r="A308" s="22" t="s">
        <v>1775</v>
      </c>
      <c r="B308" s="7" t="s">
        <v>1469</v>
      </c>
      <c r="C308" s="9">
        <v>1.0</v>
      </c>
      <c r="D308" s="9" t="s">
        <v>287</v>
      </c>
      <c r="E308" s="7" t="s">
        <v>1776</v>
      </c>
      <c r="F308" s="10" t="s">
        <v>1777</v>
      </c>
      <c r="G308" s="9">
        <v>1.0</v>
      </c>
      <c r="H308" s="9" t="s">
        <v>1497</v>
      </c>
      <c r="I308" s="9" t="s">
        <v>26</v>
      </c>
    </row>
    <row r="309" hidden="1">
      <c r="A309" s="7" t="s">
        <v>1778</v>
      </c>
      <c r="B309" s="98" t="s">
        <v>1690</v>
      </c>
      <c r="C309" s="9">
        <v>2.0</v>
      </c>
      <c r="D309" s="9" t="s">
        <v>201</v>
      </c>
      <c r="E309" s="7" t="s">
        <v>1779</v>
      </c>
      <c r="F309" s="10" t="s">
        <v>1718</v>
      </c>
      <c r="G309" s="9">
        <v>1.0</v>
      </c>
      <c r="H309" s="9" t="s">
        <v>1711</v>
      </c>
      <c r="I309" s="9" t="s">
        <v>26</v>
      </c>
    </row>
    <row r="310" hidden="1">
      <c r="A310" s="7" t="s">
        <v>1780</v>
      </c>
      <c r="B310" s="98" t="s">
        <v>1690</v>
      </c>
      <c r="C310" s="9">
        <v>2.0</v>
      </c>
      <c r="D310" s="9" t="s">
        <v>1668</v>
      </c>
      <c r="E310" s="7" t="s">
        <v>1781</v>
      </c>
      <c r="F310" s="10" t="s">
        <v>1782</v>
      </c>
      <c r="G310" s="9">
        <v>1.0</v>
      </c>
      <c r="H310" s="50" t="s">
        <v>1761</v>
      </c>
      <c r="I310" s="9" t="s">
        <v>70</v>
      </c>
    </row>
    <row r="311">
      <c r="A311" s="80" t="s">
        <v>1783</v>
      </c>
      <c r="B311" s="7" t="s">
        <v>1469</v>
      </c>
      <c r="C311" s="9">
        <v>1.0</v>
      </c>
      <c r="D311" s="9" t="s">
        <v>1637</v>
      </c>
      <c r="E311" s="7" t="s">
        <v>1784</v>
      </c>
      <c r="F311" s="10" t="s">
        <v>1785</v>
      </c>
      <c r="G311" s="9">
        <v>2.0</v>
      </c>
      <c r="H311" s="9" t="s">
        <v>1493</v>
      </c>
      <c r="I311" s="21" t="s">
        <v>70</v>
      </c>
    </row>
    <row r="312">
      <c r="A312" s="7" t="s">
        <v>1786</v>
      </c>
      <c r="B312" s="7" t="s">
        <v>1469</v>
      </c>
      <c r="C312" s="9">
        <v>1.0</v>
      </c>
      <c r="D312" s="9" t="s">
        <v>1787</v>
      </c>
      <c r="E312" s="7" t="s">
        <v>1788</v>
      </c>
      <c r="F312" s="10" t="s">
        <v>1789</v>
      </c>
      <c r="G312" s="9">
        <v>4.0</v>
      </c>
      <c r="H312" s="9" t="s">
        <v>1790</v>
      </c>
      <c r="I312" s="9" t="s">
        <v>32</v>
      </c>
    </row>
    <row r="313">
      <c r="A313" s="20" t="s">
        <v>1791</v>
      </c>
      <c r="B313" s="87" t="s">
        <v>1469</v>
      </c>
      <c r="C313" s="9">
        <v>1.0</v>
      </c>
      <c r="D313" s="9" t="s">
        <v>1002</v>
      </c>
      <c r="E313" s="7" t="s">
        <v>1792</v>
      </c>
      <c r="F313" s="10" t="s">
        <v>1793</v>
      </c>
      <c r="G313" s="9">
        <v>6.0</v>
      </c>
      <c r="H313" s="9" t="s">
        <v>1493</v>
      </c>
      <c r="I313" s="9" t="s">
        <v>32</v>
      </c>
    </row>
    <row r="314">
      <c r="A314" s="7" t="s">
        <v>1794</v>
      </c>
      <c r="B314" s="7" t="s">
        <v>1469</v>
      </c>
      <c r="C314" s="9">
        <v>1.0</v>
      </c>
      <c r="D314" s="9" t="s">
        <v>195</v>
      </c>
      <c r="E314" s="7" t="s">
        <v>1795</v>
      </c>
      <c r="F314" s="10" t="s">
        <v>1796</v>
      </c>
      <c r="G314" s="9">
        <v>4.0</v>
      </c>
      <c r="H314" s="9" t="s">
        <v>1739</v>
      </c>
      <c r="I314" s="9" t="s">
        <v>32</v>
      </c>
    </row>
    <row r="315" hidden="1">
      <c r="A315" s="7" t="s">
        <v>1797</v>
      </c>
      <c r="B315" s="98" t="s">
        <v>1690</v>
      </c>
      <c r="C315" s="9">
        <v>2.0</v>
      </c>
      <c r="D315" s="9" t="s">
        <v>1708</v>
      </c>
      <c r="E315" s="7" t="s">
        <v>1798</v>
      </c>
      <c r="F315" s="10" t="s">
        <v>1799</v>
      </c>
      <c r="G315" s="9">
        <v>3.0</v>
      </c>
      <c r="H315" s="9" t="s">
        <v>1711</v>
      </c>
      <c r="I315" s="9" t="s">
        <v>70</v>
      </c>
    </row>
    <row r="316">
      <c r="A316" s="16" t="s">
        <v>1800</v>
      </c>
      <c r="B316" s="16" t="s">
        <v>1469</v>
      </c>
      <c r="C316" s="15">
        <v>1.0</v>
      </c>
      <c r="D316" s="15" t="s">
        <v>1698</v>
      </c>
      <c r="E316" s="16" t="s">
        <v>1801</v>
      </c>
      <c r="F316" s="17" t="s">
        <v>1802</v>
      </c>
      <c r="G316" s="15">
        <v>5.0</v>
      </c>
      <c r="H316" s="15" t="s">
        <v>1586</v>
      </c>
      <c r="I316" s="15" t="s">
        <v>32</v>
      </c>
    </row>
    <row r="317" hidden="1">
      <c r="A317" s="31" t="s">
        <v>1803</v>
      </c>
      <c r="B317" s="99" t="s">
        <v>1690</v>
      </c>
      <c r="C317" s="15">
        <v>2.0</v>
      </c>
      <c r="D317" s="15" t="s">
        <v>1548</v>
      </c>
      <c r="E317" s="16" t="s">
        <v>270</v>
      </c>
      <c r="F317" s="17" t="s">
        <v>1804</v>
      </c>
      <c r="G317" s="15">
        <v>2.0</v>
      </c>
      <c r="H317" s="15" t="s">
        <v>1715</v>
      </c>
      <c r="I317" s="15" t="s">
        <v>26</v>
      </c>
    </row>
    <row r="318" hidden="1">
      <c r="A318" s="22" t="s">
        <v>1805</v>
      </c>
      <c r="B318" s="98" t="s">
        <v>1690</v>
      </c>
      <c r="C318" s="15">
        <v>2.0</v>
      </c>
      <c r="D318" s="9" t="s">
        <v>124</v>
      </c>
      <c r="E318" s="87" t="s">
        <v>1806</v>
      </c>
      <c r="F318" s="10" t="s">
        <v>1807</v>
      </c>
      <c r="G318" s="9">
        <v>2.0</v>
      </c>
      <c r="H318" s="9" t="s">
        <v>1715</v>
      </c>
      <c r="I318" s="9" t="s">
        <v>26</v>
      </c>
    </row>
    <row r="319" hidden="1">
      <c r="A319" s="16" t="s">
        <v>1808</v>
      </c>
      <c r="B319" s="99" t="s">
        <v>1690</v>
      </c>
      <c r="C319" s="15">
        <v>2.0</v>
      </c>
      <c r="D319" s="15" t="s">
        <v>1809</v>
      </c>
      <c r="E319" s="16" t="s">
        <v>1810</v>
      </c>
      <c r="F319" s="17" t="s">
        <v>1811</v>
      </c>
      <c r="G319" s="15">
        <v>3.0</v>
      </c>
      <c r="H319" s="15" t="s">
        <v>1812</v>
      </c>
      <c r="I319" s="15" t="s">
        <v>26</v>
      </c>
    </row>
    <row r="320" hidden="1">
      <c r="A320" s="16" t="s">
        <v>1813</v>
      </c>
      <c r="B320" s="98" t="s">
        <v>1690</v>
      </c>
      <c r="C320" s="9">
        <v>2.0</v>
      </c>
      <c r="D320" s="9" t="s">
        <v>1698</v>
      </c>
      <c r="E320" s="7" t="s">
        <v>1814</v>
      </c>
      <c r="F320" s="10" t="s">
        <v>1815</v>
      </c>
      <c r="G320" s="9">
        <v>2.0</v>
      </c>
      <c r="H320" s="9" t="s">
        <v>1761</v>
      </c>
      <c r="I320" s="9" t="s">
        <v>70</v>
      </c>
    </row>
    <row r="321" hidden="1">
      <c r="A321" s="16" t="s">
        <v>1816</v>
      </c>
      <c r="B321" s="99" t="s">
        <v>1690</v>
      </c>
      <c r="C321" s="15">
        <v>2.0</v>
      </c>
      <c r="D321" s="15" t="s">
        <v>88</v>
      </c>
      <c r="E321" s="16" t="s">
        <v>1817</v>
      </c>
      <c r="F321" s="17" t="s">
        <v>1818</v>
      </c>
      <c r="G321" s="15">
        <v>0.0</v>
      </c>
      <c r="H321" s="15" t="s">
        <v>1761</v>
      </c>
      <c r="I321" s="15" t="s">
        <v>70</v>
      </c>
    </row>
    <row r="322">
      <c r="A322" s="31" t="s">
        <v>1819</v>
      </c>
      <c r="B322" s="16" t="s">
        <v>1469</v>
      </c>
      <c r="C322" s="15">
        <v>1.0</v>
      </c>
      <c r="D322" s="15" t="s">
        <v>359</v>
      </c>
      <c r="E322" s="16" t="s">
        <v>1820</v>
      </c>
      <c r="F322" s="33"/>
      <c r="G322" s="15">
        <v>6.0</v>
      </c>
      <c r="H322" s="15" t="s">
        <v>1821</v>
      </c>
      <c r="I322" s="9" t="s">
        <v>32</v>
      </c>
    </row>
    <row r="323">
      <c r="A323" s="16" t="s">
        <v>1822</v>
      </c>
      <c r="B323" s="16" t="s">
        <v>1469</v>
      </c>
      <c r="C323" s="15">
        <v>1.0</v>
      </c>
      <c r="D323" s="15" t="s">
        <v>287</v>
      </c>
      <c r="F323" s="33"/>
      <c r="G323" s="15">
        <v>1.0</v>
      </c>
      <c r="H323" s="15" t="s">
        <v>1635</v>
      </c>
      <c r="I323" s="15" t="s">
        <v>26</v>
      </c>
      <c r="J323" s="11" t="s">
        <v>1823</v>
      </c>
      <c r="K323" s="13" t="s">
        <v>1824</v>
      </c>
      <c r="L323" s="13" t="s">
        <v>1825</v>
      </c>
    </row>
    <row r="324">
      <c r="A324" s="7" t="s">
        <v>1826</v>
      </c>
      <c r="B324" s="7" t="s">
        <v>1469</v>
      </c>
      <c r="C324" s="9">
        <v>1.0</v>
      </c>
      <c r="D324" s="9" t="s">
        <v>1772</v>
      </c>
      <c r="F324" s="10" t="s">
        <v>1827</v>
      </c>
      <c r="G324" s="9">
        <v>4.0</v>
      </c>
      <c r="H324" s="9" t="s">
        <v>1610</v>
      </c>
      <c r="I324" s="9" t="s">
        <v>26</v>
      </c>
    </row>
    <row r="325" hidden="1">
      <c r="A325" s="16" t="s">
        <v>1828</v>
      </c>
      <c r="B325" s="99" t="s">
        <v>1690</v>
      </c>
      <c r="C325" s="15">
        <v>2.0</v>
      </c>
      <c r="D325" s="15" t="s">
        <v>1829</v>
      </c>
      <c r="E325" s="16" t="s">
        <v>1830</v>
      </c>
      <c r="F325" s="17" t="s">
        <v>1831</v>
      </c>
      <c r="G325" s="15">
        <v>4.0</v>
      </c>
      <c r="H325" s="15" t="s">
        <v>1761</v>
      </c>
      <c r="I325" s="15" t="s">
        <v>70</v>
      </c>
    </row>
    <row r="326">
      <c r="A326" s="16" t="s">
        <v>1832</v>
      </c>
      <c r="B326" s="16" t="s">
        <v>1469</v>
      </c>
      <c r="C326" s="15">
        <v>1.0</v>
      </c>
      <c r="D326" s="15" t="s">
        <v>892</v>
      </c>
      <c r="F326" s="33"/>
      <c r="G326" s="15">
        <v>5.0</v>
      </c>
      <c r="H326" s="15" t="s">
        <v>1833</v>
      </c>
      <c r="I326" s="15" t="s">
        <v>26</v>
      </c>
    </row>
    <row r="327" hidden="1">
      <c r="A327" s="16" t="s">
        <v>1834</v>
      </c>
      <c r="B327" s="99" t="s">
        <v>1690</v>
      </c>
      <c r="C327" s="15">
        <v>2.0</v>
      </c>
      <c r="D327" s="15" t="s">
        <v>1143</v>
      </c>
      <c r="E327" s="16" t="s">
        <v>1835</v>
      </c>
      <c r="F327" s="17" t="s">
        <v>1836</v>
      </c>
      <c r="G327" s="15">
        <v>2.0</v>
      </c>
      <c r="H327" s="15" t="s">
        <v>1711</v>
      </c>
      <c r="I327" s="15" t="s">
        <v>26</v>
      </c>
    </row>
    <row r="328">
      <c r="A328" s="31" t="s">
        <v>1837</v>
      </c>
      <c r="B328" s="16" t="s">
        <v>1469</v>
      </c>
      <c r="C328" s="15">
        <v>1.0</v>
      </c>
      <c r="D328" s="15" t="s">
        <v>1365</v>
      </c>
      <c r="E328" s="101" t="s">
        <v>1838</v>
      </c>
      <c r="F328" s="17" t="s">
        <v>1839</v>
      </c>
      <c r="G328" s="15">
        <v>1.0</v>
      </c>
      <c r="H328" s="15" t="s">
        <v>1635</v>
      </c>
      <c r="I328" s="15" t="s">
        <v>32</v>
      </c>
    </row>
    <row r="329">
      <c r="A329" s="31" t="s">
        <v>1840</v>
      </c>
      <c r="B329" s="16" t="s">
        <v>1469</v>
      </c>
      <c r="C329" s="15">
        <v>1.0</v>
      </c>
      <c r="D329" s="15" t="s">
        <v>1640</v>
      </c>
      <c r="E329" s="16" t="s">
        <v>1841</v>
      </c>
      <c r="F329" s="33"/>
      <c r="G329" s="15">
        <v>6.0</v>
      </c>
      <c r="H329" s="16" t="s">
        <v>1502</v>
      </c>
      <c r="I329" s="9" t="s">
        <v>70</v>
      </c>
    </row>
    <row r="330">
      <c r="A330" s="31" t="s">
        <v>1842</v>
      </c>
      <c r="B330" s="16" t="s">
        <v>1469</v>
      </c>
      <c r="C330" s="15">
        <v>1.0</v>
      </c>
      <c r="D330" s="15" t="s">
        <v>250</v>
      </c>
      <c r="E330" s="16" t="s">
        <v>1843</v>
      </c>
      <c r="F330" s="33"/>
      <c r="G330" s="15">
        <v>4.0</v>
      </c>
      <c r="H330" s="15" t="s">
        <v>1739</v>
      </c>
      <c r="I330" s="9" t="s">
        <v>32</v>
      </c>
    </row>
    <row r="331" hidden="1">
      <c r="A331" s="16" t="s">
        <v>1844</v>
      </c>
      <c r="B331" s="99" t="s">
        <v>1690</v>
      </c>
      <c r="C331" s="15">
        <v>2.0</v>
      </c>
      <c r="D331" s="15" t="s">
        <v>624</v>
      </c>
      <c r="E331" s="16" t="s">
        <v>1845</v>
      </c>
      <c r="F331" s="17" t="s">
        <v>1846</v>
      </c>
      <c r="G331" s="15">
        <v>0.0</v>
      </c>
      <c r="H331" s="15" t="s">
        <v>1701</v>
      </c>
      <c r="I331" s="15" t="s">
        <v>70</v>
      </c>
    </row>
    <row r="332" hidden="1">
      <c r="A332" s="7" t="s">
        <v>1847</v>
      </c>
      <c r="B332" s="98" t="s">
        <v>1690</v>
      </c>
      <c r="C332" s="9">
        <v>2.0</v>
      </c>
      <c r="D332" s="9" t="s">
        <v>323</v>
      </c>
      <c r="E332" s="7" t="s">
        <v>1848</v>
      </c>
      <c r="F332" s="10" t="s">
        <v>1849</v>
      </c>
      <c r="G332" s="9">
        <v>2.0</v>
      </c>
      <c r="H332" s="9" t="s">
        <v>1761</v>
      </c>
      <c r="I332" s="9" t="s">
        <v>70</v>
      </c>
    </row>
    <row r="333" hidden="1">
      <c r="A333" s="16" t="s">
        <v>1850</v>
      </c>
      <c r="B333" s="99" t="s">
        <v>1690</v>
      </c>
      <c r="C333" s="15">
        <v>2.0</v>
      </c>
      <c r="D333" s="15" t="s">
        <v>1851</v>
      </c>
      <c r="E333" s="16" t="s">
        <v>1852</v>
      </c>
      <c r="F333" s="17" t="s">
        <v>1853</v>
      </c>
      <c r="G333" s="15">
        <v>3.0</v>
      </c>
      <c r="H333" s="15" t="s">
        <v>1711</v>
      </c>
      <c r="I333" s="15" t="s">
        <v>26</v>
      </c>
    </row>
    <row r="334" hidden="1">
      <c r="A334" s="7" t="s">
        <v>1854</v>
      </c>
      <c r="B334" s="98" t="s">
        <v>1690</v>
      </c>
      <c r="C334" s="9">
        <v>2.0</v>
      </c>
      <c r="D334" s="9" t="s">
        <v>1855</v>
      </c>
      <c r="E334" s="7" t="s">
        <v>1856</v>
      </c>
      <c r="F334" s="10" t="s">
        <v>1857</v>
      </c>
      <c r="G334" s="9">
        <v>4.0</v>
      </c>
      <c r="H334" s="9" t="s">
        <v>1701</v>
      </c>
      <c r="I334" s="9" t="s">
        <v>70</v>
      </c>
    </row>
    <row r="335">
      <c r="A335" s="16" t="s">
        <v>1858</v>
      </c>
      <c r="B335" s="92" t="s">
        <v>1469</v>
      </c>
      <c r="C335" s="15">
        <v>1.0</v>
      </c>
      <c r="D335" s="15" t="s">
        <v>1859</v>
      </c>
      <c r="E335" s="16" t="s">
        <v>1860</v>
      </c>
      <c r="F335" s="33"/>
      <c r="G335" s="15">
        <v>0.0</v>
      </c>
      <c r="H335" s="15" t="s">
        <v>1502</v>
      </c>
      <c r="I335" s="15" t="s">
        <v>32</v>
      </c>
    </row>
    <row r="336" hidden="1">
      <c r="A336" s="16" t="s">
        <v>1861</v>
      </c>
      <c r="B336" s="98" t="s">
        <v>1690</v>
      </c>
      <c r="C336" s="9">
        <v>2.0</v>
      </c>
      <c r="D336" s="15" t="s">
        <v>1862</v>
      </c>
      <c r="E336" s="16" t="s">
        <v>1863</v>
      </c>
      <c r="F336" s="17" t="s">
        <v>1864</v>
      </c>
      <c r="G336" s="15">
        <v>2.0</v>
      </c>
      <c r="H336" s="15" t="s">
        <v>1715</v>
      </c>
      <c r="I336" s="15" t="s">
        <v>26</v>
      </c>
    </row>
    <row r="337" hidden="1">
      <c r="A337" s="16" t="s">
        <v>1865</v>
      </c>
      <c r="B337" s="99" t="s">
        <v>1690</v>
      </c>
      <c r="C337" s="15">
        <v>2.0</v>
      </c>
      <c r="D337" s="15" t="s">
        <v>181</v>
      </c>
      <c r="E337" s="16" t="s">
        <v>1866</v>
      </c>
      <c r="F337" s="17" t="s">
        <v>1867</v>
      </c>
      <c r="G337" s="15">
        <v>0.0</v>
      </c>
      <c r="H337" s="15" t="s">
        <v>1761</v>
      </c>
      <c r="I337" s="15" t="s">
        <v>70</v>
      </c>
    </row>
    <row r="338" hidden="1">
      <c r="A338" s="51" t="s">
        <v>1868</v>
      </c>
      <c r="B338" s="51"/>
      <c r="C338" s="53">
        <v>2.0</v>
      </c>
      <c r="D338" s="53" t="s">
        <v>1869</v>
      </c>
      <c r="E338" s="54" t="s">
        <v>1870</v>
      </c>
      <c r="F338" s="55" t="s">
        <v>1871</v>
      </c>
      <c r="G338" s="56">
        <v>3.0</v>
      </c>
      <c r="H338" s="53" t="s">
        <v>1872</v>
      </c>
      <c r="I338" s="53" t="s">
        <v>26</v>
      </c>
    </row>
    <row r="339">
      <c r="A339" s="16" t="s">
        <v>1873</v>
      </c>
      <c r="B339" s="16" t="s">
        <v>1469</v>
      </c>
      <c r="C339" s="15">
        <v>1.0</v>
      </c>
      <c r="D339" s="15" t="s">
        <v>40</v>
      </c>
      <c r="F339" s="33"/>
      <c r="G339" s="15">
        <v>6.0</v>
      </c>
      <c r="H339" s="15" t="s">
        <v>1874</v>
      </c>
      <c r="I339" s="15" t="s">
        <v>26</v>
      </c>
    </row>
    <row r="340" hidden="1">
      <c r="A340" s="16" t="s">
        <v>1875</v>
      </c>
      <c r="C340" s="15">
        <v>2.0</v>
      </c>
      <c r="D340" s="15" t="s">
        <v>1548</v>
      </c>
      <c r="E340" s="16" t="s">
        <v>270</v>
      </c>
      <c r="F340" s="17" t="s">
        <v>1876</v>
      </c>
      <c r="G340" s="15">
        <v>2.0</v>
      </c>
      <c r="H340" s="15" t="s">
        <v>1877</v>
      </c>
      <c r="I340" s="15" t="s">
        <v>26</v>
      </c>
    </row>
    <row r="341" hidden="1">
      <c r="A341" s="51" t="s">
        <v>1878</v>
      </c>
      <c r="B341" s="51"/>
      <c r="C341" s="53">
        <v>2.0</v>
      </c>
      <c r="D341" s="53" t="s">
        <v>1829</v>
      </c>
      <c r="E341" s="54" t="s">
        <v>1879</v>
      </c>
      <c r="F341" s="55" t="s">
        <v>1880</v>
      </c>
      <c r="G341" s="53">
        <v>9.0</v>
      </c>
      <c r="H341" s="53" t="s">
        <v>1881</v>
      </c>
      <c r="I341" s="56" t="s">
        <v>70</v>
      </c>
    </row>
    <row r="342" hidden="1">
      <c r="A342" s="51" t="s">
        <v>1882</v>
      </c>
      <c r="B342" s="51"/>
      <c r="C342" s="53">
        <v>2.0</v>
      </c>
      <c r="D342" s="53" t="s">
        <v>1883</v>
      </c>
      <c r="E342" s="102" t="s">
        <v>1884</v>
      </c>
      <c r="F342" s="55" t="s">
        <v>1885</v>
      </c>
      <c r="G342" s="53">
        <v>6.0</v>
      </c>
      <c r="H342" s="53" t="s">
        <v>1886</v>
      </c>
      <c r="I342" s="56" t="s">
        <v>26</v>
      </c>
    </row>
    <row r="343" hidden="1">
      <c r="A343" s="16" t="s">
        <v>1887</v>
      </c>
      <c r="B343" s="16"/>
      <c r="C343" s="15">
        <v>2.0</v>
      </c>
      <c r="D343" s="15"/>
      <c r="E343" s="16" t="s">
        <v>1888</v>
      </c>
      <c r="F343" s="17" t="s">
        <v>1889</v>
      </c>
      <c r="G343" s="15">
        <v>2.0</v>
      </c>
      <c r="H343" s="15" t="s">
        <v>1877</v>
      </c>
      <c r="I343" s="15" t="s">
        <v>70</v>
      </c>
    </row>
    <row r="344">
      <c r="A344" s="7" t="s">
        <v>1890</v>
      </c>
      <c r="B344" s="7" t="s">
        <v>1469</v>
      </c>
      <c r="C344" s="9">
        <v>1.0</v>
      </c>
      <c r="D344" s="9" t="s">
        <v>359</v>
      </c>
      <c r="F344" s="63" t="s">
        <v>1891</v>
      </c>
      <c r="G344" s="9">
        <v>8.0</v>
      </c>
      <c r="H344" s="9" t="s">
        <v>1604</v>
      </c>
      <c r="I344" s="9" t="s">
        <v>26</v>
      </c>
    </row>
    <row r="345" hidden="1">
      <c r="A345" s="16" t="s">
        <v>1892</v>
      </c>
      <c r="B345" s="16"/>
      <c r="C345" s="15">
        <v>2.0</v>
      </c>
      <c r="D345" s="15" t="s">
        <v>1893</v>
      </c>
      <c r="E345" s="16" t="s">
        <v>1894</v>
      </c>
      <c r="F345" s="17" t="s">
        <v>811</v>
      </c>
      <c r="G345" s="15">
        <v>0.0</v>
      </c>
      <c r="H345" s="15" t="s">
        <v>1877</v>
      </c>
      <c r="I345" s="15" t="s">
        <v>70</v>
      </c>
    </row>
    <row r="346">
      <c r="A346" s="16" t="s">
        <v>1895</v>
      </c>
      <c r="B346" s="16" t="s">
        <v>1469</v>
      </c>
      <c r="C346" s="15">
        <v>1.0</v>
      </c>
      <c r="D346" s="15" t="s">
        <v>971</v>
      </c>
      <c r="F346" s="33"/>
      <c r="G346" s="15">
        <v>2.0</v>
      </c>
      <c r="H346" s="15" t="s">
        <v>1471</v>
      </c>
      <c r="I346" s="15" t="s">
        <v>26</v>
      </c>
    </row>
    <row r="347">
      <c r="A347" s="16" t="s">
        <v>1896</v>
      </c>
      <c r="B347" s="16" t="s">
        <v>1662</v>
      </c>
      <c r="C347" s="15">
        <v>1.0</v>
      </c>
      <c r="D347" s="15" t="s">
        <v>1668</v>
      </c>
      <c r="E347" s="16" t="s">
        <v>1897</v>
      </c>
      <c r="F347" s="38" t="s">
        <v>1898</v>
      </c>
      <c r="G347" s="15">
        <v>0.0</v>
      </c>
      <c r="H347" s="15" t="s">
        <v>1899</v>
      </c>
      <c r="I347" s="15" t="s">
        <v>70</v>
      </c>
    </row>
    <row r="348">
      <c r="A348" s="7" t="s">
        <v>1900</v>
      </c>
      <c r="B348" s="7" t="s">
        <v>1662</v>
      </c>
      <c r="C348" s="9">
        <v>1.0</v>
      </c>
      <c r="D348" s="9" t="s">
        <v>952</v>
      </c>
      <c r="E348" s="7" t="s">
        <v>1901</v>
      </c>
      <c r="F348" s="10" t="s">
        <v>1902</v>
      </c>
      <c r="G348" s="9">
        <v>1.0</v>
      </c>
      <c r="H348" s="9" t="s">
        <v>1903</v>
      </c>
      <c r="I348" s="9" t="s">
        <v>32</v>
      </c>
    </row>
    <row r="349">
      <c r="A349" s="7" t="s">
        <v>1904</v>
      </c>
      <c r="B349" s="7" t="s">
        <v>1662</v>
      </c>
      <c r="C349" s="9">
        <v>1.0</v>
      </c>
      <c r="D349" s="9" t="s">
        <v>1905</v>
      </c>
      <c r="E349" s="7"/>
      <c r="F349" s="10" t="s">
        <v>1906</v>
      </c>
      <c r="G349" s="9">
        <v>2.0</v>
      </c>
      <c r="H349" s="9" t="s">
        <v>1907</v>
      </c>
      <c r="I349" s="9" t="s">
        <v>26</v>
      </c>
    </row>
    <row r="350">
      <c r="A350" s="16" t="s">
        <v>1908</v>
      </c>
      <c r="B350" s="16" t="s">
        <v>1690</v>
      </c>
      <c r="C350" s="15">
        <v>1.0</v>
      </c>
      <c r="D350" s="15" t="s">
        <v>1909</v>
      </c>
      <c r="E350" s="16" t="s">
        <v>1910</v>
      </c>
      <c r="F350" s="17" t="s">
        <v>1911</v>
      </c>
      <c r="G350" s="15">
        <v>2.0</v>
      </c>
      <c r="H350" s="15" t="s">
        <v>1912</v>
      </c>
      <c r="I350" s="15" t="s">
        <v>70</v>
      </c>
      <c r="J350" s="11" t="s">
        <v>1913</v>
      </c>
      <c r="K350" s="13" t="s">
        <v>1914</v>
      </c>
    </row>
    <row r="351">
      <c r="A351" s="7" t="s">
        <v>1915</v>
      </c>
      <c r="B351" s="7" t="s">
        <v>1690</v>
      </c>
      <c r="C351" s="9">
        <v>1.0</v>
      </c>
      <c r="D351" s="9" t="s">
        <v>1855</v>
      </c>
      <c r="E351" s="7" t="s">
        <v>1916</v>
      </c>
      <c r="F351" s="10" t="s">
        <v>1917</v>
      </c>
      <c r="G351" s="9">
        <v>4.0</v>
      </c>
      <c r="H351" s="50" t="s">
        <v>1761</v>
      </c>
      <c r="I351" s="9" t="s">
        <v>70</v>
      </c>
    </row>
    <row r="352">
      <c r="A352" s="22" t="s">
        <v>1918</v>
      </c>
      <c r="B352" s="7" t="s">
        <v>1690</v>
      </c>
      <c r="C352" s="9">
        <v>1.0</v>
      </c>
      <c r="D352" s="9" t="s">
        <v>1862</v>
      </c>
      <c r="E352" s="7" t="s">
        <v>1919</v>
      </c>
      <c r="F352" s="17" t="s">
        <v>1920</v>
      </c>
      <c r="G352" s="9">
        <v>2.0</v>
      </c>
      <c r="H352" s="9" t="s">
        <v>1711</v>
      </c>
      <c r="I352" s="9" t="s">
        <v>70</v>
      </c>
    </row>
    <row r="353">
      <c r="A353" s="16" t="s">
        <v>1921</v>
      </c>
      <c r="B353" s="7" t="s">
        <v>1690</v>
      </c>
      <c r="C353" s="9">
        <v>1.0</v>
      </c>
      <c r="D353" s="15" t="s">
        <v>1143</v>
      </c>
      <c r="E353" s="16" t="s">
        <v>1922</v>
      </c>
      <c r="F353" s="17" t="s">
        <v>1228</v>
      </c>
      <c r="G353" s="15">
        <v>2.0</v>
      </c>
      <c r="H353" s="15" t="s">
        <v>1715</v>
      </c>
      <c r="I353" s="15" t="s">
        <v>26</v>
      </c>
    </row>
    <row r="354">
      <c r="A354" s="7" t="s">
        <v>1923</v>
      </c>
      <c r="B354" s="7" t="s">
        <v>1690</v>
      </c>
      <c r="C354" s="9">
        <v>1.0</v>
      </c>
      <c r="D354" s="15" t="s">
        <v>1924</v>
      </c>
      <c r="E354" s="16" t="s">
        <v>1925</v>
      </c>
      <c r="F354" s="17" t="s">
        <v>1926</v>
      </c>
      <c r="G354" s="15">
        <v>2.0</v>
      </c>
      <c r="H354" s="15" t="s">
        <v>1812</v>
      </c>
      <c r="I354" s="9" t="s">
        <v>70</v>
      </c>
    </row>
    <row r="355">
      <c r="A355" s="7" t="s">
        <v>1927</v>
      </c>
      <c r="B355" s="7" t="s">
        <v>1690</v>
      </c>
      <c r="C355" s="9">
        <v>1.0</v>
      </c>
      <c r="D355" s="9" t="s">
        <v>319</v>
      </c>
      <c r="E355" s="7" t="s">
        <v>1928</v>
      </c>
      <c r="F355" s="10" t="s">
        <v>1929</v>
      </c>
      <c r="G355" s="9">
        <v>3.0</v>
      </c>
      <c r="H355" s="9" t="s">
        <v>1812</v>
      </c>
      <c r="I355" s="9" t="s">
        <v>70</v>
      </c>
    </row>
    <row r="356">
      <c r="A356" s="7" t="s">
        <v>1930</v>
      </c>
      <c r="B356" s="7" t="s">
        <v>1690</v>
      </c>
      <c r="C356" s="9">
        <v>1.0</v>
      </c>
      <c r="D356" s="9" t="s">
        <v>1143</v>
      </c>
      <c r="E356" s="16" t="s">
        <v>1931</v>
      </c>
      <c r="F356" s="10" t="s">
        <v>1932</v>
      </c>
      <c r="G356" s="9">
        <v>3.0</v>
      </c>
      <c r="H356" s="9" t="s">
        <v>1711</v>
      </c>
      <c r="I356" s="9" t="s">
        <v>26</v>
      </c>
    </row>
    <row r="357">
      <c r="A357" s="16" t="s">
        <v>1933</v>
      </c>
      <c r="B357" s="7" t="s">
        <v>1690</v>
      </c>
      <c r="C357" s="9">
        <v>1.0</v>
      </c>
      <c r="D357" s="15" t="s">
        <v>1143</v>
      </c>
      <c r="E357" s="16" t="s">
        <v>1934</v>
      </c>
      <c r="F357" s="17" t="s">
        <v>1935</v>
      </c>
      <c r="G357" s="15">
        <v>3.0</v>
      </c>
      <c r="H357" s="15" t="s">
        <v>1711</v>
      </c>
      <c r="I357" s="15" t="s">
        <v>26</v>
      </c>
    </row>
    <row r="358">
      <c r="A358" s="24" t="s">
        <v>1936</v>
      </c>
      <c r="B358" s="7" t="s">
        <v>1690</v>
      </c>
      <c r="C358" s="9">
        <v>1.0</v>
      </c>
      <c r="D358" s="21" t="s">
        <v>1708</v>
      </c>
      <c r="E358" s="7" t="s">
        <v>1937</v>
      </c>
      <c r="F358" s="17" t="s">
        <v>1938</v>
      </c>
      <c r="G358" s="9">
        <v>2.0</v>
      </c>
      <c r="H358" s="9" t="s">
        <v>1715</v>
      </c>
      <c r="I358" s="15" t="s">
        <v>26</v>
      </c>
    </row>
    <row r="359">
      <c r="A359" s="7" t="s">
        <v>1939</v>
      </c>
      <c r="B359" s="7" t="s">
        <v>1690</v>
      </c>
      <c r="C359" s="9">
        <v>1.0</v>
      </c>
      <c r="D359" s="9" t="s">
        <v>1663</v>
      </c>
      <c r="E359" s="7" t="s">
        <v>1940</v>
      </c>
      <c r="F359" s="103" t="s">
        <v>1941</v>
      </c>
      <c r="G359" s="9">
        <v>4.0</v>
      </c>
      <c r="H359" s="9" t="s">
        <v>1812</v>
      </c>
      <c r="I359" s="15" t="s">
        <v>26</v>
      </c>
    </row>
    <row r="360">
      <c r="A360" s="20" t="s">
        <v>1942</v>
      </c>
      <c r="B360" s="7" t="s">
        <v>1690</v>
      </c>
      <c r="C360" s="9">
        <v>1.0</v>
      </c>
      <c r="D360" s="9" t="s">
        <v>181</v>
      </c>
      <c r="E360" s="7" t="s">
        <v>1943</v>
      </c>
      <c r="F360" s="10" t="s">
        <v>1944</v>
      </c>
      <c r="G360" s="9">
        <v>0.0</v>
      </c>
      <c r="H360" s="9" t="s">
        <v>1711</v>
      </c>
      <c r="I360" s="9" t="s">
        <v>26</v>
      </c>
    </row>
    <row r="361">
      <c r="A361" s="51" t="s">
        <v>1945</v>
      </c>
      <c r="B361" s="54" t="s">
        <v>1690</v>
      </c>
      <c r="C361" s="53">
        <v>1.0</v>
      </c>
      <c r="D361" s="53" t="s">
        <v>1432</v>
      </c>
      <c r="E361" s="54" t="s">
        <v>1946</v>
      </c>
      <c r="F361" s="55" t="s">
        <v>1947</v>
      </c>
      <c r="G361" s="53">
        <v>4.0</v>
      </c>
      <c r="H361" s="53" t="s">
        <v>1701</v>
      </c>
      <c r="I361" s="53" t="s">
        <v>70</v>
      </c>
    </row>
    <row r="362" hidden="1">
      <c r="A362" s="16" t="s">
        <v>1948</v>
      </c>
      <c r="B362" s="16" t="s">
        <v>21</v>
      </c>
      <c r="C362" s="15">
        <v>3.0</v>
      </c>
      <c r="D362" s="16" t="s">
        <v>1949</v>
      </c>
      <c r="E362" s="16" t="s">
        <v>1950</v>
      </c>
      <c r="G362" s="15">
        <v>4.0</v>
      </c>
      <c r="H362" s="15" t="s">
        <v>158</v>
      </c>
      <c r="I362" s="16" t="s">
        <v>70</v>
      </c>
    </row>
    <row r="363" hidden="1">
      <c r="A363" s="16" t="s">
        <v>1951</v>
      </c>
      <c r="B363" s="16" t="s">
        <v>1690</v>
      </c>
      <c r="C363" s="15">
        <v>3.0</v>
      </c>
      <c r="D363" s="16" t="s">
        <v>1952</v>
      </c>
      <c r="E363" s="16" t="s">
        <v>1953</v>
      </c>
      <c r="G363" s="15">
        <v>3.0</v>
      </c>
      <c r="H363" s="15" t="s">
        <v>1954</v>
      </c>
      <c r="I363" s="16" t="s">
        <v>32</v>
      </c>
    </row>
    <row r="364" hidden="1">
      <c r="A364" s="16" t="s">
        <v>1955</v>
      </c>
      <c r="B364" s="16" t="s">
        <v>1011</v>
      </c>
      <c r="C364" s="15">
        <v>3.0</v>
      </c>
      <c r="D364" s="16" t="s">
        <v>37</v>
      </c>
      <c r="E364" s="16" t="s">
        <v>1956</v>
      </c>
      <c r="G364" s="15">
        <v>1.0</v>
      </c>
      <c r="H364" s="15" t="s">
        <v>1020</v>
      </c>
      <c r="I364" s="16" t="s">
        <v>26</v>
      </c>
    </row>
    <row r="365" hidden="1">
      <c r="A365" s="16" t="s">
        <v>1957</v>
      </c>
      <c r="B365" s="16" t="s">
        <v>390</v>
      </c>
      <c r="C365" s="15">
        <v>3.0</v>
      </c>
      <c r="D365" s="16" t="s">
        <v>604</v>
      </c>
      <c r="E365" s="16" t="s">
        <v>1958</v>
      </c>
      <c r="G365" s="15">
        <v>3.0</v>
      </c>
      <c r="H365" s="15" t="s">
        <v>559</v>
      </c>
      <c r="I365" s="16" t="s">
        <v>26</v>
      </c>
    </row>
    <row r="366" hidden="1">
      <c r="A366" s="16" t="s">
        <v>1959</v>
      </c>
      <c r="B366" s="16" t="s">
        <v>937</v>
      </c>
      <c r="C366" s="15">
        <v>3.0</v>
      </c>
      <c r="D366" s="16" t="s">
        <v>1960</v>
      </c>
      <c r="E366" s="16" t="s">
        <v>1961</v>
      </c>
      <c r="G366" s="15">
        <v>6.0</v>
      </c>
      <c r="H366" s="15" t="s">
        <v>1962</v>
      </c>
      <c r="I366" s="16" t="s">
        <v>70</v>
      </c>
    </row>
    <row r="367" hidden="1">
      <c r="A367" s="16" t="s">
        <v>1963</v>
      </c>
      <c r="B367" s="16" t="s">
        <v>363</v>
      </c>
      <c r="C367" s="15">
        <v>3.0</v>
      </c>
      <c r="D367" s="16" t="s">
        <v>1964</v>
      </c>
      <c r="E367" s="16" t="s">
        <v>1965</v>
      </c>
      <c r="G367" s="15">
        <v>5.0</v>
      </c>
      <c r="H367" s="15" t="s">
        <v>1966</v>
      </c>
      <c r="I367" s="16" t="s">
        <v>32</v>
      </c>
    </row>
    <row r="368" hidden="1">
      <c r="A368" s="16" t="s">
        <v>1967</v>
      </c>
      <c r="B368" s="16" t="s">
        <v>1469</v>
      </c>
      <c r="C368" s="15">
        <v>3.0</v>
      </c>
      <c r="D368" s="16" t="s">
        <v>1968</v>
      </c>
      <c r="E368" s="16" t="s">
        <v>1969</v>
      </c>
      <c r="G368" s="15">
        <v>5.0</v>
      </c>
      <c r="H368" s="15" t="s">
        <v>1502</v>
      </c>
      <c r="I368" s="16" t="s">
        <v>70</v>
      </c>
    </row>
    <row r="369" hidden="1">
      <c r="A369" s="16" t="s">
        <v>1970</v>
      </c>
      <c r="B369" s="16" t="s">
        <v>21</v>
      </c>
      <c r="C369" s="15">
        <v>3.0</v>
      </c>
      <c r="D369" s="16" t="s">
        <v>111</v>
      </c>
      <c r="E369" s="16" t="s">
        <v>1971</v>
      </c>
      <c r="G369" s="15">
        <v>2.0</v>
      </c>
      <c r="H369" s="15" t="s">
        <v>106</v>
      </c>
      <c r="I369" s="16" t="s">
        <v>26</v>
      </c>
    </row>
    <row r="370" hidden="1">
      <c r="A370" s="16" t="s">
        <v>1972</v>
      </c>
      <c r="B370" s="16" t="s">
        <v>390</v>
      </c>
      <c r="C370" s="15">
        <v>3.0</v>
      </c>
      <c r="D370" s="16" t="s">
        <v>1973</v>
      </c>
      <c r="E370" s="16" t="s">
        <v>1974</v>
      </c>
      <c r="G370" s="15">
        <v>3.0</v>
      </c>
      <c r="H370" s="15" t="s">
        <v>393</v>
      </c>
      <c r="I370" s="16" t="s">
        <v>26</v>
      </c>
    </row>
    <row r="371" hidden="1">
      <c r="A371" s="16" t="s">
        <v>1975</v>
      </c>
      <c r="B371" s="16" t="s">
        <v>868</v>
      </c>
      <c r="C371" s="15">
        <v>3.0</v>
      </c>
      <c r="D371" s="16" t="s">
        <v>1976</v>
      </c>
      <c r="E371" s="16" t="s">
        <v>1977</v>
      </c>
      <c r="G371" s="15">
        <v>3.0</v>
      </c>
      <c r="H371" s="15" t="s">
        <v>1978</v>
      </c>
      <c r="I371" s="16" t="s">
        <v>70</v>
      </c>
    </row>
    <row r="372" hidden="1">
      <c r="A372" s="16" t="s">
        <v>1979</v>
      </c>
      <c r="B372" s="16" t="s">
        <v>1690</v>
      </c>
      <c r="C372" s="15">
        <v>3.0</v>
      </c>
      <c r="D372" s="16" t="s">
        <v>1980</v>
      </c>
      <c r="E372" s="16" t="s">
        <v>1981</v>
      </c>
      <c r="G372" s="35"/>
      <c r="H372" s="35"/>
    </row>
    <row r="373" hidden="1">
      <c r="A373" s="16" t="s">
        <v>1982</v>
      </c>
      <c r="B373" s="16" t="s">
        <v>1469</v>
      </c>
      <c r="C373" s="15">
        <v>3.0</v>
      </c>
      <c r="D373" s="16" t="s">
        <v>1365</v>
      </c>
      <c r="E373" s="16" t="s">
        <v>1983</v>
      </c>
      <c r="G373" s="15">
        <v>3.0</v>
      </c>
      <c r="H373" s="15" t="s">
        <v>1497</v>
      </c>
      <c r="I373" s="16" t="s">
        <v>26</v>
      </c>
    </row>
    <row r="374" hidden="1">
      <c r="A374" s="16" t="s">
        <v>1984</v>
      </c>
      <c r="B374" s="16" t="s">
        <v>1690</v>
      </c>
      <c r="C374" s="15">
        <v>3.0</v>
      </c>
      <c r="D374" s="16" t="s">
        <v>1985</v>
      </c>
      <c r="E374" s="16" t="s">
        <v>1986</v>
      </c>
      <c r="G374" s="15">
        <v>4.0</v>
      </c>
      <c r="H374" s="15" t="s">
        <v>1812</v>
      </c>
      <c r="I374" s="16" t="s">
        <v>70</v>
      </c>
    </row>
    <row r="375" hidden="1">
      <c r="A375" s="16" t="s">
        <v>1987</v>
      </c>
      <c r="B375" s="16" t="s">
        <v>1988</v>
      </c>
      <c r="C375" s="15">
        <v>3.0</v>
      </c>
      <c r="D375" s="16" t="s">
        <v>28</v>
      </c>
      <c r="E375" s="16" t="s">
        <v>1989</v>
      </c>
      <c r="G375" s="15">
        <v>3.0</v>
      </c>
      <c r="H375" s="15" t="s">
        <v>1990</v>
      </c>
      <c r="I375" s="16" t="s">
        <v>26</v>
      </c>
    </row>
    <row r="376" hidden="1">
      <c r="A376" s="16" t="s">
        <v>1991</v>
      </c>
      <c r="B376" s="16" t="s">
        <v>390</v>
      </c>
      <c r="C376" s="15">
        <v>3.0</v>
      </c>
      <c r="D376" s="16" t="s">
        <v>1992</v>
      </c>
      <c r="E376" s="16" t="s">
        <v>1993</v>
      </c>
      <c r="G376" s="15">
        <v>5.0</v>
      </c>
      <c r="H376" s="15" t="s">
        <v>499</v>
      </c>
      <c r="I376" s="16" t="s">
        <v>26</v>
      </c>
    </row>
    <row r="377" hidden="1">
      <c r="A377" s="16" t="s">
        <v>1994</v>
      </c>
      <c r="B377" s="14" t="s">
        <v>21</v>
      </c>
      <c r="C377" s="15">
        <v>3.0</v>
      </c>
      <c r="D377" s="15" t="s">
        <v>80</v>
      </c>
      <c r="E377" s="16" t="s">
        <v>1995</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1996</v>
      </c>
      <c r="B378" s="16" t="s">
        <v>390</v>
      </c>
      <c r="C378" s="15">
        <v>3.0</v>
      </c>
      <c r="D378" s="16" t="s">
        <v>1997</v>
      </c>
      <c r="E378" s="16" t="s">
        <v>1998</v>
      </c>
      <c r="G378" s="15">
        <v>2.0</v>
      </c>
      <c r="H378" s="15" t="s">
        <v>559</v>
      </c>
      <c r="I378" s="16" t="s">
        <v>70</v>
      </c>
    </row>
    <row r="379" hidden="1">
      <c r="A379" s="22" t="s">
        <v>1999</v>
      </c>
      <c r="B379" s="89" t="s">
        <v>1469</v>
      </c>
      <c r="C379" s="9">
        <v>3.0</v>
      </c>
      <c r="D379" s="9" t="s">
        <v>80</v>
      </c>
      <c r="E379" s="7" t="s">
        <v>2000</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1586</v>
      </c>
      <c r="I379" s="9" t="s">
        <v>32</v>
      </c>
    </row>
    <row r="380" hidden="1">
      <c r="A380" s="7" t="s">
        <v>1923</v>
      </c>
      <c r="B380" s="98" t="s">
        <v>1690</v>
      </c>
      <c r="C380" s="9">
        <v>3.0</v>
      </c>
      <c r="D380" s="15" t="s">
        <v>2001</v>
      </c>
      <c r="E380" s="16" t="s">
        <v>1925</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1812</v>
      </c>
      <c r="I380" s="9" t="s">
        <v>32</v>
      </c>
    </row>
    <row r="381" hidden="1">
      <c r="A381" s="7" t="s">
        <v>2002</v>
      </c>
      <c r="B381" s="8" t="s">
        <v>21</v>
      </c>
      <c r="C381" s="9">
        <v>3.0</v>
      </c>
      <c r="D381" s="9" t="s">
        <v>380</v>
      </c>
      <c r="E381" s="7" t="s">
        <v>2003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2004</v>
      </c>
      <c r="B382" s="104" t="s">
        <v>21</v>
      </c>
      <c r="C382" s="65">
        <v>3.0</v>
      </c>
      <c r="D382" s="67" t="s">
        <v>2005</v>
      </c>
      <c r="E382" s="29" t="s">
        <v>2006</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2007</v>
      </c>
      <c r="B383" s="16" t="s">
        <v>363</v>
      </c>
      <c r="C383" s="15">
        <v>3.0</v>
      </c>
      <c r="D383" s="15" t="s">
        <v>1414</v>
      </c>
      <c r="E383" s="16" t="s">
        <v>2008</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2009</v>
      </c>
      <c r="B384" s="48" t="s">
        <v>390</v>
      </c>
      <c r="C384" s="9">
        <v>3.0</v>
      </c>
      <c r="D384" s="9" t="s">
        <v>405</v>
      </c>
      <c r="E384" s="16" t="s">
        <v>2010</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2011</v>
      </c>
      <c r="B385" s="7" t="s">
        <v>303</v>
      </c>
      <c r="C385" s="9">
        <v>3.0</v>
      </c>
      <c r="D385" s="9" t="s">
        <v>155</v>
      </c>
      <c r="E385" s="7" t="s">
        <v>2012</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2013</v>
      </c>
      <c r="G386" s="35"/>
      <c r="H386" s="35"/>
    </row>
    <row r="387" hidden="1">
      <c r="C387" s="15">
        <v>3.0</v>
      </c>
      <c r="D387" s="16" t="s">
        <v>1772</v>
      </c>
      <c r="G387" s="35"/>
      <c r="H387" s="35"/>
    </row>
    <row r="388" hidden="1">
      <c r="C388" s="15">
        <v>3.0</v>
      </c>
      <c r="E388" s="16" t="s">
        <v>2014</v>
      </c>
      <c r="G388" s="35"/>
      <c r="H388" s="35"/>
    </row>
    <row r="389" hidden="1">
      <c r="A389" s="16" t="s">
        <v>2015</v>
      </c>
      <c r="B389" s="16" t="s">
        <v>1469</v>
      </c>
      <c r="C389" s="15">
        <v>3.0</v>
      </c>
      <c r="D389" s="16" t="s">
        <v>37</v>
      </c>
      <c r="E389" s="16" t="s">
        <v>2016</v>
      </c>
      <c r="G389" s="15">
        <v>1.0</v>
      </c>
      <c r="H389" s="15" t="s">
        <v>1610</v>
      </c>
      <c r="I389" s="16" t="s">
        <v>26</v>
      </c>
    </row>
    <row r="390" hidden="1">
      <c r="C390" s="15">
        <v>3.0</v>
      </c>
      <c r="E390" s="16" t="s">
        <v>2017</v>
      </c>
      <c r="G390" s="35"/>
      <c r="H390" s="35"/>
    </row>
    <row r="391" hidden="1">
      <c r="A391" s="16" t="s">
        <v>2018</v>
      </c>
      <c r="B391" s="16" t="s">
        <v>1011</v>
      </c>
      <c r="C391" s="15">
        <v>3.0</v>
      </c>
      <c r="D391" s="16" t="s">
        <v>670</v>
      </c>
      <c r="E391" s="16" t="s">
        <v>2019</v>
      </c>
      <c r="G391" s="35"/>
      <c r="H391" s="35"/>
    </row>
    <row r="392" hidden="1">
      <c r="A392" s="7" t="s">
        <v>2020</v>
      </c>
      <c r="B392" s="7" t="s">
        <v>1011</v>
      </c>
      <c r="C392" s="9">
        <v>3.0</v>
      </c>
      <c r="D392" s="15" t="s">
        <v>319</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2021</v>
      </c>
      <c r="C393" s="16">
        <v>3.0</v>
      </c>
      <c r="E393" s="16" t="s">
        <v>2022</v>
      </c>
      <c r="G393" s="35"/>
      <c r="H393" s="35"/>
    </row>
    <row r="394" hidden="1">
      <c r="C394" s="15">
        <v>3.0</v>
      </c>
      <c r="E394" s="16" t="s">
        <v>2023</v>
      </c>
      <c r="G394" s="35"/>
      <c r="H394" s="35"/>
    </row>
    <row r="395" hidden="1">
      <c r="C395" s="15">
        <v>3.0</v>
      </c>
      <c r="E395" s="16" t="s">
        <v>2024</v>
      </c>
      <c r="G395" s="35"/>
      <c r="H395" s="35"/>
    </row>
    <row r="396" hidden="1">
      <c r="C396" s="15">
        <v>3.0</v>
      </c>
      <c r="E396" s="16" t="s">
        <v>2025</v>
      </c>
      <c r="G396" s="35"/>
      <c r="H396" s="35"/>
    </row>
    <row r="397" hidden="1">
      <c r="A397" s="16" t="s">
        <v>2026</v>
      </c>
      <c r="C397" s="15">
        <v>3.0</v>
      </c>
      <c r="D397" s="16" t="s">
        <v>2027</v>
      </c>
      <c r="E397" s="16" t="s">
        <v>2028</v>
      </c>
      <c r="G397" s="35"/>
      <c r="H397" s="35"/>
    </row>
    <row r="398" hidden="1">
      <c r="C398" s="15">
        <v>3.0</v>
      </c>
      <c r="E398" s="105" t="s">
        <v>2029</v>
      </c>
      <c r="G398" s="35"/>
      <c r="H398" s="35"/>
    </row>
    <row r="399" hidden="1">
      <c r="A399" s="16" t="s">
        <v>2030</v>
      </c>
      <c r="C399" s="15">
        <v>3.0</v>
      </c>
      <c r="D399" s="16" t="s">
        <v>2031</v>
      </c>
      <c r="E399" s="16" t="s">
        <v>2032</v>
      </c>
      <c r="G399" s="35"/>
      <c r="H399" s="35"/>
    </row>
    <row r="400" hidden="1">
      <c r="A400" s="16" t="s">
        <v>2033</v>
      </c>
      <c r="C400" s="15">
        <v>3.0</v>
      </c>
      <c r="D400" s="16" t="s">
        <v>2031</v>
      </c>
      <c r="E400" s="16" t="s">
        <v>2034</v>
      </c>
      <c r="G400" s="35"/>
      <c r="H400" s="35"/>
    </row>
    <row r="401" hidden="1">
      <c r="A401" s="16" t="s">
        <v>2035</v>
      </c>
      <c r="C401" s="15">
        <v>3.0</v>
      </c>
      <c r="D401" s="16" t="s">
        <v>2031</v>
      </c>
      <c r="E401" s="16" t="s">
        <v>2036</v>
      </c>
      <c r="G401" s="35"/>
      <c r="H401" s="35"/>
    </row>
    <row r="402" hidden="1">
      <c r="A402" s="16" t="s">
        <v>2037</v>
      </c>
      <c r="C402" s="15">
        <v>3.0</v>
      </c>
      <c r="D402" s="16" t="s">
        <v>2031</v>
      </c>
      <c r="E402" s="16" t="s">
        <v>2038</v>
      </c>
      <c r="G402" s="35"/>
      <c r="H402" s="35"/>
    </row>
    <row r="403" hidden="1">
      <c r="A403" s="16" t="s">
        <v>2039</v>
      </c>
      <c r="C403" s="15">
        <v>3.0</v>
      </c>
      <c r="D403" s="16" t="s">
        <v>2031</v>
      </c>
      <c r="E403" s="16" t="s">
        <v>2040</v>
      </c>
      <c r="G403" s="35"/>
      <c r="H403" s="35"/>
    </row>
    <row r="404" hidden="1">
      <c r="A404" s="16" t="s">
        <v>2041</v>
      </c>
      <c r="B404" s="16" t="s">
        <v>363</v>
      </c>
      <c r="C404" s="15">
        <v>3.0</v>
      </c>
      <c r="E404" s="16" t="s">
        <v>2042</v>
      </c>
      <c r="G404" s="35"/>
      <c r="H404" s="15" t="s">
        <v>447</v>
      </c>
      <c r="I404" s="16" t="s">
        <v>70</v>
      </c>
    </row>
    <row r="405" hidden="1">
      <c r="C405" s="16">
        <v>3.0</v>
      </c>
      <c r="E405" s="16" t="s">
        <v>2043</v>
      </c>
      <c r="G405" s="35"/>
      <c r="H405" s="35"/>
    </row>
    <row r="406" hidden="1">
      <c r="A406" s="16" t="s">
        <v>2044</v>
      </c>
      <c r="B406" s="16" t="s">
        <v>390</v>
      </c>
      <c r="C406" s="15">
        <v>3.0</v>
      </c>
      <c r="E406" s="16" t="s">
        <v>2045</v>
      </c>
      <c r="G406" s="35"/>
      <c r="H406" s="35"/>
    </row>
    <row r="407">
      <c r="A407" s="7" t="s">
        <v>2046</v>
      </c>
      <c r="B407" s="7" t="s">
        <v>1690</v>
      </c>
      <c r="C407" s="9">
        <v>1.0</v>
      </c>
      <c r="D407" s="9" t="s">
        <v>1668</v>
      </c>
      <c r="E407" s="7" t="s">
        <v>2047</v>
      </c>
      <c r="F407" s="10" t="s">
        <v>2048</v>
      </c>
      <c r="G407" s="9">
        <v>1.0</v>
      </c>
      <c r="H407" s="9" t="s">
        <v>1715</v>
      </c>
      <c r="I407" s="9" t="s">
        <v>26</v>
      </c>
    </row>
    <row r="408">
      <c r="A408" s="24" t="s">
        <v>2049</v>
      </c>
      <c r="B408" s="7" t="s">
        <v>1690</v>
      </c>
      <c r="C408" s="9">
        <v>1.0</v>
      </c>
      <c r="D408" s="9" t="s">
        <v>952</v>
      </c>
      <c r="E408" s="7" t="s">
        <v>609</v>
      </c>
      <c r="F408" s="17" t="s">
        <v>2050</v>
      </c>
      <c r="G408" s="21">
        <v>3.0</v>
      </c>
      <c r="H408" s="9" t="s">
        <v>1711</v>
      </c>
      <c r="I408" s="21" t="s">
        <v>26</v>
      </c>
    </row>
    <row r="409">
      <c r="A409" s="24" t="s">
        <v>2051</v>
      </c>
      <c r="B409" s="7" t="s">
        <v>1690</v>
      </c>
      <c r="C409" s="9">
        <v>1.0</v>
      </c>
      <c r="D409" s="9" t="s">
        <v>952</v>
      </c>
      <c r="E409" s="7" t="s">
        <v>2052</v>
      </c>
      <c r="F409" s="17" t="s">
        <v>2053</v>
      </c>
      <c r="G409" s="21">
        <v>4.0</v>
      </c>
      <c r="H409" s="9" t="s">
        <v>1761</v>
      </c>
      <c r="I409" s="21" t="s">
        <v>26</v>
      </c>
    </row>
    <row r="410">
      <c r="A410" s="7" t="s">
        <v>2054</v>
      </c>
      <c r="B410" s="7" t="s">
        <v>1690</v>
      </c>
      <c r="C410" s="9">
        <v>1.0</v>
      </c>
      <c r="D410" s="9" t="s">
        <v>1698</v>
      </c>
      <c r="E410" s="7" t="s">
        <v>2055</v>
      </c>
      <c r="F410" s="10" t="s">
        <v>2056</v>
      </c>
      <c r="G410" s="9">
        <v>4.0</v>
      </c>
      <c r="H410" s="9" t="s">
        <v>1761</v>
      </c>
      <c r="I410" s="9" t="s">
        <v>26</v>
      </c>
    </row>
    <row r="411">
      <c r="A411" s="22" t="s">
        <v>2057</v>
      </c>
      <c r="B411" s="7" t="s">
        <v>1690</v>
      </c>
      <c r="C411" s="9">
        <v>1.0</v>
      </c>
      <c r="D411" s="9" t="s">
        <v>201</v>
      </c>
      <c r="E411" s="7" t="s">
        <v>2058</v>
      </c>
      <c r="F411" s="10" t="s">
        <v>2059</v>
      </c>
      <c r="G411" s="9">
        <v>5.0</v>
      </c>
      <c r="H411" s="9" t="s">
        <v>1701</v>
      </c>
      <c r="I411" s="9" t="s">
        <v>70</v>
      </c>
      <c r="K411" s="13" t="s">
        <v>2060</v>
      </c>
    </row>
    <row r="412">
      <c r="A412" s="24" t="s">
        <v>2061</v>
      </c>
      <c r="B412" s="7" t="s">
        <v>1690</v>
      </c>
      <c r="C412" s="9">
        <v>1.0</v>
      </c>
      <c r="D412" s="9" t="s">
        <v>124</v>
      </c>
      <c r="E412" s="7" t="s">
        <v>2062</v>
      </c>
      <c r="F412" s="10" t="s">
        <v>2063</v>
      </c>
      <c r="G412" s="9">
        <v>1.0</v>
      </c>
      <c r="H412" s="9" t="s">
        <v>1711</v>
      </c>
      <c r="I412" s="21" t="s">
        <v>70</v>
      </c>
    </row>
    <row r="413">
      <c r="A413" s="22" t="s">
        <v>2064</v>
      </c>
      <c r="B413" s="7" t="s">
        <v>1690</v>
      </c>
      <c r="C413" s="9">
        <v>1.0</v>
      </c>
      <c r="D413" s="9" t="s">
        <v>2065</v>
      </c>
      <c r="E413" s="7" t="s">
        <v>2066</v>
      </c>
      <c r="F413" s="10" t="s">
        <v>2067</v>
      </c>
      <c r="G413" s="9">
        <v>2.0</v>
      </c>
      <c r="H413" s="9" t="s">
        <v>1715</v>
      </c>
      <c r="I413" s="9" t="s">
        <v>26</v>
      </c>
    </row>
    <row r="414">
      <c r="A414" s="24" t="s">
        <v>2068</v>
      </c>
      <c r="B414" s="7" t="s">
        <v>1690</v>
      </c>
      <c r="C414" s="9">
        <v>1.0</v>
      </c>
      <c r="D414" s="9" t="s">
        <v>624</v>
      </c>
      <c r="E414" s="7" t="s">
        <v>2069</v>
      </c>
      <c r="F414" s="17" t="s">
        <v>2070</v>
      </c>
      <c r="G414" s="9">
        <v>10.0</v>
      </c>
      <c r="H414" s="9" t="s">
        <v>1761</v>
      </c>
      <c r="I414" s="21" t="s">
        <v>32</v>
      </c>
    </row>
    <row r="415">
      <c r="A415" s="7" t="s">
        <v>2071</v>
      </c>
      <c r="B415" s="7" t="s">
        <v>1690</v>
      </c>
      <c r="C415" s="9">
        <v>1.0</v>
      </c>
      <c r="D415" s="9" t="s">
        <v>2072</v>
      </c>
      <c r="E415" s="7" t="s">
        <v>2073</v>
      </c>
      <c r="F415" s="10" t="s">
        <v>2074</v>
      </c>
      <c r="G415" s="9">
        <v>6.0</v>
      </c>
      <c r="H415" s="9" t="s">
        <v>1755</v>
      </c>
      <c r="I415" s="9" t="s">
        <v>32</v>
      </c>
    </row>
    <row r="416">
      <c r="A416" s="69" t="s">
        <v>2075</v>
      </c>
      <c r="B416" s="106" t="s">
        <v>1690</v>
      </c>
      <c r="C416" s="71">
        <v>1.0</v>
      </c>
      <c r="D416" s="71" t="s">
        <v>1855</v>
      </c>
      <c r="E416" s="69" t="s">
        <v>2076</v>
      </c>
      <c r="F416" s="69"/>
      <c r="G416" s="71">
        <v>6.0</v>
      </c>
      <c r="H416" s="71" t="s">
        <v>1706</v>
      </c>
      <c r="I416" s="71" t="s">
        <v>32</v>
      </c>
      <c r="J416" s="28"/>
      <c r="K416" s="28"/>
      <c r="L416" s="28"/>
      <c r="M416" s="28"/>
      <c r="N416" s="28"/>
      <c r="O416" s="28"/>
      <c r="P416" s="28"/>
      <c r="Q416" s="28"/>
      <c r="R416" s="28"/>
      <c r="S416" s="28"/>
      <c r="T416" s="28"/>
    </row>
    <row r="417">
      <c r="A417" s="7" t="s">
        <v>2077</v>
      </c>
      <c r="B417" s="7" t="s">
        <v>1690</v>
      </c>
      <c r="C417" s="9">
        <v>1.0</v>
      </c>
      <c r="D417" s="9" t="s">
        <v>1414</v>
      </c>
      <c r="F417" s="10" t="s">
        <v>2078</v>
      </c>
      <c r="G417" s="9">
        <v>1.0</v>
      </c>
      <c r="H417" s="9" t="s">
        <v>1693</v>
      </c>
      <c r="I417" s="9" t="s">
        <v>26</v>
      </c>
    </row>
    <row r="418">
      <c r="A418" s="16" t="s">
        <v>2079</v>
      </c>
      <c r="B418" s="16" t="s">
        <v>1690</v>
      </c>
      <c r="C418" s="15">
        <v>1.0</v>
      </c>
      <c r="D418" s="15" t="s">
        <v>1491</v>
      </c>
      <c r="F418" s="33"/>
      <c r="G418" s="15">
        <v>2.0</v>
      </c>
      <c r="H418" s="15" t="s">
        <v>1715</v>
      </c>
      <c r="I418" s="15" t="s">
        <v>26</v>
      </c>
    </row>
    <row r="419">
      <c r="A419" s="24" t="s">
        <v>2080</v>
      </c>
      <c r="B419" s="7" t="s">
        <v>1690</v>
      </c>
      <c r="C419" s="9">
        <v>1.0</v>
      </c>
      <c r="D419" s="9" t="s">
        <v>1851</v>
      </c>
      <c r="F419" s="10" t="s">
        <v>2081</v>
      </c>
      <c r="G419" s="9">
        <v>5.0</v>
      </c>
      <c r="H419" s="9" t="s">
        <v>1761</v>
      </c>
      <c r="I419" s="21" t="s">
        <v>26</v>
      </c>
    </row>
    <row r="420">
      <c r="A420" s="7" t="s">
        <v>2082</v>
      </c>
      <c r="B420" s="7" t="s">
        <v>1690</v>
      </c>
      <c r="C420" s="9">
        <v>1.0</v>
      </c>
      <c r="D420" s="9" t="s">
        <v>1703</v>
      </c>
      <c r="F420" s="10" t="s">
        <v>2083</v>
      </c>
      <c r="G420" s="9">
        <v>6.0</v>
      </c>
      <c r="H420" s="50" t="s">
        <v>1701</v>
      </c>
      <c r="I420" s="9" t="s">
        <v>26</v>
      </c>
    </row>
    <row r="421">
      <c r="A421" s="16" t="s">
        <v>2084</v>
      </c>
      <c r="B421" s="16" t="s">
        <v>1690</v>
      </c>
      <c r="C421" s="15">
        <v>1.0</v>
      </c>
      <c r="D421" s="15" t="s">
        <v>266</v>
      </c>
      <c r="F421" s="17" t="s">
        <v>2085</v>
      </c>
      <c r="G421" s="15">
        <v>4.0</v>
      </c>
      <c r="H421" s="15" t="s">
        <v>1812</v>
      </c>
      <c r="I421" s="15" t="s">
        <v>26</v>
      </c>
    </row>
    <row r="422">
      <c r="A422" s="16" t="s">
        <v>2086</v>
      </c>
      <c r="B422" s="16" t="s">
        <v>1690</v>
      </c>
      <c r="C422" s="15">
        <v>1.0</v>
      </c>
      <c r="D422" s="15" t="s">
        <v>292</v>
      </c>
      <c r="F422" s="33"/>
      <c r="G422" s="15">
        <v>3.0</v>
      </c>
      <c r="H422" s="9" t="s">
        <v>1711</v>
      </c>
      <c r="I422" s="15" t="s">
        <v>26</v>
      </c>
    </row>
    <row r="423">
      <c r="A423" s="16" t="s">
        <v>2087</v>
      </c>
      <c r="B423" s="16" t="s">
        <v>1690</v>
      </c>
      <c r="C423" s="15">
        <v>1.0</v>
      </c>
      <c r="D423" s="15" t="s">
        <v>2088</v>
      </c>
      <c r="E423" s="16" t="s">
        <v>60</v>
      </c>
      <c r="F423" s="33"/>
      <c r="G423" s="15">
        <v>6.0</v>
      </c>
      <c r="H423" s="9" t="s">
        <v>2089</v>
      </c>
      <c r="I423" s="15" t="s">
        <v>26</v>
      </c>
    </row>
    <row r="424">
      <c r="A424" s="31" t="s">
        <v>2090</v>
      </c>
      <c r="B424" s="16" t="s">
        <v>1690</v>
      </c>
      <c r="C424" s="15">
        <v>1.0</v>
      </c>
      <c r="D424" s="15" t="s">
        <v>786</v>
      </c>
      <c r="E424" s="31" t="s">
        <v>2091</v>
      </c>
      <c r="F424" s="33"/>
      <c r="H424" s="16" t="s">
        <v>1701</v>
      </c>
      <c r="I424" s="9" t="s">
        <v>70</v>
      </c>
    </row>
    <row r="425">
      <c r="A425" s="16" t="s">
        <v>2092</v>
      </c>
      <c r="B425" s="16" t="s">
        <v>1690</v>
      </c>
      <c r="C425" s="15">
        <v>1.0</v>
      </c>
      <c r="D425" s="15" t="s">
        <v>1668</v>
      </c>
      <c r="E425" s="16" t="s">
        <v>2093</v>
      </c>
      <c r="F425" s="33"/>
      <c r="G425" s="16">
        <v>3.0</v>
      </c>
      <c r="H425" s="15" t="s">
        <v>1912</v>
      </c>
      <c r="I425" s="9" t="s">
        <v>70</v>
      </c>
    </row>
    <row r="426">
      <c r="A426" s="80" t="s">
        <v>2094</v>
      </c>
      <c r="B426" s="7" t="s">
        <v>1690</v>
      </c>
      <c r="C426" s="9">
        <v>1.0</v>
      </c>
      <c r="D426" s="9" t="s">
        <v>1862</v>
      </c>
      <c r="E426" s="16" t="s">
        <v>2095</v>
      </c>
      <c r="F426" s="10" t="s">
        <v>2096</v>
      </c>
      <c r="G426" s="9">
        <v>3.0</v>
      </c>
      <c r="H426" s="9" t="s">
        <v>1727</v>
      </c>
      <c r="I426" s="9" t="s">
        <v>32</v>
      </c>
    </row>
    <row r="427">
      <c r="A427" s="31" t="s">
        <v>2097</v>
      </c>
      <c r="B427" s="16" t="s">
        <v>1690</v>
      </c>
      <c r="C427" s="15">
        <v>1.0</v>
      </c>
      <c r="D427" s="15" t="s">
        <v>1333</v>
      </c>
      <c r="E427" s="16" t="s">
        <v>2098</v>
      </c>
      <c r="F427" s="33"/>
      <c r="G427" s="15">
        <v>4.0</v>
      </c>
      <c r="H427" s="9" t="s">
        <v>1812</v>
      </c>
      <c r="I427" s="9" t="s">
        <v>32</v>
      </c>
    </row>
    <row r="428">
      <c r="A428" s="31" t="s">
        <v>2099</v>
      </c>
      <c r="B428" s="16" t="s">
        <v>1690</v>
      </c>
      <c r="C428" s="15">
        <v>1.0</v>
      </c>
      <c r="D428" s="15" t="s">
        <v>338</v>
      </c>
      <c r="E428" s="16" t="s">
        <v>2100</v>
      </c>
      <c r="F428" s="17" t="s">
        <v>2101</v>
      </c>
      <c r="G428" s="15">
        <v>3.0</v>
      </c>
      <c r="H428" s="15" t="s">
        <v>1715</v>
      </c>
      <c r="I428" s="15" t="s">
        <v>32</v>
      </c>
    </row>
    <row r="429">
      <c r="A429" s="16" t="s">
        <v>2102</v>
      </c>
      <c r="B429" s="16" t="s">
        <v>1690</v>
      </c>
      <c r="C429" s="15">
        <v>1.0</v>
      </c>
      <c r="D429" s="15" t="s">
        <v>1663</v>
      </c>
      <c r="E429" s="16" t="s">
        <v>2103</v>
      </c>
      <c r="F429" s="33"/>
      <c r="G429" s="15">
        <v>2.0</v>
      </c>
      <c r="H429" s="15" t="s">
        <v>2104</v>
      </c>
      <c r="I429" s="15" t="s">
        <v>32</v>
      </c>
    </row>
    <row r="430">
      <c r="A430" s="16" t="s">
        <v>2105</v>
      </c>
      <c r="B430" s="92" t="s">
        <v>1690</v>
      </c>
      <c r="C430" s="15">
        <v>1.0</v>
      </c>
      <c r="D430" s="15" t="s">
        <v>624</v>
      </c>
      <c r="E430" s="16" t="s">
        <v>2106</v>
      </c>
      <c r="F430" s="17" t="s">
        <v>2107</v>
      </c>
      <c r="G430" s="15">
        <v>3.0</v>
      </c>
      <c r="H430" s="9" t="s">
        <v>1711</v>
      </c>
      <c r="I430" s="15" t="s">
        <v>32</v>
      </c>
    </row>
    <row r="431">
      <c r="A431" s="107" t="s">
        <v>2108</v>
      </c>
      <c r="B431" s="7"/>
      <c r="C431" s="9">
        <v>1.0</v>
      </c>
      <c r="D431" s="21" t="s">
        <v>80</v>
      </c>
      <c r="F431" s="10" t="s">
        <v>2109</v>
      </c>
      <c r="G431" s="9">
        <v>3.0</v>
      </c>
      <c r="H431" s="9" t="s">
        <v>1886</v>
      </c>
      <c r="I431" s="21" t="s">
        <v>26</v>
      </c>
    </row>
    <row r="432">
      <c r="A432" s="7" t="s">
        <v>2110</v>
      </c>
      <c r="B432" s="7"/>
      <c r="C432" s="9">
        <v>1.0</v>
      </c>
      <c r="D432" s="9" t="s">
        <v>59</v>
      </c>
      <c r="F432" s="10" t="s">
        <v>2111</v>
      </c>
      <c r="G432" s="9">
        <v>6.0</v>
      </c>
      <c r="H432" s="9" t="s">
        <v>2112</v>
      </c>
      <c r="I432" s="9" t="s">
        <v>26</v>
      </c>
    </row>
    <row r="433">
      <c r="A433" s="54" t="s">
        <v>2113</v>
      </c>
      <c r="B433" s="7" t="s">
        <v>21</v>
      </c>
      <c r="C433" s="9">
        <v>1.0</v>
      </c>
      <c r="D433" s="9" t="s">
        <v>242</v>
      </c>
      <c r="E433" s="16" t="s">
        <v>2114</v>
      </c>
      <c r="F433" s="10"/>
      <c r="G433" s="9">
        <v>4.0</v>
      </c>
      <c r="H433" s="9" t="s">
        <v>267</v>
      </c>
      <c r="I433" s="9" t="s">
        <v>26</v>
      </c>
    </row>
    <row r="434">
      <c r="A434" s="16" t="s">
        <v>2115</v>
      </c>
      <c r="B434" s="7"/>
      <c r="C434" s="9">
        <v>1.0</v>
      </c>
      <c r="D434" s="15" t="s">
        <v>111</v>
      </c>
      <c r="E434" s="7" t="s">
        <v>2116</v>
      </c>
      <c r="F434" s="10" t="s">
        <v>2117</v>
      </c>
      <c r="G434" s="9">
        <v>3.0</v>
      </c>
      <c r="H434" s="9" t="s">
        <v>1886</v>
      </c>
      <c r="I434" s="9" t="s">
        <v>32</v>
      </c>
    </row>
    <row r="435">
      <c r="A435" s="7" t="s">
        <v>2118</v>
      </c>
      <c r="B435" s="7"/>
      <c r="C435" s="15">
        <v>1.0</v>
      </c>
      <c r="D435" s="9"/>
      <c r="E435" s="7" t="s">
        <v>2119</v>
      </c>
      <c r="F435" s="10" t="s">
        <v>2120</v>
      </c>
      <c r="G435" s="9">
        <v>2.0</v>
      </c>
      <c r="H435" s="9" t="s">
        <v>2121</v>
      </c>
      <c r="I435" s="9" t="s">
        <v>32</v>
      </c>
    </row>
    <row r="436">
      <c r="A436" s="7" t="s">
        <v>2122</v>
      </c>
      <c r="B436" s="16"/>
      <c r="C436" s="15">
        <v>1.0</v>
      </c>
      <c r="D436" s="9"/>
      <c r="E436" s="7" t="s">
        <v>2123</v>
      </c>
      <c r="F436" s="10" t="s">
        <v>2124</v>
      </c>
      <c r="G436" s="9">
        <v>2.0</v>
      </c>
      <c r="H436" s="9" t="s">
        <v>2121</v>
      </c>
      <c r="I436" s="9" t="s">
        <v>32</v>
      </c>
    </row>
    <row r="437" hidden="1">
      <c r="A437" s="16" t="s">
        <v>2125</v>
      </c>
      <c r="B437" s="16" t="s">
        <v>1469</v>
      </c>
      <c r="C437" s="15">
        <v>0.0</v>
      </c>
      <c r="D437" s="15" t="s">
        <v>359</v>
      </c>
      <c r="E437" s="16" t="s">
        <v>2126</v>
      </c>
      <c r="F437" s="33"/>
      <c r="G437" s="15">
        <v>6.0</v>
      </c>
      <c r="H437" s="15" t="s">
        <v>1502</v>
      </c>
      <c r="I437" s="15" t="s">
        <v>32</v>
      </c>
    </row>
    <row r="438" hidden="1">
      <c r="A438" s="16" t="s">
        <v>2127</v>
      </c>
      <c r="B438" s="16" t="s">
        <v>1469</v>
      </c>
      <c r="C438" s="15">
        <v>0.0</v>
      </c>
      <c r="D438" s="15" t="s">
        <v>359</v>
      </c>
      <c r="E438" s="16" t="s">
        <v>2128</v>
      </c>
      <c r="F438" s="33"/>
      <c r="G438" s="15">
        <v>4.0</v>
      </c>
      <c r="H438" s="15" t="s">
        <v>1586</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K66"/>
    <hyperlink r:id="rId63" ref="K70"/>
    <hyperlink r:id="rId64" ref="K71"/>
    <hyperlink r:id="rId65" ref="K73"/>
    <hyperlink r:id="rId66" ref="K75"/>
    <hyperlink r:id="rId67" ref="K79"/>
    <hyperlink r:id="rId68" ref="K81"/>
    <hyperlink r:id="rId69" ref="K82"/>
    <hyperlink r:id="rId70" ref="L82"/>
    <hyperlink r:id="rId71" ref="M82"/>
    <hyperlink r:id="rId72" ref="K83"/>
    <hyperlink r:id="rId73" ref="K84"/>
    <hyperlink r:id="rId74" ref="L84"/>
    <hyperlink r:id="rId75" ref="M84"/>
    <hyperlink r:id="rId76" ref="N84"/>
    <hyperlink r:id="rId77" ref="O84"/>
    <hyperlink r:id="rId78" ref="P84"/>
    <hyperlink r:id="rId79" ref="Q84"/>
    <hyperlink r:id="rId80" ref="K85"/>
    <hyperlink r:id="rId81" ref="L85"/>
    <hyperlink r:id="rId82" ref="M85"/>
    <hyperlink r:id="rId83" ref="N85"/>
    <hyperlink r:id="rId84" ref="O85"/>
    <hyperlink r:id="rId85" ref="P85"/>
    <hyperlink r:id="rId86" ref="Q85"/>
    <hyperlink r:id="rId87" ref="R85"/>
    <hyperlink r:id="rId88" ref="S85"/>
    <hyperlink r:id="rId89" ref="T85"/>
    <hyperlink r:id="rId90" ref="K86"/>
    <hyperlink r:id="rId91" ref="L86"/>
    <hyperlink r:id="rId92" ref="M86"/>
    <hyperlink r:id="rId93" ref="N86"/>
    <hyperlink r:id="rId94" ref="O86"/>
    <hyperlink r:id="rId95" ref="P86"/>
    <hyperlink r:id="rId96" ref="Q86"/>
    <hyperlink r:id="rId97" ref="R86"/>
    <hyperlink r:id="rId98" ref="S86"/>
    <hyperlink r:id="rId99" ref="T86"/>
    <hyperlink r:id="rId100" ref="K89"/>
    <hyperlink r:id="rId101" ref="L89"/>
    <hyperlink r:id="rId102" ref="M89"/>
    <hyperlink r:id="rId103" ref="N89"/>
    <hyperlink r:id="rId104" ref="O89"/>
    <hyperlink r:id="rId105" ref="P89"/>
    <hyperlink r:id="rId106" ref="Q89"/>
    <hyperlink r:id="rId107" ref="R89"/>
    <hyperlink r:id="rId108" ref="S89"/>
    <hyperlink r:id="rId109" ref="T89"/>
    <hyperlink r:id="rId110" ref="K90"/>
    <hyperlink r:id="rId111" ref="L90"/>
    <hyperlink r:id="rId112" ref="M90"/>
    <hyperlink r:id="rId113" ref="N90"/>
    <hyperlink r:id="rId114" ref="O90"/>
    <hyperlink r:id="rId115" ref="P90"/>
    <hyperlink r:id="rId116" ref="Q90"/>
    <hyperlink r:id="rId117" ref="R90"/>
    <hyperlink r:id="rId118" ref="S90"/>
    <hyperlink r:id="rId119" ref="T90"/>
    <hyperlink r:id="rId120" ref="K91"/>
    <hyperlink r:id="rId121" ref="L91"/>
    <hyperlink r:id="rId122" ref="M91"/>
    <hyperlink r:id="rId123" ref="N91"/>
    <hyperlink r:id="rId124" ref="O91"/>
    <hyperlink r:id="rId125" ref="P91"/>
    <hyperlink r:id="rId126" ref="Q91"/>
    <hyperlink r:id="rId127" ref="R91"/>
    <hyperlink r:id="rId128" ref="S91"/>
    <hyperlink r:id="rId129" ref="T91"/>
    <hyperlink r:id="rId130" ref="K92"/>
    <hyperlink r:id="rId131" ref="L92"/>
    <hyperlink r:id="rId132" ref="M92"/>
    <hyperlink r:id="rId133" ref="N92"/>
    <hyperlink r:id="rId134" ref="O92"/>
    <hyperlink r:id="rId135" ref="P92"/>
    <hyperlink r:id="rId136" ref="Q92"/>
    <hyperlink r:id="rId137" ref="R92"/>
    <hyperlink r:id="rId138" ref="S92"/>
    <hyperlink r:id="rId139" ref="T92"/>
    <hyperlink r:id="rId140" ref="K96"/>
    <hyperlink r:id="rId141" ref="L96"/>
    <hyperlink r:id="rId142" ref="M96"/>
    <hyperlink r:id="rId143" ref="N96"/>
    <hyperlink r:id="rId144" ref="O96"/>
    <hyperlink r:id="rId145" ref="P96"/>
    <hyperlink r:id="rId146" ref="Q96"/>
    <hyperlink r:id="rId147" ref="R96"/>
    <hyperlink r:id="rId148" ref="S96"/>
    <hyperlink r:id="rId149" ref="T96"/>
    <hyperlink r:id="rId150" ref="K97"/>
    <hyperlink r:id="rId151" ref="L97"/>
    <hyperlink r:id="rId152" ref="M97"/>
    <hyperlink r:id="rId153" ref="N97"/>
    <hyperlink r:id="rId154" ref="K98"/>
    <hyperlink r:id="rId155" ref="L98"/>
    <hyperlink r:id="rId156" ref="M98"/>
    <hyperlink r:id="rId157" ref="N98"/>
    <hyperlink r:id="rId158" ref="O98"/>
    <hyperlink r:id="rId159" ref="P98"/>
    <hyperlink r:id="rId160" ref="Q98"/>
    <hyperlink r:id="rId161" ref="R98"/>
    <hyperlink r:id="rId162" ref="S98"/>
    <hyperlink r:id="rId163" ref="T98"/>
    <hyperlink r:id="rId164" ref="K100"/>
    <hyperlink r:id="rId165" ref="L100"/>
    <hyperlink r:id="rId166" ref="M100"/>
    <hyperlink r:id="rId167" ref="N100"/>
    <hyperlink r:id="rId168" ref="O100"/>
    <hyperlink r:id="rId169" ref="P100"/>
    <hyperlink r:id="rId170" ref="Q100"/>
    <hyperlink r:id="rId171" ref="R100"/>
    <hyperlink r:id="rId172" ref="S100"/>
    <hyperlink r:id="rId173" ref="T100"/>
    <hyperlink r:id="rId174" ref="K107"/>
    <hyperlink r:id="rId175" ref="L107"/>
    <hyperlink r:id="rId176" ref="M107"/>
    <hyperlink r:id="rId177" ref="N107"/>
    <hyperlink r:id="rId178" ref="O107"/>
    <hyperlink r:id="rId179" ref="P107"/>
    <hyperlink r:id="rId180" ref="Q107"/>
    <hyperlink r:id="rId181" ref="R107"/>
    <hyperlink r:id="rId182" ref="S107"/>
    <hyperlink r:id="rId183" ref="T107"/>
    <hyperlink r:id="rId184" ref="K108"/>
    <hyperlink r:id="rId185" ref="L108"/>
    <hyperlink r:id="rId186" ref="M108"/>
    <hyperlink r:id="rId187" ref="N108"/>
    <hyperlink r:id="rId188" ref="O108"/>
    <hyperlink r:id="rId189" ref="P108"/>
    <hyperlink r:id="rId190" ref="Q108"/>
    <hyperlink r:id="rId191" ref="R108"/>
    <hyperlink r:id="rId192" ref="S108"/>
    <hyperlink r:id="rId193" ref="T108"/>
    <hyperlink r:id="rId194" ref="K110"/>
    <hyperlink r:id="rId195" ref="L110"/>
    <hyperlink r:id="rId196" ref="M110"/>
    <hyperlink r:id="rId197" ref="N110"/>
    <hyperlink r:id="rId198" ref="O110"/>
    <hyperlink r:id="rId199" ref="P110"/>
    <hyperlink r:id="rId200" ref="Q110"/>
    <hyperlink r:id="rId201" ref="R110"/>
    <hyperlink r:id="rId202" ref="S110"/>
    <hyperlink r:id="rId203" ref="T110"/>
    <hyperlink r:id="rId204" ref="K111"/>
    <hyperlink r:id="rId205" ref="L111"/>
    <hyperlink r:id="rId206" ref="M111"/>
    <hyperlink r:id="rId207" ref="N111"/>
    <hyperlink r:id="rId208" ref="O111"/>
    <hyperlink r:id="rId209" ref="P111"/>
    <hyperlink r:id="rId210" ref="Q111"/>
    <hyperlink r:id="rId211" ref="R111"/>
    <hyperlink r:id="rId212" ref="S111"/>
    <hyperlink r:id="rId213" ref="T111"/>
    <hyperlink r:id="rId214" ref="K114"/>
    <hyperlink r:id="rId215" ref="L114"/>
    <hyperlink r:id="rId216" ref="M114"/>
    <hyperlink r:id="rId217" ref="N114"/>
    <hyperlink r:id="rId218" ref="O114"/>
    <hyperlink r:id="rId219" ref="P114"/>
    <hyperlink r:id="rId220" ref="Q114"/>
    <hyperlink r:id="rId221" ref="R114"/>
    <hyperlink r:id="rId222" ref="S114"/>
    <hyperlink r:id="rId223" ref="T114"/>
    <hyperlink r:id="rId224" ref="K115"/>
    <hyperlink r:id="rId225" ref="L115"/>
    <hyperlink r:id="rId226" ref="M115"/>
    <hyperlink r:id="rId227" ref="N115"/>
    <hyperlink r:id="rId228" ref="O115"/>
    <hyperlink r:id="rId229" ref="P115"/>
    <hyperlink r:id="rId230" ref="Q115"/>
    <hyperlink r:id="rId231" ref="R115"/>
    <hyperlink r:id="rId232" ref="S115"/>
    <hyperlink r:id="rId233" ref="T115"/>
    <hyperlink r:id="rId234" ref="K116"/>
    <hyperlink r:id="rId235" ref="L116"/>
    <hyperlink r:id="rId236" ref="M116"/>
    <hyperlink r:id="rId237" ref="N116"/>
    <hyperlink r:id="rId238" ref="O116"/>
    <hyperlink r:id="rId239" ref="P116"/>
    <hyperlink r:id="rId240" ref="Q116"/>
    <hyperlink r:id="rId241" ref="R116"/>
    <hyperlink r:id="rId242" ref="S116"/>
    <hyperlink r:id="rId243" ref="T116"/>
    <hyperlink r:id="rId244" ref="K118"/>
    <hyperlink r:id="rId245" ref="L118"/>
    <hyperlink r:id="rId246" ref="M118"/>
    <hyperlink r:id="rId247" ref="N118"/>
    <hyperlink r:id="rId248" ref="O118"/>
    <hyperlink r:id="rId249" ref="P118"/>
    <hyperlink r:id="rId250" ref="Q118"/>
    <hyperlink r:id="rId251" ref="R118"/>
    <hyperlink r:id="rId252" ref="S118"/>
    <hyperlink r:id="rId253" ref="T118"/>
    <hyperlink r:id="rId254" ref="K122"/>
    <hyperlink r:id="rId255" ref="L122"/>
    <hyperlink r:id="rId256" ref="M122"/>
    <hyperlink r:id="rId257" ref="N122"/>
    <hyperlink r:id="rId258" ref="O122"/>
    <hyperlink r:id="rId259" ref="P122"/>
    <hyperlink r:id="rId260" ref="Q122"/>
    <hyperlink r:id="rId261" ref="R122"/>
    <hyperlink r:id="rId262" ref="S122"/>
    <hyperlink r:id="rId263" ref="T122"/>
    <hyperlink r:id="rId264" ref="K125"/>
    <hyperlink r:id="rId265" ref="L125"/>
    <hyperlink r:id="rId266" ref="M125"/>
    <hyperlink r:id="rId267" ref="N125"/>
    <hyperlink r:id="rId268" ref="O125"/>
    <hyperlink r:id="rId269" ref="P125"/>
    <hyperlink r:id="rId270" ref="Q125"/>
    <hyperlink r:id="rId271" ref="R125"/>
    <hyperlink r:id="rId272" ref="S125"/>
    <hyperlink r:id="rId273" ref="T125"/>
    <hyperlink r:id="rId274" ref="K128"/>
    <hyperlink r:id="rId275" ref="L128"/>
    <hyperlink r:id="rId276" ref="M128"/>
    <hyperlink r:id="rId277" ref="N128"/>
    <hyperlink r:id="rId278" ref="O128"/>
    <hyperlink r:id="rId279" ref="P128"/>
    <hyperlink r:id="rId280" ref="K129"/>
    <hyperlink r:id="rId281" ref="L129"/>
    <hyperlink r:id="rId282" ref="M129"/>
    <hyperlink r:id="rId283" ref="N129"/>
    <hyperlink r:id="rId284" ref="O129"/>
    <hyperlink r:id="rId285" ref="P129"/>
    <hyperlink r:id="rId286" ref="Q129"/>
    <hyperlink r:id="rId287" ref="R129"/>
    <hyperlink r:id="rId288" ref="S129"/>
    <hyperlink r:id="rId289" ref="T129"/>
    <hyperlink r:id="rId290" ref="K130"/>
    <hyperlink r:id="rId291" ref="L130"/>
    <hyperlink r:id="rId292" ref="M130"/>
    <hyperlink r:id="rId293" ref="N130"/>
    <hyperlink r:id="rId294" ref="O130"/>
    <hyperlink r:id="rId295" ref="P130"/>
    <hyperlink r:id="rId296" ref="K131"/>
    <hyperlink r:id="rId297" ref="L131"/>
    <hyperlink r:id="rId298" ref="M131"/>
    <hyperlink r:id="rId299" ref="N131"/>
    <hyperlink r:id="rId300" ref="O131"/>
    <hyperlink r:id="rId301" ref="P131"/>
    <hyperlink r:id="rId302" ref="Q131"/>
    <hyperlink r:id="rId303" ref="K132"/>
    <hyperlink r:id="rId304" ref="L132"/>
    <hyperlink r:id="rId305" ref="M132"/>
    <hyperlink r:id="rId306" ref="N132"/>
    <hyperlink r:id="rId307" ref="O132"/>
    <hyperlink r:id="rId308" ref="P132"/>
    <hyperlink r:id="rId309" ref="Q132"/>
    <hyperlink r:id="rId310" ref="R132"/>
    <hyperlink r:id="rId311" ref="S132"/>
    <hyperlink r:id="rId312" ref="T132"/>
    <hyperlink r:id="rId313" ref="K134"/>
    <hyperlink r:id="rId314" ref="L134"/>
    <hyperlink r:id="rId315" ref="M134"/>
    <hyperlink r:id="rId316" ref="N134"/>
    <hyperlink r:id="rId317" ref="O134"/>
    <hyperlink r:id="rId318" ref="P134"/>
    <hyperlink r:id="rId319" ref="Q134"/>
    <hyperlink r:id="rId320" ref="R134"/>
    <hyperlink r:id="rId321" ref="S134"/>
    <hyperlink r:id="rId322" ref="T134"/>
    <hyperlink r:id="rId323" ref="K137"/>
    <hyperlink r:id="rId324" ref="L137"/>
    <hyperlink r:id="rId325" ref="M137"/>
    <hyperlink r:id="rId326" ref="N137"/>
    <hyperlink r:id="rId327" ref="O137"/>
    <hyperlink r:id="rId328" ref="P137"/>
    <hyperlink r:id="rId329" ref="Q137"/>
    <hyperlink r:id="rId330" ref="R137"/>
    <hyperlink r:id="rId331" ref="S137"/>
    <hyperlink r:id="rId332" ref="T137"/>
    <hyperlink r:id="rId333" ref="K140"/>
    <hyperlink r:id="rId334" ref="L140"/>
    <hyperlink r:id="rId335" ref="M140"/>
    <hyperlink r:id="rId336" ref="N140"/>
    <hyperlink r:id="rId337" ref="O140"/>
    <hyperlink r:id="rId338" ref="P140"/>
    <hyperlink r:id="rId339" ref="Q140"/>
    <hyperlink r:id="rId340" ref="R140"/>
    <hyperlink r:id="rId341" ref="S140"/>
    <hyperlink r:id="rId342" ref="T140"/>
    <hyperlink r:id="rId343" ref="K148"/>
    <hyperlink r:id="rId344" ref="L148"/>
    <hyperlink r:id="rId345" ref="M148"/>
    <hyperlink r:id="rId346" ref="N148"/>
    <hyperlink r:id="rId347" ref="O148"/>
    <hyperlink r:id="rId348" ref="P148"/>
    <hyperlink r:id="rId349" ref="Q148"/>
    <hyperlink r:id="rId350" ref="R148"/>
    <hyperlink r:id="rId351" ref="S148"/>
    <hyperlink r:id="rId352" ref="T148"/>
    <hyperlink r:id="rId353" ref="K150"/>
    <hyperlink r:id="rId354" ref="L150"/>
    <hyperlink r:id="rId355" ref="M150"/>
    <hyperlink r:id="rId356" ref="N150"/>
    <hyperlink r:id="rId357" ref="O150"/>
    <hyperlink r:id="rId358" ref="P150"/>
    <hyperlink r:id="rId359" ref="Q150"/>
    <hyperlink r:id="rId360" ref="R150"/>
    <hyperlink r:id="rId361" ref="S150"/>
    <hyperlink r:id="rId362" ref="T150"/>
    <hyperlink r:id="rId363" ref="K151"/>
    <hyperlink r:id="rId364" ref="L151"/>
    <hyperlink r:id="rId365" ref="M151"/>
    <hyperlink r:id="rId366" ref="N151"/>
    <hyperlink r:id="rId367" ref="O151"/>
    <hyperlink r:id="rId368" ref="P151"/>
    <hyperlink r:id="rId369" ref="Q151"/>
    <hyperlink r:id="rId370" ref="R151"/>
    <hyperlink r:id="rId371" ref="S151"/>
    <hyperlink r:id="rId372" ref="T151"/>
    <hyperlink r:id="rId373" ref="K152"/>
    <hyperlink r:id="rId374" ref="L152"/>
    <hyperlink r:id="rId375" ref="M152"/>
    <hyperlink r:id="rId376" ref="N152"/>
    <hyperlink r:id="rId377" ref="O152"/>
    <hyperlink r:id="rId378" ref="K161"/>
    <hyperlink r:id="rId379" ref="L161"/>
    <hyperlink r:id="rId380" ref="M161"/>
    <hyperlink r:id="rId381" ref="N161"/>
    <hyperlink r:id="rId382" ref="O161"/>
    <hyperlink r:id="rId383" ref="P161"/>
    <hyperlink r:id="rId384" ref="Q161"/>
    <hyperlink r:id="rId385" ref="R161"/>
    <hyperlink r:id="rId386" ref="S161"/>
    <hyperlink r:id="rId387" ref="T161"/>
    <hyperlink r:id="rId388" ref="K162"/>
    <hyperlink r:id="rId389" ref="L162"/>
    <hyperlink r:id="rId390" ref="M162"/>
    <hyperlink r:id="rId391" ref="N162"/>
    <hyperlink r:id="rId392" ref="O162"/>
    <hyperlink r:id="rId393" ref="P162"/>
    <hyperlink r:id="rId394" ref="Q162"/>
    <hyperlink r:id="rId395" ref="R162"/>
    <hyperlink r:id="rId396" ref="K165"/>
    <hyperlink r:id="rId397" ref="L165"/>
    <hyperlink r:id="rId398" ref="M165"/>
    <hyperlink r:id="rId399" ref="N165"/>
    <hyperlink r:id="rId400" ref="O165"/>
    <hyperlink r:id="rId401" ref="P165"/>
    <hyperlink r:id="rId402" ref="Q165"/>
    <hyperlink r:id="rId403" ref="R165"/>
    <hyperlink r:id="rId404" ref="S165"/>
    <hyperlink r:id="rId405" ref="T165"/>
    <hyperlink r:id="rId406" ref="K166"/>
    <hyperlink r:id="rId407" ref="L166"/>
    <hyperlink r:id="rId408" ref="M166"/>
    <hyperlink r:id="rId409" ref="N166"/>
    <hyperlink r:id="rId410" ref="O166"/>
    <hyperlink r:id="rId411" ref="P166"/>
    <hyperlink r:id="rId412" ref="Q166"/>
    <hyperlink r:id="rId413" ref="R166"/>
    <hyperlink r:id="rId414" ref="S166"/>
    <hyperlink r:id="rId415" ref="T166"/>
    <hyperlink r:id="rId416" ref="K168"/>
    <hyperlink r:id="rId417" ref="L168"/>
    <hyperlink r:id="rId418" ref="M168"/>
    <hyperlink r:id="rId419" ref="N168"/>
    <hyperlink r:id="rId420" ref="O168"/>
    <hyperlink r:id="rId421" ref="P168"/>
    <hyperlink r:id="rId422" ref="Q168"/>
    <hyperlink r:id="rId423" ref="R168"/>
    <hyperlink r:id="rId424" ref="S168"/>
    <hyperlink r:id="rId425" ref="T168"/>
    <hyperlink r:id="rId426" ref="K169"/>
    <hyperlink r:id="rId427" ref="L169"/>
    <hyperlink r:id="rId428" ref="M169"/>
    <hyperlink r:id="rId429" ref="N169"/>
    <hyperlink r:id="rId430" ref="O169"/>
    <hyperlink r:id="rId431" ref="P169"/>
    <hyperlink r:id="rId432" ref="Q169"/>
    <hyperlink r:id="rId433" ref="R169"/>
    <hyperlink r:id="rId434" ref="K175"/>
    <hyperlink r:id="rId435" ref="L175"/>
    <hyperlink r:id="rId436" ref="M175"/>
    <hyperlink r:id="rId437" ref="N175"/>
    <hyperlink r:id="rId438" ref="O175"/>
    <hyperlink r:id="rId439" ref="P175"/>
    <hyperlink r:id="rId440" ref="K177"/>
    <hyperlink r:id="rId441" ref="L177"/>
    <hyperlink r:id="rId442" ref="M177"/>
    <hyperlink r:id="rId443" ref="K179"/>
    <hyperlink r:id="rId444" ref="L179"/>
    <hyperlink r:id="rId445" ref="M179"/>
    <hyperlink r:id="rId446" ref="N179"/>
    <hyperlink r:id="rId447" ref="O179"/>
    <hyperlink r:id="rId448" ref="P179"/>
    <hyperlink r:id="rId449" ref="Q179"/>
    <hyperlink r:id="rId450" ref="R179"/>
    <hyperlink r:id="rId451" ref="S179"/>
    <hyperlink r:id="rId452" ref="T179"/>
    <hyperlink r:id="rId453" ref="K180"/>
    <hyperlink r:id="rId454" ref="L180"/>
    <hyperlink r:id="rId455" ref="M180"/>
    <hyperlink r:id="rId456" ref="N180"/>
    <hyperlink r:id="rId457" ref="O180"/>
    <hyperlink r:id="rId458" ref="P180"/>
    <hyperlink r:id="rId459" ref="Q180"/>
    <hyperlink r:id="rId460" ref="K182"/>
    <hyperlink r:id="rId461" ref="L182"/>
    <hyperlink r:id="rId462" ref="M182"/>
    <hyperlink r:id="rId463" ref="N182"/>
    <hyperlink r:id="rId464" ref="O182"/>
    <hyperlink r:id="rId465" ref="P182"/>
    <hyperlink r:id="rId466" ref="Q182"/>
    <hyperlink r:id="rId467" ref="K186"/>
    <hyperlink r:id="rId468" ref="L186"/>
    <hyperlink r:id="rId469" ref="M186"/>
    <hyperlink r:id="rId470" ref="N186"/>
    <hyperlink r:id="rId471" ref="O186"/>
    <hyperlink r:id="rId472" ref="P186"/>
    <hyperlink r:id="rId473" ref="Q186"/>
    <hyperlink r:id="rId474" ref="R186"/>
    <hyperlink r:id="rId475" ref="S186"/>
    <hyperlink r:id="rId476" ref="K188"/>
    <hyperlink r:id="rId477" ref="L188"/>
    <hyperlink r:id="rId478" ref="M188"/>
    <hyperlink r:id="rId479" ref="N188"/>
    <hyperlink r:id="rId480" ref="O188"/>
    <hyperlink r:id="rId481" ref="K189"/>
    <hyperlink r:id="rId482" ref="L189"/>
    <hyperlink r:id="rId483" ref="M189"/>
    <hyperlink r:id="rId484" ref="N189"/>
    <hyperlink r:id="rId485" ref="O189"/>
    <hyperlink r:id="rId486" ref="P189"/>
    <hyperlink r:id="rId487" ref="Q189"/>
    <hyperlink r:id="rId488" ref="K190"/>
    <hyperlink r:id="rId489" ref="L190"/>
    <hyperlink r:id="rId490" ref="M190"/>
    <hyperlink r:id="rId491" ref="N190"/>
    <hyperlink r:id="rId492" ref="O190"/>
    <hyperlink r:id="rId493" ref="K191"/>
    <hyperlink r:id="rId494" ref="L191"/>
    <hyperlink r:id="rId495" ref="M191"/>
    <hyperlink r:id="rId496" ref="N191"/>
    <hyperlink r:id="rId497" ref="O191"/>
    <hyperlink r:id="rId498" ref="P191"/>
    <hyperlink r:id="rId499" ref="K194"/>
    <hyperlink r:id="rId500" ref="L194"/>
    <hyperlink r:id="rId501" ref="M194"/>
    <hyperlink r:id="rId502" ref="N194"/>
    <hyperlink r:id="rId503" ref="O194"/>
    <hyperlink r:id="rId504" ref="K196"/>
    <hyperlink r:id="rId505" ref="L196"/>
    <hyperlink r:id="rId506" ref="M196"/>
    <hyperlink r:id="rId507" ref="N196"/>
    <hyperlink r:id="rId508" ref="O196"/>
    <hyperlink r:id="rId509" ref="P196"/>
    <hyperlink r:id="rId510" ref="Q196"/>
    <hyperlink r:id="rId511" ref="K197"/>
    <hyperlink r:id="rId512" ref="L197"/>
    <hyperlink r:id="rId513" ref="M197"/>
    <hyperlink r:id="rId514" ref="N197"/>
    <hyperlink r:id="rId515" ref="O197"/>
    <hyperlink r:id="rId516" ref="K198"/>
    <hyperlink r:id="rId517" ref="L198"/>
    <hyperlink r:id="rId518" ref="K199"/>
    <hyperlink r:id="rId519" ref="L199"/>
    <hyperlink r:id="rId520" ref="M199"/>
    <hyperlink r:id="rId521" ref="N199"/>
    <hyperlink r:id="rId522" ref="O199"/>
    <hyperlink r:id="rId523" ref="P199"/>
    <hyperlink r:id="rId524" ref="Q199"/>
    <hyperlink r:id="rId525" ref="K200"/>
    <hyperlink r:id="rId526" ref="L200"/>
    <hyperlink r:id="rId527" ref="M200"/>
    <hyperlink r:id="rId528" ref="K203"/>
    <hyperlink r:id="rId529" ref="L203"/>
    <hyperlink r:id="rId530" ref="M203"/>
    <hyperlink r:id="rId531" ref="K205"/>
    <hyperlink r:id="rId532" ref="L205"/>
    <hyperlink r:id="rId533" ref="M205"/>
    <hyperlink r:id="rId534" ref="N205"/>
    <hyperlink r:id="rId535" ref="O205"/>
    <hyperlink r:id="rId536" ref="K208"/>
    <hyperlink r:id="rId537" ref="L208"/>
    <hyperlink r:id="rId538" ref="M208"/>
    <hyperlink r:id="rId539" ref="N208"/>
    <hyperlink r:id="rId540" ref="O208"/>
    <hyperlink r:id="rId541" ref="P208"/>
    <hyperlink r:id="rId542" ref="Q208"/>
    <hyperlink r:id="rId543" ref="R208"/>
    <hyperlink r:id="rId544" ref="K210"/>
    <hyperlink r:id="rId545" ref="L210"/>
    <hyperlink r:id="rId546" ref="M210"/>
    <hyperlink r:id="rId547" ref="N210"/>
    <hyperlink r:id="rId548" ref="O210"/>
    <hyperlink r:id="rId549" ref="P210"/>
    <hyperlink r:id="rId550" ref="Q210"/>
    <hyperlink r:id="rId551" ref="R210"/>
    <hyperlink r:id="rId552" ref="S210"/>
    <hyperlink r:id="rId553" ref="T210"/>
    <hyperlink r:id="rId554" ref="K212"/>
    <hyperlink r:id="rId555" ref="L212"/>
    <hyperlink r:id="rId556" ref="M212"/>
    <hyperlink r:id="rId557" ref="N212"/>
    <hyperlink r:id="rId558" ref="O212"/>
    <hyperlink r:id="rId559" ref="P212"/>
    <hyperlink r:id="rId560" ref="Q212"/>
    <hyperlink r:id="rId561" ref="R212"/>
    <hyperlink r:id="rId562" ref="S212"/>
    <hyperlink r:id="rId563" ref="K214"/>
    <hyperlink r:id="rId564" ref="L214"/>
    <hyperlink r:id="rId565" ref="M214"/>
    <hyperlink r:id="rId566" ref="N214"/>
    <hyperlink r:id="rId567" ref="O214"/>
    <hyperlink r:id="rId568" ref="P214"/>
    <hyperlink r:id="rId569" ref="Q214"/>
    <hyperlink r:id="rId570" ref="R214"/>
    <hyperlink r:id="rId571" ref="K219"/>
    <hyperlink r:id="rId572" ref="L219"/>
    <hyperlink r:id="rId573" ref="M219"/>
    <hyperlink r:id="rId574" ref="N219"/>
    <hyperlink r:id="rId575" ref="O219"/>
    <hyperlink r:id="rId576" ref="K220"/>
    <hyperlink r:id="rId577" ref="L220"/>
    <hyperlink r:id="rId578" ref="M220"/>
    <hyperlink r:id="rId579" ref="N220"/>
    <hyperlink r:id="rId580" ref="K221"/>
    <hyperlink r:id="rId581" ref="L221"/>
    <hyperlink r:id="rId582" ref="M221"/>
    <hyperlink r:id="rId583" ref="N221"/>
    <hyperlink r:id="rId584" ref="O221"/>
    <hyperlink r:id="rId585" ref="P221"/>
    <hyperlink r:id="rId586" ref="K223"/>
    <hyperlink r:id="rId587" ref="L223"/>
    <hyperlink r:id="rId588" ref="M223"/>
    <hyperlink r:id="rId589" ref="N223"/>
    <hyperlink r:id="rId590" ref="O223"/>
    <hyperlink r:id="rId591" ref="P223"/>
    <hyperlink r:id="rId592" ref="Q223"/>
    <hyperlink r:id="rId593" ref="K224"/>
    <hyperlink r:id="rId594" ref="L224"/>
    <hyperlink r:id="rId595" ref="M224"/>
    <hyperlink r:id="rId596" ref="N224"/>
    <hyperlink r:id="rId597" ref="K231"/>
    <hyperlink r:id="rId598" ref="K232"/>
    <hyperlink r:id="rId599" ref="L232"/>
    <hyperlink r:id="rId600" ref="M232"/>
    <hyperlink r:id="rId601" ref="N232"/>
    <hyperlink r:id="rId602" ref="O232"/>
    <hyperlink r:id="rId603" ref="P232"/>
    <hyperlink r:id="rId604" ref="Q232"/>
    <hyperlink r:id="rId605" ref="K233"/>
    <hyperlink r:id="rId606" ref="L233"/>
    <hyperlink r:id="rId607" ref="M233"/>
    <hyperlink r:id="rId608" ref="N233"/>
    <hyperlink r:id="rId609" ref="O233"/>
    <hyperlink r:id="rId610" ref="P233"/>
    <hyperlink r:id="rId611" ref="Q233"/>
    <hyperlink r:id="rId612" ref="R233"/>
    <hyperlink r:id="rId613" ref="S233"/>
    <hyperlink r:id="rId614" ref="K323"/>
    <hyperlink r:id="rId615" ref="L323"/>
    <hyperlink r:id="rId616" ref="K350"/>
    <hyperlink r:id="rId617" ref="K411"/>
  </hyperlinks>
  <drawing r:id="rId6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2129</v>
      </c>
    </row>
    <row r="2">
      <c r="A2" s="16" t="s">
        <v>2130</v>
      </c>
      <c r="B2" s="16" t="s">
        <v>2131</v>
      </c>
    </row>
    <row r="3">
      <c r="A3" s="16" t="s">
        <v>2132</v>
      </c>
      <c r="B3" s="16" t="s">
        <v>2133</v>
      </c>
    </row>
    <row r="4">
      <c r="A4" s="16" t="s">
        <v>2134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2135</v>
      </c>
      <c r="B1" s="111"/>
      <c r="C1" s="112" t="s">
        <v>2136</v>
      </c>
      <c r="D1" s="113" t="s">
        <v>2137</v>
      </c>
      <c r="E1" s="113" t="s">
        <v>26</v>
      </c>
      <c r="F1" s="113" t="s">
        <v>70</v>
      </c>
      <c r="G1" s="114" t="s">
        <v>32</v>
      </c>
      <c r="H1" s="28"/>
      <c r="I1" s="115" t="s">
        <v>2138</v>
      </c>
      <c r="J1" s="115" t="s">
        <v>2139</v>
      </c>
      <c r="K1" s="115" t="s">
        <v>2140</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2141</v>
      </c>
      <c r="C3" s="117" t="s">
        <v>390</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1011</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2142</v>
      </c>
      <c r="C5" s="125" t="s">
        <v>1469</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1690</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2143</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2144</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''""),0)"),21.0)</f>
        <v>21</v>
      </c>
    </row>
    <row r="9">
      <c r="B9" s="131" t="s">
        <v>2145</v>
      </c>
      <c r="C9" s="132" t="s">
        <v>363</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2146</v>
      </c>
      <c r="C10" s="137" t="s">
        <v>1662</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2147</v>
      </c>
      <c r="C11" s="140" t="s">
        <v>868</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2148</v>
      </c>
      <c r="C12" s="137" t="s">
        <v>333</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2149</v>
      </c>
      <c r="C13" s="137" t="s">
        <v>937</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2150</v>
      </c>
      <c r="J13" s="142">
        <f>ROUND(AVERAGE('Extended Card Stats'!G:G),2)</f>
        <v>3.23</v>
      </c>
      <c r="K13" s="142">
        <f>ROUND(AVERAGE('Extended Card Stats'!J:J),2)</f>
        <v>2.81</v>
      </c>
    </row>
    <row r="14">
      <c r="B14" s="136" t="s">
        <v>2151</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2152</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2153</v>
      </c>
      <c r="C16" s="137" t="s">
        <v>1337</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2154</v>
      </c>
      <c r="C17" s="137" t="s">
        <v>891</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2155</v>
      </c>
      <c r="C18" s="144" t="s">
        <v>1397</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2156</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2157</v>
      </c>
      <c r="K20" s="154" t="s">
        <v>2158</v>
      </c>
      <c r="L20" s="155" t="s">
        <v>2159</v>
      </c>
      <c r="M20" s="156" t="s">
        <v>2160</v>
      </c>
      <c r="N20" s="157" t="s">
        <v>2161</v>
      </c>
      <c r="O20" s="158" t="s">
        <v>2162</v>
      </c>
      <c r="Q20" s="148" t="s">
        <v>2163</v>
      </c>
      <c r="R20" s="159" t="s">
        <v>26</v>
      </c>
      <c r="S20" s="159" t="s">
        <v>70</v>
      </c>
      <c r="T20" s="159" t="s">
        <v>32</v>
      </c>
      <c r="U20" s="160" t="s">
        <v>2164</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2165</v>
      </c>
      <c r="C24" s="159" t="s">
        <v>26</v>
      </c>
      <c r="D24" s="159" t="s">
        <v>70</v>
      </c>
      <c r="E24" s="159" t="s">
        <v>32</v>
      </c>
      <c r="F24" s="160" t="s">
        <v>2164</v>
      </c>
      <c r="G24" s="175" t="s">
        <v>2166</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2167</v>
      </c>
      <c r="B1" s="194" t="s">
        <v>2168</v>
      </c>
      <c r="C1" s="194" t="s">
        <v>2169</v>
      </c>
      <c r="D1" s="195" t="s">
        <v>2170</v>
      </c>
      <c r="E1" s="195" t="s">
        <v>2169</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2171</v>
      </c>
      <c r="E3" s="20">
        <v>29.0</v>
      </c>
    </row>
    <row r="4">
      <c r="A4" s="196"/>
      <c r="B4" s="197" t="str">
        <f>IFERROR(__xludf.DUMMYFUNCTION("""COMPUTED_VALUE"""),"Alabaster")</f>
        <v>Alabaster</v>
      </c>
      <c r="C4" s="197">
        <f t="shared" si="1"/>
        <v>1</v>
      </c>
      <c r="D4" s="20" t="s">
        <v>2172</v>
      </c>
      <c r="E4" s="20">
        <v>29.0</v>
      </c>
    </row>
    <row r="5">
      <c r="A5" s="196"/>
      <c r="B5" s="197" t="str">
        <f>IFERROR(__xludf.DUMMYFUNCTION("""COMPUTED_VALUE"""),"Exarch")</f>
        <v>Exarch</v>
      </c>
      <c r="C5" s="197">
        <f t="shared" si="1"/>
        <v>1</v>
      </c>
      <c r="D5" s="20" t="s">
        <v>670</v>
      </c>
      <c r="E5" s="20">
        <v>7.0</v>
      </c>
    </row>
    <row r="6">
      <c r="A6" s="196"/>
      <c r="B6" s="197" t="str">
        <f>IFERROR(__xludf.DUMMYFUNCTION("""COMPUTED_VALUE"""),"Ascendant")</f>
        <v>Ascendant</v>
      </c>
      <c r="C6" s="197">
        <f t="shared" si="1"/>
        <v>1</v>
      </c>
      <c r="D6" s="20" t="s">
        <v>405</v>
      </c>
      <c r="E6" s="20">
        <v>7.0</v>
      </c>
    </row>
    <row r="7">
      <c r="A7" s="196" t="str">
        <f>IFERROR(__xludf.DUMMYFUNCTION("""COMPUTED_VALUE"""),"Alabaster")</f>
        <v>Alabaster</v>
      </c>
      <c r="B7" s="197" t="str">
        <f>IFERROR(__xludf.DUMMYFUNCTION("""COMPUTED_VALUE"""),"Faithweaver")</f>
        <v>Faithweaver</v>
      </c>
      <c r="C7" s="197">
        <f t="shared" si="1"/>
        <v>1</v>
      </c>
      <c r="D7" s="20" t="s">
        <v>2147</v>
      </c>
      <c r="E7" s="20">
        <v>5.0</v>
      </c>
    </row>
    <row r="8">
      <c r="A8" s="196" t="str">
        <f>IFERROR(__xludf.DUMMYFUNCTION("""COMPUTED_VALUE"""),"Exarch")</f>
        <v>Exarch</v>
      </c>
      <c r="B8" s="197" t="str">
        <f>IFERROR(__xludf.DUMMYFUNCTION("""COMPUTED_VALUE"""),"Avenging")</f>
        <v>Avenging</v>
      </c>
      <c r="C8" s="197">
        <f t="shared" si="1"/>
        <v>1</v>
      </c>
      <c r="D8" s="20" t="s">
        <v>2155</v>
      </c>
      <c r="E8" s="20">
        <v>5.0</v>
      </c>
    </row>
    <row r="9">
      <c r="A9" s="196"/>
      <c r="B9" s="197" t="str">
        <f>IFERROR(__xludf.DUMMYFUNCTION("""COMPUTED_VALUE"""),"Force")</f>
        <v>Force</v>
      </c>
      <c r="C9" s="197">
        <f t="shared" si="1"/>
        <v>1</v>
      </c>
      <c r="D9" s="20" t="s">
        <v>2173</v>
      </c>
      <c r="E9" s="20">
        <v>5.0</v>
      </c>
    </row>
    <row r="10">
      <c r="A10" s="196"/>
      <c r="B10" s="197" t="str">
        <f>IFERROR(__xludf.DUMMYFUNCTION("""COMPUTED_VALUE"""),"Baby")</f>
        <v>Baby</v>
      </c>
      <c r="C10" s="197">
        <f t="shared" si="1"/>
        <v>1</v>
      </c>
      <c r="D10" s="20" t="s">
        <v>2174</v>
      </c>
      <c r="E10" s="20">
        <v>4.0</v>
      </c>
    </row>
    <row r="11">
      <c r="A11" s="196"/>
      <c r="B11" s="197" t="str">
        <f>IFERROR(__xludf.DUMMYFUNCTION("""COMPUTED_VALUE"""),"Lamassu")</f>
        <v>Lamassu</v>
      </c>
      <c r="C11" s="197">
        <f t="shared" si="1"/>
        <v>1</v>
      </c>
      <c r="D11" s="20" t="s">
        <v>2175</v>
      </c>
      <c r="E11" s="20">
        <v>4.0</v>
      </c>
    </row>
    <row r="12">
      <c r="A12" s="196" t="str">
        <f>IFERROR(__xludf.DUMMYFUNCTION("""COMPUTED_VALUE"""),"Ascendant")</f>
        <v>Ascendant</v>
      </c>
      <c r="B12" s="197" t="str">
        <f>IFERROR(__xludf.DUMMYFUNCTION("""COMPUTED_VALUE"""),"Blackmarble")</f>
        <v>Blackmarble</v>
      </c>
      <c r="C12" s="197">
        <f t="shared" si="1"/>
        <v>1</v>
      </c>
      <c r="D12" s="20" t="s">
        <v>2145</v>
      </c>
      <c r="E12" s="20">
        <v>4.0</v>
      </c>
    </row>
    <row r="13">
      <c r="A13" s="196" t="str">
        <f>IFERROR(__xludf.DUMMYFUNCTION("""COMPUTED_VALUE"""),"Faithweaver")</f>
        <v>Faithweaver</v>
      </c>
      <c r="B13" s="197" t="str">
        <f>IFERROR(__xludf.DUMMYFUNCTION("""COMPUTED_VALUE"""),"Gargoyle")</f>
        <v>Gargoyle</v>
      </c>
      <c r="C13" s="197">
        <f t="shared" si="1"/>
        <v>1</v>
      </c>
      <c r="D13" s="20" t="s">
        <v>2176</v>
      </c>
      <c r="E13" s="20">
        <v>4.0</v>
      </c>
    </row>
    <row r="14">
      <c r="A14" s="196"/>
      <c r="B14" s="197" t="str">
        <f>IFERROR(__xludf.DUMMYFUNCTION("""COMPUTED_VALUE"""),"Chronosand")</f>
        <v>Chronosand</v>
      </c>
      <c r="C14" s="197">
        <f t="shared" si="1"/>
        <v>1</v>
      </c>
      <c r="D14" s="20" t="s">
        <v>2152</v>
      </c>
      <c r="E14" s="20">
        <v>4.0</v>
      </c>
    </row>
    <row r="15">
      <c r="A15" s="196"/>
      <c r="B15" s="197" t="str">
        <f>IFERROR(__xludf.DUMMYFUNCTION("""COMPUTED_VALUE"""),"Sphinx")</f>
        <v>Sphinx</v>
      </c>
      <c r="C15" s="197">
        <f t="shared" si="1"/>
        <v>2</v>
      </c>
      <c r="D15" s="20" t="s">
        <v>2151</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2177</v>
      </c>
      <c r="E17" s="20">
        <v>3.0</v>
      </c>
    </row>
    <row r="18">
      <c r="A18" s="196" t="str">
        <f>IFERROR(__xludf.DUMMYFUNCTION("""COMPUTED_VALUE"""),"Force")</f>
        <v>Force</v>
      </c>
      <c r="B18" s="197" t="str">
        <f>IFERROR(__xludf.DUMMYFUNCTION("""COMPUTED_VALUE"""),"the")</f>
        <v>the</v>
      </c>
      <c r="C18" s="197">
        <f t="shared" si="1"/>
        <v>29</v>
      </c>
      <c r="D18" s="20" t="s">
        <v>2178</v>
      </c>
      <c r="E18" s="20">
        <v>3.0</v>
      </c>
    </row>
    <row r="19">
      <c r="A19" s="196"/>
      <c r="B19" s="197" t="str">
        <f>IFERROR(__xludf.DUMMYFUNCTION("""COMPUTED_VALUE"""),"Desert")</f>
        <v>Desert</v>
      </c>
      <c r="C19" s="197">
        <f t="shared" si="1"/>
        <v>2</v>
      </c>
      <c r="D19" s="20" t="s">
        <v>2179</v>
      </c>
      <c r="E19" s="20">
        <v>3.0</v>
      </c>
    </row>
    <row r="20">
      <c r="A20" s="196"/>
      <c r="B20" s="197" t="str">
        <f>IFERROR(__xludf.DUMMYFUNCTION("""COMPUTED_VALUE"""),"Winds")</f>
        <v>Winds</v>
      </c>
      <c r="C20" s="197">
        <f t="shared" si="1"/>
        <v>1</v>
      </c>
      <c r="D20" s="20" t="s">
        <v>2180</v>
      </c>
      <c r="E20" s="20">
        <v>3.0</v>
      </c>
    </row>
    <row r="21">
      <c r="A21" s="196"/>
      <c r="B21" s="197" t="str">
        <f>IFERROR(__xludf.DUMMYFUNCTION("""COMPUTED_VALUE"""),"Cryptosphinx")</f>
        <v>Cryptosphinx</v>
      </c>
      <c r="C21" s="197">
        <f t="shared" si="1"/>
        <v>1</v>
      </c>
      <c r="D21" s="20" t="s">
        <v>2181</v>
      </c>
      <c r="E21" s="20">
        <v>3.0</v>
      </c>
    </row>
    <row r="22">
      <c r="A22" s="196" t="str">
        <f>IFERROR(__xludf.DUMMYFUNCTION("""COMPUTED_VALUE"""),"Baby")</f>
        <v>Baby</v>
      </c>
      <c r="B22" s="197" t="str">
        <f>IFERROR(__xludf.DUMMYFUNCTION("""COMPUTED_VALUE"""),"Damaged")</f>
        <v>Damaged</v>
      </c>
      <c r="C22" s="197">
        <f t="shared" si="1"/>
        <v>1</v>
      </c>
      <c r="D22" s="20" t="s">
        <v>2182</v>
      </c>
      <c r="E22" s="20">
        <v>3.0</v>
      </c>
    </row>
    <row r="23">
      <c r="A23" s="196" t="str">
        <f>IFERROR(__xludf.DUMMYFUNCTION("""COMPUTED_VALUE"""),"Lamassu")</f>
        <v>Lamassu</v>
      </c>
      <c r="B23" s="197" t="str">
        <f>IFERROR(__xludf.DUMMYFUNCTION("""COMPUTED_VALUE"""),"Automaton")</f>
        <v>Automaton</v>
      </c>
      <c r="C23" s="197">
        <f t="shared" si="1"/>
        <v>2</v>
      </c>
      <c r="D23" s="20" t="s">
        <v>2183</v>
      </c>
      <c r="E23" s="20">
        <v>3.0</v>
      </c>
    </row>
    <row r="24">
      <c r="A24" s="196"/>
      <c r="B24" s="197" t="str">
        <f>IFERROR(__xludf.DUMMYFUNCTION("""COMPUTED_VALUE"""),"Diviner")</f>
        <v>Diviner</v>
      </c>
      <c r="C24" s="197">
        <f t="shared" si="1"/>
        <v>2</v>
      </c>
      <c r="D24" s="20" t="s">
        <v>2154</v>
      </c>
      <c r="E24" s="20">
        <v>3.0</v>
      </c>
    </row>
    <row r="25">
      <c r="A25" s="196"/>
      <c r="B25" s="197" t="str">
        <f>IFERROR(__xludf.DUMMYFUNCTION("""COMPUTED_VALUE"""),"Fates")</f>
        <v>Fates</v>
      </c>
      <c r="C25" s="197">
        <f t="shared" si="1"/>
        <v>1</v>
      </c>
      <c r="D25" s="20" t="s">
        <v>2184</v>
      </c>
      <c r="E25" s="20">
        <v>3.0</v>
      </c>
    </row>
    <row r="26">
      <c r="A26" s="196"/>
      <c r="B26" s="197" t="str">
        <f>IFERROR(__xludf.DUMMYFUNCTION("""COMPUTED_VALUE"""),"Doma")</f>
        <v>Doma</v>
      </c>
      <c r="C26" s="197">
        <f t="shared" si="1"/>
        <v>1</v>
      </c>
      <c r="D26" s="20" t="s">
        <v>2185</v>
      </c>
      <c r="E26" s="20">
        <v>3.0</v>
      </c>
    </row>
    <row r="27">
      <c r="A27" s="196" t="str">
        <f>IFERROR(__xludf.DUMMYFUNCTION("""COMPUTED_VALUE"""),"Blackmarble")</f>
        <v>Blackmarble</v>
      </c>
      <c r="B27" s="197" t="str">
        <f>IFERROR(__xludf.DUMMYFUNCTION("""COMPUTED_VALUE"""),"Angel")</f>
        <v>Angel</v>
      </c>
      <c r="C27" s="197">
        <f t="shared" si="1"/>
        <v>3</v>
      </c>
      <c r="D27" s="20" t="s">
        <v>2186</v>
      </c>
      <c r="E27" s="20">
        <v>3.0</v>
      </c>
    </row>
    <row r="28">
      <c r="A28" s="196" t="str">
        <f>IFERROR(__xludf.DUMMYFUNCTION("""COMPUTED_VALUE"""),"Gargoyle")</f>
        <v>Gargoyle</v>
      </c>
      <c r="B28" s="197" t="str">
        <f>IFERROR(__xludf.DUMMYFUNCTION("""COMPUTED_VALUE"""),"Dove")</f>
        <v>Dove</v>
      </c>
      <c r="C28" s="197">
        <f t="shared" si="1"/>
        <v>1</v>
      </c>
      <c r="D28" s="20" t="s">
        <v>2187</v>
      </c>
      <c r="E28" s="20">
        <v>3.0</v>
      </c>
    </row>
    <row r="29">
      <c r="A29" s="196"/>
      <c r="B29" s="197" t="str">
        <f>IFERROR(__xludf.DUMMYFUNCTION("""COMPUTED_VALUE"""),"Serenity")</f>
        <v>Serenity</v>
      </c>
      <c r="C29" s="197">
        <f t="shared" si="1"/>
        <v>1</v>
      </c>
      <c r="D29" s="20" t="s">
        <v>2188</v>
      </c>
      <c r="E29" s="20">
        <v>2.0</v>
      </c>
    </row>
    <row r="30">
      <c r="A30" s="196"/>
      <c r="B30" s="197" t="str">
        <f>IFERROR(__xludf.DUMMYFUNCTION("""COMPUTED_VALUE"""),"Dream")</f>
        <v>Dream</v>
      </c>
      <c r="C30" s="197">
        <f t="shared" si="1"/>
        <v>1</v>
      </c>
      <c r="D30" s="20" t="s">
        <v>2189</v>
      </c>
      <c r="E30" s="20">
        <v>2.0</v>
      </c>
    </row>
    <row r="31">
      <c r="A31" s="196"/>
      <c r="B31" s="197" t="str">
        <f>IFERROR(__xludf.DUMMYFUNCTION("""COMPUTED_VALUE"""),"Traveler")</f>
        <v>Traveler</v>
      </c>
      <c r="C31" s="197">
        <f t="shared" si="1"/>
        <v>1</v>
      </c>
      <c r="D31" s="20" t="s">
        <v>2190</v>
      </c>
      <c r="E31" s="20">
        <v>2.0</v>
      </c>
    </row>
    <row r="32">
      <c r="A32" s="196" t="str">
        <f>IFERROR(__xludf.DUMMYFUNCTION("""COMPUTED_VALUE"""),"Chronosand")</f>
        <v>Chronosand</v>
      </c>
      <c r="B32" s="197" t="str">
        <f>IFERROR(__xludf.DUMMYFUNCTION("""COMPUTED_VALUE"""),"Embalmed")</f>
        <v>Embalmed</v>
      </c>
      <c r="C32" s="197">
        <f t="shared" si="1"/>
        <v>1</v>
      </c>
      <c r="D32" s="20" t="s">
        <v>2191</v>
      </c>
      <c r="E32" s="20">
        <v>2.0</v>
      </c>
    </row>
    <row r="33">
      <c r="A33" s="196" t="str">
        <f>IFERROR(__xludf.DUMMYFUNCTION("""COMPUTED_VALUE"""),"Sphinx")</f>
        <v>Sphinx</v>
      </c>
      <c r="B33" s="197" t="str">
        <f>IFERROR(__xludf.DUMMYFUNCTION("""COMPUTED_VALUE"""),"Apophis")</f>
        <v>Apophis</v>
      </c>
      <c r="C33" s="197">
        <f t="shared" si="1"/>
        <v>1</v>
      </c>
      <c r="D33" s="20" t="s">
        <v>2192</v>
      </c>
      <c r="E33" s="20">
        <v>2.0</v>
      </c>
    </row>
    <row r="34">
      <c r="A34" s="196"/>
      <c r="B34" s="197" t="str">
        <f>IFERROR(__xludf.DUMMYFUNCTION("""COMPUTED_VALUE"""),"Feline")</f>
        <v>Feline</v>
      </c>
      <c r="C34" s="197">
        <f t="shared" si="1"/>
        <v>1</v>
      </c>
      <c r="D34" s="20" t="s">
        <v>2193</v>
      </c>
      <c r="E34" s="20">
        <v>2.0</v>
      </c>
    </row>
    <row r="35">
      <c r="A35" s="196"/>
      <c r="B35" s="197" t="str">
        <f>IFERROR(__xludf.DUMMYFUNCTION("""COMPUTED_VALUE"""),"Ushabti")</f>
        <v>Ushabti</v>
      </c>
      <c r="C35" s="197">
        <f t="shared" si="1"/>
        <v>4</v>
      </c>
      <c r="D35" s="20" t="s">
        <v>2194</v>
      </c>
      <c r="E35" s="20">
        <v>2.0</v>
      </c>
    </row>
    <row r="36">
      <c r="A36" s="196"/>
      <c r="B36" s="197" t="str">
        <f>IFERROR(__xludf.DUMMYFUNCTION("""COMPUTED_VALUE"""),"Guardian")</f>
        <v>Guardian</v>
      </c>
      <c r="C36" s="197">
        <f t="shared" si="1"/>
        <v>4</v>
      </c>
      <c r="D36" s="20" t="s">
        <v>2195</v>
      </c>
      <c r="E36" s="20">
        <v>2.0</v>
      </c>
    </row>
    <row r="37">
      <c r="A37" s="196" t="str">
        <f>IFERROR(__xludf.DUMMYFUNCTION("""COMPUTED_VALUE"""),"Crusader")</f>
        <v>Crusader</v>
      </c>
      <c r="B37" s="197" t="str">
        <f>IFERROR(__xludf.DUMMYFUNCTION("""COMPUTED_VALUE"""),"Gates")</f>
        <v>Gates</v>
      </c>
      <c r="C37" s="197">
        <f t="shared" si="1"/>
        <v>1</v>
      </c>
      <c r="D37" s="20" t="s">
        <v>2196</v>
      </c>
      <c r="E37" s="20">
        <v>2.0</v>
      </c>
    </row>
    <row r="38">
      <c r="A38" s="196" t="str">
        <f>IFERROR(__xludf.DUMMYFUNCTION("""COMPUTED_VALUE"""),"of")</f>
        <v>of</v>
      </c>
      <c r="B38" s="197" t="str">
        <f>IFERROR(__xludf.DUMMYFUNCTION("""COMPUTED_VALUE"""),"Hallowed")</f>
        <v>Hallowed</v>
      </c>
      <c r="C38" s="197">
        <f t="shared" si="1"/>
        <v>1</v>
      </c>
      <c r="D38" s="20" t="s">
        <v>1970</v>
      </c>
      <c r="E38" s="20">
        <v>2.0</v>
      </c>
    </row>
    <row r="39">
      <c r="A39" s="196" t="str">
        <f>IFERROR(__xludf.DUMMYFUNCTION("""COMPUTED_VALUE"""),"the")</f>
        <v>the</v>
      </c>
      <c r="B39" s="197" t="str">
        <f>IFERROR(__xludf.DUMMYFUNCTION("""COMPUTED_VALUE"""),"Exorcist")</f>
        <v>Exorcist</v>
      </c>
      <c r="C39" s="197">
        <f t="shared" si="1"/>
        <v>1</v>
      </c>
      <c r="D39" s="20" t="s">
        <v>2197</v>
      </c>
      <c r="E39" s="20">
        <v>2.0</v>
      </c>
    </row>
    <row r="40">
      <c r="A40" s="196" t="str">
        <f>IFERROR(__xludf.DUMMYFUNCTION("""COMPUTED_VALUE"""),"Desert")</f>
        <v>Desert</v>
      </c>
      <c r="B40" s="197" t="str">
        <f>IFERROR(__xludf.DUMMYFUNCTION("""COMPUTED_VALUE"""),"Harmonic")</f>
        <v>Harmonic</v>
      </c>
      <c r="C40" s="197">
        <f t="shared" si="1"/>
        <v>1</v>
      </c>
      <c r="D40" s="20" t="s">
        <v>2198</v>
      </c>
      <c r="E40" s="20">
        <v>2.0</v>
      </c>
    </row>
    <row r="41">
      <c r="A41" s="196" t="str">
        <f>IFERROR(__xludf.DUMMYFUNCTION("""COMPUTED_VALUE"""),"Winds")</f>
        <v>Winds</v>
      </c>
      <c r="B41" s="197" t="str">
        <f>IFERROR(__xludf.DUMMYFUNCTION("""COMPUTED_VALUE"""),"Echo")</f>
        <v>Echo</v>
      </c>
      <c r="C41" s="197">
        <f t="shared" si="1"/>
        <v>2</v>
      </c>
      <c r="D41" s="20" t="s">
        <v>2199</v>
      </c>
      <c r="E41" s="20">
        <v>2.0</v>
      </c>
    </row>
    <row r="42">
      <c r="A42" s="196" t="str">
        <f>IFERROR(__xludf.DUMMYFUNCTION("""COMPUTED_VALUE"""),"Cryptosphinx")</f>
        <v>Cryptosphinx</v>
      </c>
      <c r="B42" s="197" t="str">
        <f>IFERROR(__xludf.DUMMYFUNCTION("""COMPUTED_VALUE"""),"Ibis")</f>
        <v>Ibis</v>
      </c>
      <c r="C42" s="197">
        <f t="shared" si="1"/>
        <v>1</v>
      </c>
      <c r="D42" s="20" t="s">
        <v>2200</v>
      </c>
      <c r="E42" s="20">
        <v>2.0</v>
      </c>
    </row>
    <row r="43">
      <c r="A43" s="196"/>
      <c r="B43" s="197" t="str">
        <f>IFERROR(__xludf.DUMMYFUNCTION("""COMPUTED_VALUE"""),"Herald")</f>
        <v>Herald</v>
      </c>
      <c r="C43" s="197">
        <f t="shared" si="1"/>
        <v>1</v>
      </c>
      <c r="D43" s="20" t="s">
        <v>2201</v>
      </c>
      <c r="E43" s="20">
        <v>2.0</v>
      </c>
    </row>
    <row r="44">
      <c r="A44" s="196"/>
      <c r="B44" s="197" t="str">
        <f>IFERROR(__xludf.DUMMYFUNCTION("""COMPUTED_VALUE"""),"Eternal")</f>
        <v>Eternal</v>
      </c>
      <c r="C44" s="197">
        <f t="shared" si="1"/>
        <v>1</v>
      </c>
      <c r="D44" s="20" t="s">
        <v>2202</v>
      </c>
      <c r="E44" s="20">
        <v>2.0</v>
      </c>
    </row>
    <row r="45">
      <c r="A45" s="196"/>
      <c r="B45" s="197" t="str">
        <f>IFERROR(__xludf.DUMMYFUNCTION("""COMPUTED_VALUE"""),"Grace")</f>
        <v>Grace</v>
      </c>
      <c r="C45" s="197">
        <f t="shared" si="1"/>
        <v>1</v>
      </c>
      <c r="D45" s="20" t="s">
        <v>2203</v>
      </c>
      <c r="E45" s="20">
        <v>2.0</v>
      </c>
    </row>
    <row r="46">
      <c r="A46" s="196"/>
      <c r="B46" s="197" t="str">
        <f>IFERROR(__xludf.DUMMYFUNCTION("""COMPUTED_VALUE"""),"Maze")</f>
        <v>Maze</v>
      </c>
      <c r="C46" s="197">
        <f t="shared" si="1"/>
        <v>1</v>
      </c>
      <c r="D46" s="20" t="s">
        <v>2204</v>
      </c>
      <c r="E46" s="20">
        <v>2.0</v>
      </c>
    </row>
    <row r="47">
      <c r="A47" s="196" t="str">
        <f>IFERROR(__xludf.DUMMYFUNCTION("""COMPUTED_VALUE"""),"Damaged")</f>
        <v>Damaged</v>
      </c>
      <c r="B47" s="197" t="str">
        <f>IFERROR(__xludf.DUMMYFUNCTION("""COMPUTED_VALUE"""),"Master")</f>
        <v>Master</v>
      </c>
      <c r="C47" s="197">
        <f t="shared" si="1"/>
        <v>3</v>
      </c>
      <c r="D47" s="20" t="s">
        <v>2205</v>
      </c>
      <c r="E47" s="20">
        <v>2.0</v>
      </c>
    </row>
    <row r="48">
      <c r="A48" s="196" t="str">
        <f>IFERROR(__xludf.DUMMYFUNCTION("""COMPUTED_VALUE"""),"Automaton")</f>
        <v>Automaton</v>
      </c>
      <c r="B48" s="197" t="str">
        <f>IFERROR(__xludf.DUMMYFUNCTION("""COMPUTED_VALUE"""),"Ivoryscar")</f>
        <v>Ivoryscar</v>
      </c>
      <c r="C48" s="197">
        <f t="shared" si="1"/>
        <v>4</v>
      </c>
      <c r="D48" s="20" t="s">
        <v>2206</v>
      </c>
      <c r="E48" s="20">
        <v>2.0</v>
      </c>
    </row>
    <row r="49">
      <c r="A49" s="196"/>
      <c r="B49" s="197" t="str">
        <f>IFERROR(__xludf.DUMMYFUNCTION("""COMPUTED_VALUE"""),"Cursewing")</f>
        <v>Cursewing</v>
      </c>
      <c r="C49" s="197">
        <f t="shared" si="1"/>
        <v>1</v>
      </c>
      <c r="D49" s="20" t="s">
        <v>2207</v>
      </c>
      <c r="E49" s="20">
        <v>2.0</v>
      </c>
    </row>
    <row r="50">
      <c r="A50" s="196"/>
      <c r="B50" s="197" t="str">
        <f>IFERROR(__xludf.DUMMYFUNCTION("""COMPUTED_VALUE"""),"Magistrate")</f>
        <v>Magistrate</v>
      </c>
      <c r="C50" s="197">
        <f t="shared" si="1"/>
        <v>1</v>
      </c>
      <c r="D50" s="20" t="s">
        <v>2208</v>
      </c>
      <c r="E50" s="20">
        <v>2.0</v>
      </c>
    </row>
    <row r="51">
      <c r="A51" s="196"/>
      <c r="B51" s="197" t="str">
        <f>IFERROR(__xludf.DUMMYFUNCTION("""COMPUTED_VALUE"""),"Kylix")</f>
        <v>Kylix</v>
      </c>
      <c r="C51" s="197">
        <f t="shared" si="1"/>
        <v>1</v>
      </c>
      <c r="D51" s="20" t="s">
        <v>2209</v>
      </c>
      <c r="E51" s="20">
        <v>2.0</v>
      </c>
    </row>
    <row r="52">
      <c r="A52" s="196" t="str">
        <f>IFERROR(__xludf.DUMMYFUNCTION("""COMPUTED_VALUE"""),"Diviner")</f>
        <v>Diviner</v>
      </c>
      <c r="B52" s="197" t="str">
        <f>IFERROR(__xludf.DUMMYFUNCTION("""COMPUTED_VALUE"""),"Excess")</f>
        <v>Excess</v>
      </c>
      <c r="C52" s="197">
        <f t="shared" si="1"/>
        <v>1</v>
      </c>
      <c r="D52" s="20" t="s">
        <v>2210</v>
      </c>
      <c r="E52" s="20">
        <v>2.0</v>
      </c>
    </row>
    <row r="53">
      <c r="A53" s="196" t="str">
        <f>IFERROR(__xludf.DUMMYFUNCTION("""COMPUTED_VALUE"""),"of")</f>
        <v>of</v>
      </c>
      <c r="B53" s="197" t="str">
        <f>IFERROR(__xludf.DUMMYFUNCTION("""COMPUTED_VALUE"""),"Mystic")</f>
        <v>Mystic</v>
      </c>
      <c r="C53" s="197">
        <f t="shared" si="1"/>
        <v>1</v>
      </c>
      <c r="D53" s="20" t="s">
        <v>2211</v>
      </c>
      <c r="E53" s="20">
        <v>2.0</v>
      </c>
    </row>
    <row r="54">
      <c r="A54" s="196" t="str">
        <f>IFERROR(__xludf.DUMMYFUNCTION("""COMPUTED_VALUE"""),"Fates")</f>
        <v>Fates</v>
      </c>
      <c r="B54" s="197" t="str">
        <f>IFERROR(__xludf.DUMMYFUNCTION("""COMPUTED_VALUE"""),"Puzzle")</f>
        <v>Puzzle</v>
      </c>
      <c r="C54" s="197">
        <f t="shared" si="1"/>
        <v>1</v>
      </c>
      <c r="D54" s="20" t="s">
        <v>2212</v>
      </c>
      <c r="E54" s="20">
        <v>2.0</v>
      </c>
    </row>
    <row r="55">
      <c r="A55" s="196"/>
      <c r="B55" s="197" t="str">
        <f>IFERROR(__xludf.DUMMYFUNCTION("""COMPUTED_VALUE"""),"Box")</f>
        <v>Box</v>
      </c>
      <c r="C55" s="197">
        <f t="shared" si="1"/>
        <v>1</v>
      </c>
      <c r="D55" s="20" t="s">
        <v>2213</v>
      </c>
      <c r="E55" s="20">
        <v>2.0</v>
      </c>
    </row>
    <row r="56">
      <c r="A56" s="196"/>
      <c r="B56" s="197" t="str">
        <f>IFERROR(__xludf.DUMMYFUNCTION("""COMPUTED_VALUE"""),"Monolith")</f>
        <v>Monolith</v>
      </c>
      <c r="C56" s="197">
        <f t="shared" si="1"/>
        <v>1</v>
      </c>
      <c r="D56" s="20" t="s">
        <v>2149</v>
      </c>
      <c r="E56" s="20">
        <v>2.0</v>
      </c>
    </row>
    <row r="57">
      <c r="A57" s="196" t="str">
        <f>IFERROR(__xludf.DUMMYFUNCTION("""COMPUTED_VALUE"""),"Doma")</f>
        <v>Doma</v>
      </c>
      <c r="B57" s="197" t="str">
        <f>IFERROR(__xludf.DUMMYFUNCTION("""COMPUTED_VALUE"""),"Meditation")</f>
        <v>Meditation</v>
      </c>
      <c r="C57" s="197">
        <f t="shared" si="1"/>
        <v>1</v>
      </c>
      <c r="D57" s="20" t="s">
        <v>2214</v>
      </c>
      <c r="E57" s="20">
        <v>2.0</v>
      </c>
    </row>
    <row r="58">
      <c r="A58" s="196" t="str">
        <f>IFERROR(__xludf.DUMMYFUNCTION("""COMPUTED_VALUE"""),"Angel")</f>
        <v>Angel</v>
      </c>
      <c r="B58" s="197" t="str">
        <f>IFERROR(__xludf.DUMMYFUNCTION("""COMPUTED_VALUE"""),"Oasis")</f>
        <v>Oasis</v>
      </c>
      <c r="C58" s="197">
        <f t="shared" si="1"/>
        <v>1</v>
      </c>
      <c r="D58" s="20" t="s">
        <v>2215</v>
      </c>
      <c r="E58" s="20">
        <v>2.0</v>
      </c>
    </row>
    <row r="59">
      <c r="A59" s="196"/>
      <c r="B59" s="197" t="str">
        <f>IFERROR(__xludf.DUMMYFUNCTION("""COMPUTED_VALUE"""),"Sprite")</f>
        <v>Sprite</v>
      </c>
      <c r="C59" s="197">
        <f t="shared" si="1"/>
        <v>4</v>
      </c>
      <c r="D59" s="20" t="s">
        <v>2216</v>
      </c>
      <c r="E59" s="20">
        <v>2.0</v>
      </c>
    </row>
    <row r="60">
      <c r="A60" s="196"/>
      <c r="B60" s="197" t="str">
        <f>IFERROR(__xludf.DUMMYFUNCTION("""COMPUTED_VALUE"""),"Pharaoh's")</f>
        <v>Pharaoh's</v>
      </c>
      <c r="C60" s="197">
        <f t="shared" si="1"/>
        <v>1</v>
      </c>
      <c r="D60" s="20" t="s">
        <v>2217</v>
      </c>
      <c r="E60" s="20">
        <v>2.0</v>
      </c>
    </row>
    <row r="61">
      <c r="A61" s="196"/>
      <c r="B61" s="197" t="str">
        <f>IFERROR(__xludf.DUMMYFUNCTION("""COMPUTED_VALUE"""),"Bodyguard")</f>
        <v>Bodyguard</v>
      </c>
      <c r="C61" s="197">
        <f t="shared" si="1"/>
        <v>1</v>
      </c>
      <c r="D61" s="20" t="s">
        <v>2218</v>
      </c>
      <c r="E61" s="20">
        <v>2.0</v>
      </c>
    </row>
    <row r="62">
      <c r="A62" s="196" t="str">
        <f>IFERROR(__xludf.DUMMYFUNCTION("""COMPUTED_VALUE"""),"Dove")</f>
        <v>Dove</v>
      </c>
      <c r="B62" s="197" t="str">
        <f>IFERROR(__xludf.DUMMYFUNCTION("""COMPUTED_VALUE"""),"Scripture")</f>
        <v>Scripture</v>
      </c>
      <c r="C62" s="197">
        <f t="shared" si="1"/>
        <v>1</v>
      </c>
      <c r="D62" s="20" t="s">
        <v>2219</v>
      </c>
      <c r="E62" s="20">
        <v>2.0</v>
      </c>
    </row>
    <row r="63">
      <c r="A63" s="196" t="str">
        <f>IFERROR(__xludf.DUMMYFUNCTION("""COMPUTED_VALUE"""),"of")</f>
        <v>of</v>
      </c>
      <c r="B63" s="197" t="str">
        <f>IFERROR(__xludf.DUMMYFUNCTION("""COMPUTED_VALUE"""),"Monkey")</f>
        <v>Monkey</v>
      </c>
      <c r="C63" s="197">
        <f t="shared" si="1"/>
        <v>1</v>
      </c>
      <c r="D63" s="20" t="s">
        <v>2153</v>
      </c>
      <c r="E63" s="20">
        <v>2.0</v>
      </c>
    </row>
    <row r="64">
      <c r="A64" s="196" t="str">
        <f>IFERROR(__xludf.DUMMYFUNCTION("""COMPUTED_VALUE"""),"Serenity")</f>
        <v>Serenity</v>
      </c>
      <c r="B64" s="197" t="str">
        <f>IFERROR(__xludf.DUMMYFUNCTION("""COMPUTED_VALUE"""),"Pyramidion")</f>
        <v>Pyramidion</v>
      </c>
      <c r="C64" s="197">
        <f t="shared" si="1"/>
        <v>1</v>
      </c>
      <c r="D64" s="20" t="s">
        <v>2220</v>
      </c>
      <c r="E64" s="20">
        <v>2.0</v>
      </c>
    </row>
    <row r="65">
      <c r="A65" s="196"/>
      <c r="B65" s="197" t="str">
        <f>IFERROR(__xludf.DUMMYFUNCTION("""COMPUTED_VALUE"""),"Sekhem")</f>
        <v>Sekhem</v>
      </c>
      <c r="C65" s="197">
        <f t="shared" si="1"/>
        <v>1</v>
      </c>
      <c r="D65" s="20" t="s">
        <v>2221</v>
      </c>
      <c r="E65" s="20">
        <v>2.0</v>
      </c>
    </row>
    <row r="66">
      <c r="A66" s="196"/>
      <c r="B66" s="197" t="str">
        <f>IFERROR(__xludf.DUMMYFUNCTION("""COMPUTED_VALUE"""),"Chariot")</f>
        <v>Chariot</v>
      </c>
      <c r="C66" s="197">
        <f t="shared" si="1"/>
        <v>1</v>
      </c>
      <c r="D66" s="20" t="s">
        <v>2222</v>
      </c>
      <c r="E66" s="20">
        <v>2.0</v>
      </c>
    </row>
    <row r="67">
      <c r="A67" s="196" t="str">
        <f>IFERROR(__xludf.DUMMYFUNCTION("""COMPUTED_VALUE"""),"Dream")</f>
        <v>Dream</v>
      </c>
      <c r="B67" s="197" t="str">
        <f>IFERROR(__xludf.DUMMYFUNCTION("""COMPUTED_VALUE"""),"Obsidian")</f>
        <v>Obsidian</v>
      </c>
      <c r="C67" s="197">
        <f t="shared" si="1"/>
        <v>1</v>
      </c>
      <c r="D67" s="20" t="s">
        <v>2223</v>
      </c>
      <c r="E67" s="20">
        <v>2.0</v>
      </c>
    </row>
    <row r="68">
      <c r="A68" s="196" t="str">
        <f>IFERROR(__xludf.DUMMYFUNCTION("""COMPUTED_VALUE"""),"Traveler")</f>
        <v>Traveler</v>
      </c>
      <c r="B68" s="197" t="str">
        <f>IFERROR(__xludf.DUMMYFUNCTION("""COMPUTED_VALUE"""),"Scarab")</f>
        <v>Scarab</v>
      </c>
      <c r="C68" s="197">
        <f t="shared" si="1"/>
        <v>2</v>
      </c>
      <c r="D68" s="20" t="s">
        <v>2224</v>
      </c>
      <c r="E68" s="20">
        <v>2.0</v>
      </c>
    </row>
    <row r="69">
      <c r="A69" s="196"/>
      <c r="B69" s="197" t="str">
        <f>IFERROR(__xludf.DUMMYFUNCTION("""COMPUTED_VALUE"""),"Solarsteel")</f>
        <v>Solarsteel</v>
      </c>
      <c r="C69" s="197">
        <f t="shared" si="1"/>
        <v>1</v>
      </c>
      <c r="D69" s="20" t="s">
        <v>2225</v>
      </c>
      <c r="E69" s="20">
        <v>2.0</v>
      </c>
    </row>
    <row r="70">
      <c r="A70" s="196"/>
      <c r="B70" s="197" t="str">
        <f>IFERROR(__xludf.DUMMYFUNCTION("""COMPUTED_VALUE"""),"Prodigy")</f>
        <v>Prodigy</v>
      </c>
      <c r="C70" s="197">
        <f t="shared" si="1"/>
        <v>1</v>
      </c>
      <c r="D70" s="20" t="s">
        <v>2226</v>
      </c>
      <c r="E70" s="20">
        <v>2.0</v>
      </c>
    </row>
    <row r="71">
      <c r="A71" s="196"/>
      <c r="B71" s="197" t="str">
        <f>IFERROR(__xludf.DUMMYFUNCTION("""COMPUTED_VALUE"""),"Starforger")</f>
        <v>Starforger</v>
      </c>
      <c r="C71" s="197">
        <f t="shared" si="1"/>
        <v>1</v>
      </c>
      <c r="D71" s="20" t="s">
        <v>2227</v>
      </c>
      <c r="E71" s="20">
        <v>2.0</v>
      </c>
    </row>
    <row r="72">
      <c r="A72" s="196" t="str">
        <f>IFERROR(__xludf.DUMMYFUNCTION("""COMPUTED_VALUE"""),"Embalmed")</f>
        <v>Embalmed</v>
      </c>
      <c r="B72" s="197" t="str">
        <f>IFERROR(__xludf.DUMMYFUNCTION("""COMPUTED_VALUE"""),"Swiftblade")</f>
        <v>Swiftblade</v>
      </c>
      <c r="C72" s="197">
        <f t="shared" si="1"/>
        <v>1</v>
      </c>
      <c r="D72" s="20" t="s">
        <v>2228</v>
      </c>
      <c r="E72" s="20">
        <v>2.0</v>
      </c>
    </row>
    <row r="73">
      <c r="A73" s="196" t="str">
        <f>IFERROR(__xludf.DUMMYFUNCTION("""COMPUTED_VALUE"""),"Apophis")</f>
        <v>Apophis</v>
      </c>
      <c r="B73" s="197" t="str">
        <f>IFERROR(__xludf.DUMMYFUNCTION("""COMPUTED_VALUE"""),"Revenger")</f>
        <v>Revenger</v>
      </c>
      <c r="C73" s="197">
        <f t="shared" si="1"/>
        <v>1</v>
      </c>
      <c r="D73" s="20" t="s">
        <v>2229</v>
      </c>
      <c r="E73" s="20">
        <v>2.0</v>
      </c>
    </row>
    <row r="74">
      <c r="A74" s="196"/>
      <c r="B74" s="197" t="str">
        <f>IFERROR(__xludf.DUMMYFUNCTION("""COMPUTED_VALUE"""),"The")</f>
        <v>The</v>
      </c>
      <c r="C74" s="197">
        <f t="shared" si="1"/>
        <v>29</v>
      </c>
      <c r="D74" s="20" t="s">
        <v>2230</v>
      </c>
      <c r="E74" s="20">
        <v>2.0</v>
      </c>
    </row>
    <row r="75">
      <c r="A75" s="196"/>
      <c r="B75" s="197" t="str">
        <f>IFERROR(__xludf.DUMMYFUNCTION("""COMPUTED_VALUE"""),"Kitty")</f>
        <v>Kitty</v>
      </c>
      <c r="C75" s="197">
        <f t="shared" si="1"/>
        <v>1</v>
      </c>
      <c r="D75" s="20" t="s">
        <v>2231</v>
      </c>
      <c r="E75" s="20">
        <v>2.0</v>
      </c>
    </row>
    <row r="76">
      <c r="A76" s="196"/>
      <c r="B76" s="197" t="str">
        <f>IFERROR(__xludf.DUMMYFUNCTION("""COMPUTED_VALUE"""),"Thamiel")</f>
        <v>Thamiel</v>
      </c>
      <c r="C76" s="197">
        <f t="shared" si="1"/>
        <v>1</v>
      </c>
      <c r="D76" s="20" t="s">
        <v>2232</v>
      </c>
      <c r="E76" s="20">
        <v>2.0</v>
      </c>
    </row>
    <row r="77">
      <c r="A77" s="196" t="str">
        <f>IFERROR(__xludf.DUMMYFUNCTION("""COMPUTED_VALUE"""),"Feline")</f>
        <v>Feline</v>
      </c>
      <c r="B77" s="197" t="str">
        <f>IFERROR(__xludf.DUMMYFUNCTION("""COMPUTED_VALUE"""),"Thunderswarm")</f>
        <v>Thunderswarm</v>
      </c>
      <c r="C77" s="197">
        <f t="shared" si="1"/>
        <v>4</v>
      </c>
      <c r="D77" s="20" t="s">
        <v>2233</v>
      </c>
      <c r="E77" s="20">
        <v>2.0</v>
      </c>
    </row>
    <row r="78">
      <c r="A78" s="196" t="str">
        <f>IFERROR(__xludf.DUMMYFUNCTION("""COMPUTED_VALUE"""),"Ushabti")</f>
        <v>Ushabti</v>
      </c>
      <c r="B78" s="197" t="str">
        <f>IFERROR(__xludf.DUMMYFUNCTION("""COMPUTED_VALUE"""),"Skirmisher")</f>
        <v>Skirmisher</v>
      </c>
      <c r="C78" s="197">
        <f t="shared" si="1"/>
        <v>1</v>
      </c>
      <c r="D78" s="20" t="s">
        <v>2234</v>
      </c>
      <c r="E78" s="20">
        <v>2.0</v>
      </c>
    </row>
    <row r="79">
      <c r="A79" s="196"/>
      <c r="B79" s="197" t="str">
        <f>IFERROR(__xludf.DUMMYFUNCTION("""COMPUTED_VALUE"""),"Tranquil")</f>
        <v>Tranquil</v>
      </c>
      <c r="C79" s="197">
        <f t="shared" si="1"/>
        <v>3</v>
      </c>
      <c r="D79" s="20" t="s">
        <v>2235</v>
      </c>
      <c r="E79" s="20">
        <v>2.0</v>
      </c>
    </row>
    <row r="80">
      <c r="A80" s="196"/>
      <c r="B80" s="197" t="str">
        <f>IFERROR(__xludf.DUMMYFUNCTION("""COMPUTED_VALUE"""),"Herd")</f>
        <v>Herd</v>
      </c>
      <c r="C80" s="197">
        <f t="shared" si="1"/>
        <v>3</v>
      </c>
      <c r="D80" s="20" t="s">
        <v>2236</v>
      </c>
      <c r="E80" s="20">
        <v>2.0</v>
      </c>
    </row>
    <row r="81">
      <c r="A81" s="196"/>
      <c r="B81" s="197" t="str">
        <f>IFERROR(__xludf.DUMMYFUNCTION("""COMPUTED_VALUE"""),"Gem")</f>
        <v>Gem</v>
      </c>
      <c r="C81" s="197">
        <f t="shared" si="1"/>
        <v>2</v>
      </c>
      <c r="D81" s="20" t="s">
        <v>2237</v>
      </c>
      <c r="E81" s="20">
        <v>2.0</v>
      </c>
    </row>
    <row r="82">
      <c r="A82" s="196" t="str">
        <f>IFERROR(__xludf.DUMMYFUNCTION("""COMPUTED_VALUE"""),"Guardian")</f>
        <v>Guardian</v>
      </c>
      <c r="B82" s="197" t="str">
        <f>IFERROR(__xludf.DUMMYFUNCTION("""COMPUTED_VALUE"""),"Titan")</f>
        <v>Titan</v>
      </c>
      <c r="C82" s="197">
        <f t="shared" si="1"/>
        <v>2</v>
      </c>
      <c r="D82" s="20" t="s">
        <v>2238</v>
      </c>
      <c r="E82" s="20">
        <v>2.0</v>
      </c>
    </row>
    <row r="83">
      <c r="A83" s="196" t="str">
        <f>IFERROR(__xludf.DUMMYFUNCTION("""COMPUTED_VALUE"""),"of")</f>
        <v>of</v>
      </c>
      <c r="B83" s="197" t="str">
        <f>IFERROR(__xludf.DUMMYFUNCTION("""COMPUTED_VALUE"""),"Towering")</f>
        <v>Towering</v>
      </c>
      <c r="C83" s="197">
        <f t="shared" si="1"/>
        <v>1</v>
      </c>
      <c r="D83" s="20" t="s">
        <v>2239</v>
      </c>
      <c r="E83" s="20">
        <v>2.0</v>
      </c>
    </row>
    <row r="84">
      <c r="A84" s="196" t="str">
        <f>IFERROR(__xludf.DUMMYFUNCTION("""COMPUTED_VALUE"""),"the")</f>
        <v>the</v>
      </c>
      <c r="B84" s="197" t="str">
        <f>IFERROR(__xludf.DUMMYFUNCTION("""COMPUTED_VALUE"""),"Obelisk")</f>
        <v>Obelisk</v>
      </c>
      <c r="C84" s="197">
        <f t="shared" si="1"/>
        <v>2</v>
      </c>
      <c r="D84" s="20" t="s">
        <v>2240</v>
      </c>
      <c r="E84" s="20">
        <v>2.0</v>
      </c>
    </row>
    <row r="85">
      <c r="A85" s="196" t="str">
        <f>IFERROR(__xludf.DUMMYFUNCTION("""COMPUTED_VALUE"""),"Gates")</f>
        <v>Gates</v>
      </c>
      <c r="B85" s="197" t="str">
        <f>IFERROR(__xludf.DUMMYFUNCTION("""COMPUTED_VALUE"""),"Xi")</f>
        <v>Xi</v>
      </c>
      <c r="C85" s="197">
        <f t="shared" si="1"/>
        <v>1</v>
      </c>
      <c r="D85" s="20" t="s">
        <v>2241</v>
      </c>
      <c r="E85" s="20">
        <v>2.0</v>
      </c>
    </row>
    <row r="86">
      <c r="A86" s="196"/>
      <c r="B86" s="197" t="str">
        <f>IFERROR(__xludf.DUMMYFUNCTION("""COMPUTED_VALUE"""),"Pegasus")</f>
        <v>Pegasus</v>
      </c>
      <c r="C86" s="197">
        <f t="shared" si="1"/>
        <v>2</v>
      </c>
      <c r="D86" s="20" t="s">
        <v>2242</v>
      </c>
      <c r="E86" s="20">
        <v>2.0</v>
      </c>
    </row>
    <row r="87">
      <c r="A87" s="196" t="str">
        <f>IFERROR(__xludf.DUMMYFUNCTION("""COMPUTED_VALUE"""),"Guardian")</f>
        <v>Guardian</v>
      </c>
      <c r="B87" s="197" t="str">
        <f>IFERROR(__xludf.DUMMYFUNCTION("""COMPUTED_VALUE"""),"Winged")</f>
        <v>Winged</v>
      </c>
      <c r="C87" s="197">
        <f t="shared" si="1"/>
        <v>1</v>
      </c>
      <c r="D87" s="20" t="s">
        <v>2243</v>
      </c>
      <c r="E87" s="20">
        <v>2.0</v>
      </c>
    </row>
    <row r="88">
      <c r="A88" s="196" t="str">
        <f>IFERROR(__xludf.DUMMYFUNCTION("""COMPUTED_VALUE"""),"Angel")</f>
        <v>Angel</v>
      </c>
      <c r="B88" s="197" t="str">
        <f>IFERROR(__xludf.DUMMYFUNCTION("""COMPUTED_VALUE"""),"Ghostfire")</f>
        <v>Ghostfire</v>
      </c>
      <c r="C88" s="197">
        <f t="shared" si="1"/>
        <v>1</v>
      </c>
      <c r="D88" s="20" t="s">
        <v>2244</v>
      </c>
      <c r="E88" s="20">
        <v>2.0</v>
      </c>
    </row>
    <row r="89">
      <c r="A89" s="196"/>
      <c r="B89" s="197" t="str">
        <f>IFERROR(__xludf.DUMMYFUNCTION("""COMPUTED_VALUE"""),"Basilisk")</f>
        <v>Basilisk</v>
      </c>
      <c r="C89" s="197">
        <f t="shared" si="1"/>
        <v>2</v>
      </c>
      <c r="D89" s="20" t="s">
        <v>2245</v>
      </c>
      <c r="E89" s="20">
        <v>2.0</v>
      </c>
    </row>
    <row r="90">
      <c r="A90" s="196"/>
      <c r="B90" s="197" t="str">
        <f>IFERROR(__xludf.DUMMYFUNCTION("""COMPUTED_VALUE"""),"Yellow")</f>
        <v>Yellow</v>
      </c>
      <c r="C90" s="197">
        <f t="shared" si="1"/>
        <v>2</v>
      </c>
      <c r="D90" s="20" t="s">
        <v>2246</v>
      </c>
      <c r="E90" s="20">
        <v>2.0</v>
      </c>
    </row>
    <row r="91">
      <c r="A91" s="196"/>
      <c r="B91" s="197" t="str">
        <f>IFERROR(__xludf.DUMMYFUNCTION("""COMPUTED_VALUE"""),"Young")</f>
        <v>Young</v>
      </c>
      <c r="C91" s="197">
        <f t="shared" si="1"/>
        <v>2</v>
      </c>
      <c r="D91" s="20" t="s">
        <v>2247</v>
      </c>
      <c r="E91" s="20">
        <v>2.0</v>
      </c>
    </row>
    <row r="92">
      <c r="A92" s="196" t="str">
        <f>IFERROR(__xludf.DUMMYFUNCTION("""COMPUTED_VALUE"""),"Hallowed")</f>
        <v>Hallowed</v>
      </c>
      <c r="B92" s="197" t="str">
        <f>IFERROR(__xludf.DUMMYFUNCTION("""COMPUTED_VALUE"""),"Monk")</f>
        <v>Monk</v>
      </c>
      <c r="C92" s="197">
        <f t="shared" si="1"/>
        <v>1</v>
      </c>
      <c r="D92" s="20" t="s">
        <v>2248</v>
      </c>
      <c r="E92" s="20">
        <v>2.0</v>
      </c>
    </row>
    <row r="93">
      <c r="A93" s="196" t="str">
        <f>IFERROR(__xludf.DUMMYFUNCTION("""COMPUTED_VALUE"""),"Exorcist")</f>
        <v>Exorcist</v>
      </c>
      <c r="B93" s="197" t="str">
        <f>IFERROR(__xludf.DUMMYFUNCTION("""COMPUTED_VALUE"""),"Fancy")</f>
        <v>Fancy</v>
      </c>
      <c r="C93" s="197">
        <f t="shared" si="1"/>
        <v>1</v>
      </c>
      <c r="D93" s="20" t="s">
        <v>2249</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2250</v>
      </c>
      <c r="E95" s="20">
        <v>1.0</v>
      </c>
    </row>
    <row r="96">
      <c r="A96" s="196"/>
      <c r="B96" s="197" t="str">
        <f>IFERROR(__xludf.DUMMYFUNCTION("""COMPUTED_VALUE"""),"Type")</f>
        <v>Type</v>
      </c>
      <c r="C96" s="197">
        <f t="shared" si="1"/>
        <v>1</v>
      </c>
      <c r="D96" s="20" t="s">
        <v>2251</v>
      </c>
      <c r="E96" s="20">
        <v>1.0</v>
      </c>
    </row>
    <row r="97">
      <c r="A97" s="196" t="str">
        <f>IFERROR(__xludf.DUMMYFUNCTION("""COMPUTED_VALUE"""),"Harmonic")</f>
        <v>Harmonic</v>
      </c>
      <c r="B97" s="197" t="str">
        <f>IFERROR(__xludf.DUMMYFUNCTION("""COMPUTED_VALUE"""),"Golden")</f>
        <v>Golden</v>
      </c>
      <c r="C97" s="197">
        <f t="shared" si="1"/>
        <v>1</v>
      </c>
      <c r="D97" s="20" t="s">
        <v>2252</v>
      </c>
      <c r="E97" s="20">
        <v>1.0</v>
      </c>
    </row>
    <row r="98">
      <c r="A98" s="196" t="str">
        <f>IFERROR(__xludf.DUMMYFUNCTION("""COMPUTED_VALUE"""),"Echo")</f>
        <v>Echo</v>
      </c>
      <c r="B98" s="197" t="str">
        <f>IFERROR(__xludf.DUMMYFUNCTION("""COMPUTED_VALUE"""),"Phoenix")</f>
        <v>Phoenix</v>
      </c>
      <c r="C98" s="197">
        <f t="shared" si="1"/>
        <v>1</v>
      </c>
      <c r="D98" s="20" t="s">
        <v>2253</v>
      </c>
      <c r="E98" s="20">
        <v>1.0</v>
      </c>
    </row>
    <row r="99">
      <c r="A99" s="196"/>
      <c r="B99" s="197" t="str">
        <f>IFERROR(__xludf.DUMMYFUNCTION("""COMPUTED_VALUE"""),"Hailstorm")</f>
        <v>Hailstorm</v>
      </c>
      <c r="C99" s="197">
        <f t="shared" si="1"/>
        <v>1</v>
      </c>
      <c r="D99" s="20" t="s">
        <v>2254</v>
      </c>
      <c r="E99" s="20">
        <v>1.0</v>
      </c>
    </row>
    <row r="100">
      <c r="A100" s="196"/>
      <c r="B100" s="197" t="str">
        <f>IFERROR(__xludf.DUMMYFUNCTION("""COMPUTED_VALUE"""),"Seraph")</f>
        <v>Seraph</v>
      </c>
      <c r="C100" s="197">
        <f t="shared" si="1"/>
        <v>1</v>
      </c>
      <c r="D100" s="20" t="s">
        <v>2255</v>
      </c>
      <c r="E100" s="20">
        <v>1.0</v>
      </c>
    </row>
    <row r="101">
      <c r="A101" s="196"/>
      <c r="B101" s="197" t="str">
        <f>IFERROR(__xludf.DUMMYFUNCTION("""COMPUTED_VALUE"""),"Scittering")</f>
        <v>Scittering</v>
      </c>
      <c r="C101" s="197">
        <f t="shared" si="1"/>
        <v>1</v>
      </c>
      <c r="D101" s="20" t="s">
        <v>2256</v>
      </c>
      <c r="E101" s="20">
        <v>1.0</v>
      </c>
    </row>
    <row r="102">
      <c r="A102" s="196" t="str">
        <f>IFERROR(__xludf.DUMMYFUNCTION("""COMPUTED_VALUE"""),"Ibis")</f>
        <v>Ibis</v>
      </c>
      <c r="B102" s="197" t="str">
        <f>IFERROR(__xludf.DUMMYFUNCTION("""COMPUTED_VALUE"""),"Scorpion")</f>
        <v>Scorpion</v>
      </c>
      <c r="C102" s="197">
        <f t="shared" si="1"/>
        <v>2</v>
      </c>
      <c r="D102" s="20" t="s">
        <v>2257</v>
      </c>
      <c r="E102" s="20">
        <v>1.0</v>
      </c>
    </row>
    <row r="103">
      <c r="A103" s="196" t="str">
        <f>IFERROR(__xludf.DUMMYFUNCTION("""COMPUTED_VALUE"""),"Ushabti")</f>
        <v>Ushabti</v>
      </c>
      <c r="B103" s="197" t="str">
        <f>IFERROR(__xludf.DUMMYFUNCTION("""COMPUTED_VALUE"""),"Wrath")</f>
        <v>Wrath</v>
      </c>
      <c r="C103" s="197">
        <f t="shared" si="1"/>
        <v>1</v>
      </c>
      <c r="D103" s="20" t="s">
        <v>2258</v>
      </c>
      <c r="E103" s="20">
        <v>1.0</v>
      </c>
    </row>
    <row r="104">
      <c r="A104" s="196"/>
      <c r="B104" s="197" t="str">
        <f>IFERROR(__xludf.DUMMYFUNCTION("""COMPUTED_VALUE"""),"Pharaoh")</f>
        <v>Pharaoh</v>
      </c>
      <c r="C104" s="197">
        <f t="shared" si="1"/>
        <v>1</v>
      </c>
      <c r="D104" s="20" t="s">
        <v>2259</v>
      </c>
      <c r="E104" s="20">
        <v>1.0</v>
      </c>
    </row>
    <row r="105">
      <c r="A105" s="196"/>
      <c r="B105" s="197" t="str">
        <f>IFERROR(__xludf.DUMMYFUNCTION("""COMPUTED_VALUE"""),"Bringer")</f>
        <v>Bringer</v>
      </c>
      <c r="C105" s="197">
        <f t="shared" si="1"/>
        <v>3</v>
      </c>
      <c r="D105" s="20" t="s">
        <v>2260</v>
      </c>
      <c r="E105" s="20">
        <v>1.0</v>
      </c>
    </row>
    <row r="106">
      <c r="A106" s="196"/>
      <c r="B106" s="197" t="str">
        <f>IFERROR(__xludf.DUMMYFUNCTION("""COMPUTED_VALUE"""),"Good")</f>
        <v>Good</v>
      </c>
      <c r="C106" s="197">
        <f t="shared" si="1"/>
        <v>1</v>
      </c>
      <c r="D106" s="20" t="s">
        <v>2261</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2262</v>
      </c>
      <c r="E108" s="20">
        <v>1.0</v>
      </c>
    </row>
    <row r="109">
      <c r="A109" s="196" t="str">
        <f>IFERROR(__xludf.DUMMYFUNCTION("""COMPUTED_VALUE"""),"Eternal")</f>
        <v>Eternal</v>
      </c>
      <c r="B109" s="197" t="str">
        <f>IFERROR(__xludf.DUMMYFUNCTION("""COMPUTED_VALUE"""),"Rider")</f>
        <v>Rider</v>
      </c>
      <c r="C109" s="197">
        <f t="shared" si="1"/>
        <v>2</v>
      </c>
      <c r="D109" s="20" t="s">
        <v>2263</v>
      </c>
      <c r="E109" s="20">
        <v>1.0</v>
      </c>
    </row>
    <row r="110">
      <c r="A110" s="196" t="str">
        <f>IFERROR(__xludf.DUMMYFUNCTION("""COMPUTED_VALUE"""),"Grace")</f>
        <v>Grace</v>
      </c>
      <c r="B110" s="197" t="str">
        <f>IFERROR(__xludf.DUMMYFUNCTION("""COMPUTED_VALUE"""),"Desertwind")</f>
        <v>Desertwind</v>
      </c>
      <c r="C110" s="197">
        <f t="shared" si="1"/>
        <v>1</v>
      </c>
      <c r="D110" s="20" t="s">
        <v>2264</v>
      </c>
      <c r="E110" s="20">
        <v>1.0</v>
      </c>
    </row>
    <row r="111">
      <c r="A111" s="196"/>
      <c r="B111" s="197" t="str">
        <f>IFERROR(__xludf.DUMMYFUNCTION("""COMPUTED_VALUE"""),"Relic")</f>
        <v>Relic</v>
      </c>
      <c r="C111" s="197">
        <f t="shared" si="1"/>
        <v>1</v>
      </c>
      <c r="D111" s="20" t="s">
        <v>2265</v>
      </c>
      <c r="E111" s="20">
        <v>1.0</v>
      </c>
    </row>
    <row r="112">
      <c r="A112" s="196" t="str">
        <f>IFERROR(__xludf.DUMMYFUNCTION("""COMPUTED_VALUE"""),"Maze")</f>
        <v>Maze</v>
      </c>
      <c r="B112" s="197" t="str">
        <f>IFERROR(__xludf.DUMMYFUNCTION("""COMPUTED_VALUE"""),"Hunter")</f>
        <v>Hunter</v>
      </c>
      <c r="C112" s="197">
        <f t="shared" si="1"/>
        <v>1</v>
      </c>
      <c r="D112" s="20" t="s">
        <v>2266</v>
      </c>
      <c r="E112" s="20">
        <v>1.0</v>
      </c>
    </row>
    <row r="113">
      <c r="A113" s="196" t="str">
        <f>IFERROR(__xludf.DUMMYFUNCTION("""COMPUTED_VALUE"""),"Master")</f>
        <v>Master</v>
      </c>
      <c r="B113" s="197" t="str">
        <f>IFERROR(__xludf.DUMMYFUNCTION("""COMPUTED_VALUE"""),"Exemplar")</f>
        <v>Exemplar</v>
      </c>
      <c r="C113" s="197">
        <f t="shared" si="1"/>
        <v>1</v>
      </c>
      <c r="D113" s="20" t="s">
        <v>2267</v>
      </c>
      <c r="E113" s="20">
        <v>1.0</v>
      </c>
    </row>
    <row r="114">
      <c r="A114" s="196" t="str">
        <f>IFERROR(__xludf.DUMMYFUNCTION("""COMPUTED_VALUE"""),"Sphinx")</f>
        <v>Sphinx</v>
      </c>
      <c r="B114" s="197" t="str">
        <f>IFERROR(__xludf.DUMMYFUNCTION("""COMPUTED_VALUE"""),"Lunar")</f>
        <v>Lunar</v>
      </c>
      <c r="C114" s="197">
        <f t="shared" si="1"/>
        <v>1</v>
      </c>
      <c r="D114" s="20" t="s">
        <v>2268</v>
      </c>
      <c r="E114" s="20">
        <v>1.0</v>
      </c>
    </row>
    <row r="115">
      <c r="A115" s="196"/>
      <c r="B115" s="197" t="str">
        <f>IFERROR(__xludf.DUMMYFUNCTION("""COMPUTED_VALUE"""),"Gleam")</f>
        <v>Gleam</v>
      </c>
      <c r="C115" s="197">
        <f t="shared" si="1"/>
        <v>1</v>
      </c>
      <c r="D115" s="20" t="s">
        <v>2269</v>
      </c>
      <c r="E115" s="20">
        <v>1.0</v>
      </c>
    </row>
    <row r="116">
      <c r="A116" s="196"/>
      <c r="B116" s="197" t="str">
        <f>IFERROR(__xludf.DUMMYFUNCTION("""COMPUTED_VALUE"""),"Grenade")</f>
        <v>Grenade</v>
      </c>
      <c r="C116" s="197">
        <f t="shared" si="1"/>
        <v>1</v>
      </c>
      <c r="D116" s="20" t="s">
        <v>2270</v>
      </c>
      <c r="E116" s="20">
        <v>1.0</v>
      </c>
    </row>
    <row r="117">
      <c r="A117" s="196" t="str">
        <f>IFERROR(__xludf.DUMMYFUNCTION("""COMPUTED_VALUE"""),"Ivoryscar")</f>
        <v>Ivoryscar</v>
      </c>
      <c r="B117" s="197" t="str">
        <f>IFERROR(__xludf.DUMMYFUNCTION("""COMPUTED_VALUE"""),"Apple")</f>
        <v>Apple</v>
      </c>
      <c r="C117" s="197">
        <f t="shared" si="1"/>
        <v>1</v>
      </c>
      <c r="D117" s="20" t="s">
        <v>2271</v>
      </c>
      <c r="E117" s="20">
        <v>1.0</v>
      </c>
    </row>
    <row r="118">
      <c r="A118" s="196" t="str">
        <f>IFERROR(__xludf.DUMMYFUNCTION("""COMPUTED_VALUE"""),"Cursewing")</f>
        <v>Cursewing</v>
      </c>
      <c r="B118" s="197" t="str">
        <f>IFERROR(__xludf.DUMMYFUNCTION("""COMPUTED_VALUE"""),"Dragon")</f>
        <v>Dragon</v>
      </c>
      <c r="C118" s="197">
        <f t="shared" si="1"/>
        <v>7</v>
      </c>
      <c r="D118" s="20" t="s">
        <v>2272</v>
      </c>
      <c r="E118" s="20">
        <v>1.0</v>
      </c>
    </row>
    <row r="119">
      <c r="A119" s="196"/>
      <c r="B119" s="197" t="str">
        <f>IFERROR(__xludf.DUMMYFUNCTION("""COMPUTED_VALUE"""),"#3")</f>
        <v>#3</v>
      </c>
      <c r="C119" s="197">
        <f t="shared" si="1"/>
        <v>1</v>
      </c>
      <c r="D119" s="20" t="s">
        <v>2273</v>
      </c>
      <c r="E119" s="20">
        <v>1.0</v>
      </c>
    </row>
    <row r="120">
      <c r="A120" s="196"/>
      <c r="B120" s="197" t="str">
        <f>IFERROR(__xludf.DUMMYFUNCTION("""COMPUTED_VALUE"""),"Embalmer")</f>
        <v>Embalmer</v>
      </c>
      <c r="C120" s="197">
        <f t="shared" si="1"/>
        <v>1</v>
      </c>
      <c r="D120" s="20" t="s">
        <v>2274</v>
      </c>
      <c r="E120" s="20">
        <v>1.0</v>
      </c>
    </row>
    <row r="121">
      <c r="A121" s="196"/>
      <c r="B121" s="197" t="str">
        <f>IFERROR(__xludf.DUMMYFUNCTION("""COMPUTED_VALUE"""),"Carver")</f>
        <v>Carver</v>
      </c>
      <c r="C121" s="197">
        <f t="shared" si="1"/>
        <v>2</v>
      </c>
      <c r="D121" s="20" t="s">
        <v>2275</v>
      </c>
      <c r="E121" s="20">
        <v>1.0</v>
      </c>
    </row>
    <row r="122">
      <c r="A122" s="196" t="str">
        <f>IFERROR(__xludf.DUMMYFUNCTION("""COMPUTED_VALUE"""),"Ivoryscar")</f>
        <v>Ivoryscar</v>
      </c>
      <c r="B122" s="197" t="str">
        <f>IFERROR(__xludf.DUMMYFUNCTION("""COMPUTED_VALUE"""),"Shattercrown")</f>
        <v>Shattercrown</v>
      </c>
      <c r="C122" s="197">
        <f t="shared" si="1"/>
        <v>1</v>
      </c>
      <c r="D122" s="20" t="s">
        <v>2276</v>
      </c>
      <c r="E122" s="20">
        <v>1.0</v>
      </c>
    </row>
    <row r="123">
      <c r="A123" s="196" t="str">
        <f>IFERROR(__xludf.DUMMYFUNCTION("""COMPUTED_VALUE"""),"Magistrate")</f>
        <v>Magistrate</v>
      </c>
      <c r="B123" s="197" t="str">
        <f>IFERROR(__xludf.DUMMYFUNCTION("""COMPUTED_VALUE"""),"Luminary")</f>
        <v>Luminary</v>
      </c>
      <c r="C123" s="197">
        <f t="shared" si="1"/>
        <v>1</v>
      </c>
      <c r="D123" s="20" t="s">
        <v>2277</v>
      </c>
      <c r="E123" s="20">
        <v>1.0</v>
      </c>
    </row>
    <row r="124">
      <c r="A124" s="196"/>
      <c r="B124" s="197" t="str">
        <f>IFERROR(__xludf.DUMMYFUNCTION("""COMPUTED_VALUE"""),"Shepard")</f>
        <v>Shepard</v>
      </c>
      <c r="C124" s="197">
        <f t="shared" si="1"/>
        <v>1</v>
      </c>
      <c r="D124" s="20" t="s">
        <v>2278</v>
      </c>
      <c r="E124" s="20">
        <v>1.0</v>
      </c>
    </row>
    <row r="125">
      <c r="A125" s="196"/>
      <c r="B125" s="197" t="str">
        <f>IFERROR(__xludf.DUMMYFUNCTION("""COMPUTED_VALUE"""),"Morning")</f>
        <v>Morning</v>
      </c>
      <c r="C125" s="197">
        <f t="shared" si="1"/>
        <v>1</v>
      </c>
      <c r="D125" s="20" t="s">
        <v>2279</v>
      </c>
      <c r="E125" s="20">
        <v>1.0</v>
      </c>
    </row>
    <row r="126">
      <c r="A126" s="196"/>
      <c r="B126" s="197" t="str">
        <f>IFERROR(__xludf.DUMMYFUNCTION("""COMPUTED_VALUE"""),"Dew")</f>
        <v>Dew</v>
      </c>
      <c r="C126" s="197">
        <f t="shared" si="1"/>
        <v>1</v>
      </c>
      <c r="D126" s="20" t="s">
        <v>2280</v>
      </c>
      <c r="E126" s="20">
        <v>1.0</v>
      </c>
    </row>
    <row r="127">
      <c r="A127" s="196" t="str">
        <f>IFERROR(__xludf.DUMMYFUNCTION("""COMPUTED_VALUE"""),"Kylix")</f>
        <v>Kylix</v>
      </c>
      <c r="B127" s="197" t="str">
        <f>IFERROR(__xludf.DUMMYFUNCTION("""COMPUTED_VALUE"""),"Arboreal")</f>
        <v>Arboreal</v>
      </c>
      <c r="C127" s="197">
        <f t="shared" si="1"/>
        <v>1</v>
      </c>
      <c r="D127" s="20" t="s">
        <v>2281</v>
      </c>
      <c r="E127" s="20">
        <v>1.0</v>
      </c>
    </row>
    <row r="128">
      <c r="A128" s="196" t="str">
        <f>IFERROR(__xludf.DUMMYFUNCTION("""COMPUTED_VALUE"""),"of")</f>
        <v>of</v>
      </c>
      <c r="B128" s="197" t="str">
        <f>IFERROR(__xludf.DUMMYFUNCTION("""COMPUTED_VALUE"""),"Messenger")</f>
        <v>Messenger</v>
      </c>
      <c r="C128" s="197">
        <f t="shared" si="1"/>
        <v>1</v>
      </c>
      <c r="D128" s="20" t="s">
        <v>2282</v>
      </c>
      <c r="E128" s="20">
        <v>1.0</v>
      </c>
    </row>
    <row r="129">
      <c r="A129" s="196" t="str">
        <f>IFERROR(__xludf.DUMMYFUNCTION("""COMPUTED_VALUE"""),"Excess")</f>
        <v>Excess</v>
      </c>
      <c r="B129" s="197" t="str">
        <f>IFERROR(__xludf.DUMMYFUNCTION("""COMPUTED_VALUE"""),"Auric")</f>
        <v>Auric</v>
      </c>
      <c r="C129" s="197">
        <f t="shared" si="1"/>
        <v>1</v>
      </c>
      <c r="D129" s="20" t="s">
        <v>2283</v>
      </c>
      <c r="E129" s="20">
        <v>1.0</v>
      </c>
    </row>
    <row r="130">
      <c r="A130" s="196"/>
      <c r="B130" s="197" t="str">
        <f>IFERROR(__xludf.DUMMYFUNCTION("""COMPUTED_VALUE"""),"Ant")</f>
        <v>Ant</v>
      </c>
      <c r="C130" s="197">
        <f t="shared" si="1"/>
        <v>2</v>
      </c>
      <c r="D130" s="20" t="s">
        <v>2284</v>
      </c>
      <c r="E130" s="20">
        <v>1.0</v>
      </c>
    </row>
    <row r="131">
      <c r="A131" s="196"/>
      <c r="B131" s="197" t="str">
        <f>IFERROR(__xludf.DUMMYFUNCTION("""COMPUTED_VALUE"""),"Regent")</f>
        <v>Regent</v>
      </c>
      <c r="C131" s="197">
        <f t="shared" si="1"/>
        <v>1</v>
      </c>
      <c r="D131" s="20" t="s">
        <v>2285</v>
      </c>
      <c r="E131" s="20">
        <v>1.0</v>
      </c>
    </row>
    <row r="132">
      <c r="A132" s="196" t="str">
        <f>IFERROR(__xludf.DUMMYFUNCTION("""COMPUTED_VALUE"""),"Mystic")</f>
        <v>Mystic</v>
      </c>
      <c r="B132" s="197" t="str">
        <f>IFERROR(__xludf.DUMMYFUNCTION("""COMPUTED_VALUE"""),"Blessing")</f>
        <v>Blessing</v>
      </c>
      <c r="C132" s="197">
        <f t="shared" si="1"/>
        <v>1</v>
      </c>
      <c r="D132" s="20" t="s">
        <v>2286</v>
      </c>
      <c r="E132" s="20">
        <v>1.0</v>
      </c>
    </row>
    <row r="133">
      <c r="A133" s="196" t="str">
        <f>IFERROR(__xludf.DUMMYFUNCTION("""COMPUTED_VALUE"""),"Puzzle")</f>
        <v>Puzzle</v>
      </c>
      <c r="B133" s="197" t="str">
        <f>IFERROR(__xludf.DUMMYFUNCTION("""COMPUTED_VALUE"""),"Bestower")</f>
        <v>Bestower</v>
      </c>
      <c r="C133" s="197">
        <f t="shared" si="1"/>
        <v>1</v>
      </c>
      <c r="D133" s="20" t="s">
        <v>2287</v>
      </c>
      <c r="E133" s="20">
        <v>1.0</v>
      </c>
    </row>
    <row r="134">
      <c r="A134" s="196" t="str">
        <f>IFERROR(__xludf.DUMMYFUNCTION("""COMPUTED_VALUE"""),"Box")</f>
        <v>Box</v>
      </c>
      <c r="B134" s="197" t="str">
        <f>IFERROR(__xludf.DUMMYFUNCTION("""COMPUTED_VALUE"""),"Waypost")</f>
        <v>Waypost</v>
      </c>
      <c r="C134" s="197">
        <f t="shared" si="1"/>
        <v>1</v>
      </c>
      <c r="D134" s="20" t="s">
        <v>2288</v>
      </c>
      <c r="E134" s="20">
        <v>1.0</v>
      </c>
    </row>
    <row r="135">
      <c r="A135" s="196"/>
      <c r="B135" s="197" t="str">
        <f>IFERROR(__xludf.DUMMYFUNCTION("""COMPUTED_VALUE"""),"Crimson")</f>
        <v>Crimson</v>
      </c>
      <c r="C135" s="197">
        <f t="shared" si="1"/>
        <v>1</v>
      </c>
      <c r="D135" s="20" t="s">
        <v>2289</v>
      </c>
      <c r="E135" s="20">
        <v>1.0</v>
      </c>
    </row>
    <row r="136">
      <c r="A136" s="196"/>
      <c r="B136" s="197" t="str">
        <f>IFERROR(__xludf.DUMMYFUNCTION("""COMPUTED_VALUE"""),"Flamechick")</f>
        <v>Flamechick</v>
      </c>
      <c r="C136" s="197">
        <f t="shared" si="1"/>
        <v>1</v>
      </c>
      <c r="D136" s="20" t="s">
        <v>2290</v>
      </c>
      <c r="E136" s="20">
        <v>1.0</v>
      </c>
    </row>
    <row r="137">
      <c r="A137" s="196" t="str">
        <f>IFERROR(__xludf.DUMMYFUNCTION("""COMPUTED_VALUE"""),"Monolith")</f>
        <v>Monolith</v>
      </c>
      <c r="B137" s="197" t="str">
        <f>IFERROR(__xludf.DUMMYFUNCTION("""COMPUTED_VALUE"""),"Ascended")</f>
        <v>Ascended</v>
      </c>
      <c r="C137" s="197">
        <f t="shared" si="1"/>
        <v>1</v>
      </c>
      <c r="D137" s="20" t="s">
        <v>2291</v>
      </c>
      <c r="E137" s="20">
        <v>1.0</v>
      </c>
    </row>
    <row r="138">
      <c r="A138" s="196" t="str">
        <f>IFERROR(__xludf.DUMMYFUNCTION("""COMPUTED_VALUE"""),"of")</f>
        <v>of</v>
      </c>
      <c r="B138" s="197" t="str">
        <f>IFERROR(__xludf.DUMMYFUNCTION("""COMPUTED_VALUE"""),"One")</f>
        <v>One</v>
      </c>
      <c r="C138" s="197">
        <f t="shared" si="1"/>
        <v>2</v>
      </c>
      <c r="D138" s="20" t="s">
        <v>2292</v>
      </c>
      <c r="E138" s="20">
        <v>1.0</v>
      </c>
    </row>
    <row r="139">
      <c r="A139" s="196" t="str">
        <f>IFERROR(__xludf.DUMMYFUNCTION("""COMPUTED_VALUE"""),"Meditation")</f>
        <v>Meditation</v>
      </c>
      <c r="B139" s="197" t="str">
        <f>IFERROR(__xludf.DUMMYFUNCTION("""COMPUTED_VALUE"""),"Rubyskull")</f>
        <v>Rubyskull</v>
      </c>
      <c r="C139" s="197">
        <f t="shared" si="1"/>
        <v>1</v>
      </c>
      <c r="D139" s="20" t="s">
        <v>2293</v>
      </c>
      <c r="E139" s="20">
        <v>1.0</v>
      </c>
    </row>
    <row r="140">
      <c r="A140" s="196"/>
      <c r="B140" s="197" t="str">
        <f>IFERROR(__xludf.DUMMYFUNCTION("""COMPUTED_VALUE"""),"Blackwing")</f>
        <v>Blackwing</v>
      </c>
      <c r="C140" s="197">
        <f t="shared" si="1"/>
        <v>1</v>
      </c>
      <c r="D140" s="20" t="s">
        <v>2294</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2295</v>
      </c>
      <c r="E142" s="20">
        <v>1.0</v>
      </c>
    </row>
    <row r="143">
      <c r="A143" s="196" t="str">
        <f>IFERROR(__xludf.DUMMYFUNCTION("""COMPUTED_VALUE"""),"Sprite")</f>
        <v>Sprite</v>
      </c>
      <c r="B143" s="197" t="str">
        <f>IFERROR(__xludf.DUMMYFUNCTION("""COMPUTED_VALUE"""),"Second")</f>
        <v>Second</v>
      </c>
      <c r="C143" s="197">
        <f t="shared" si="1"/>
        <v>1</v>
      </c>
      <c r="D143" s="20" t="s">
        <v>2296</v>
      </c>
      <c r="E143" s="20">
        <v>1.0</v>
      </c>
    </row>
    <row r="144">
      <c r="A144" s="196"/>
      <c r="B144" s="197" t="str">
        <f>IFERROR(__xludf.DUMMYFUNCTION("""COMPUTED_VALUE"""),"Wing")</f>
        <v>Wing</v>
      </c>
      <c r="C144" s="197">
        <f t="shared" si="1"/>
        <v>1</v>
      </c>
      <c r="D144" s="20" t="s">
        <v>2297</v>
      </c>
      <c r="E144" s="20">
        <v>1.0</v>
      </c>
    </row>
    <row r="145">
      <c r="A145" s="196"/>
      <c r="B145" s="197" t="str">
        <f>IFERROR(__xludf.DUMMYFUNCTION("""COMPUTED_VALUE"""),"Fatebreaker")</f>
        <v>Fatebreaker</v>
      </c>
      <c r="C145" s="197">
        <f t="shared" si="1"/>
        <v>1</v>
      </c>
      <c r="D145" s="20" t="s">
        <v>2298</v>
      </c>
      <c r="E145" s="20">
        <v>1.0</v>
      </c>
    </row>
    <row r="146">
      <c r="A146" s="196"/>
      <c r="B146" s="197" t="str">
        <f>IFERROR(__xludf.DUMMYFUNCTION("""COMPUTED_VALUE"""),"Moon")</f>
        <v>Moon</v>
      </c>
      <c r="C146" s="197">
        <f t="shared" si="1"/>
        <v>2</v>
      </c>
      <c r="D146" s="20" t="s">
        <v>2299</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2300</v>
      </c>
      <c r="E148" s="20">
        <v>1.0</v>
      </c>
    </row>
    <row r="149">
      <c r="A149" s="196"/>
      <c r="B149" s="197" t="str">
        <f>IFERROR(__xludf.DUMMYFUNCTION("""COMPUTED_VALUE"""),"Sifu")</f>
        <v>Sifu</v>
      </c>
      <c r="C149" s="197">
        <f t="shared" si="1"/>
        <v>1</v>
      </c>
      <c r="D149" s="20" t="s">
        <v>2301</v>
      </c>
      <c r="E149" s="20">
        <v>1.0</v>
      </c>
    </row>
    <row r="150">
      <c r="A150" s="196"/>
      <c r="B150" s="197" t="str">
        <f>IFERROR(__xludf.DUMMYFUNCTION("""COMPUTED_VALUE"""),"Moonspear")</f>
        <v>Moonspear</v>
      </c>
      <c r="C150" s="197">
        <f t="shared" si="1"/>
        <v>4</v>
      </c>
      <c r="D150" s="20" t="s">
        <v>2302</v>
      </c>
      <c r="E150" s="20">
        <v>1.0</v>
      </c>
    </row>
    <row r="151">
      <c r="A151" s="196"/>
      <c r="B151" s="197" t="str">
        <f>IFERROR(__xludf.DUMMYFUNCTION("""COMPUTED_VALUE"""),"Paladin")</f>
        <v>Paladin</v>
      </c>
      <c r="C151" s="197">
        <f t="shared" si="1"/>
        <v>1</v>
      </c>
      <c r="D151" s="20" t="s">
        <v>2303</v>
      </c>
      <c r="E151" s="20">
        <v>1.0</v>
      </c>
    </row>
    <row r="152">
      <c r="A152" s="196" t="str">
        <f>IFERROR(__xludf.DUMMYFUNCTION("""COMPUTED_VALUE"""),"Scripture")</f>
        <v>Scripture</v>
      </c>
      <c r="B152" s="197" t="str">
        <f>IFERROR(__xludf.DUMMYFUNCTION("""COMPUTED_VALUE"""),"Arcanum")</f>
        <v>Arcanum</v>
      </c>
      <c r="C152" s="197">
        <f t="shared" si="1"/>
        <v>1</v>
      </c>
      <c r="D152" s="20" t="s">
        <v>2304</v>
      </c>
      <c r="E152" s="20">
        <v>1.0</v>
      </c>
    </row>
    <row r="153">
      <c r="A153" s="196" t="str">
        <f>IFERROR(__xludf.DUMMYFUNCTION("""COMPUTED_VALUE"""),"Monkey")</f>
        <v>Monkey</v>
      </c>
      <c r="B153" s="197" t="str">
        <f>IFERROR(__xludf.DUMMYFUNCTION("""COMPUTED_VALUE"""),"Grandmaster")</f>
        <v>Grandmaster</v>
      </c>
      <c r="C153" s="197">
        <f t="shared" si="1"/>
        <v>1</v>
      </c>
      <c r="D153" s="20" t="s">
        <v>2305</v>
      </c>
      <c r="E153" s="20">
        <v>1.0</v>
      </c>
    </row>
    <row r="154">
      <c r="A154" s="196"/>
      <c r="B154" s="197" t="str">
        <f>IFERROR(__xludf.DUMMYFUNCTION("""COMPUTED_VALUE"""),"Auraborne")</f>
        <v>Auraborne</v>
      </c>
      <c r="C154" s="197">
        <f t="shared" si="1"/>
        <v>1</v>
      </c>
      <c r="D154" s="20" t="s">
        <v>2306</v>
      </c>
      <c r="E154" s="20">
        <v>1.0</v>
      </c>
    </row>
    <row r="155">
      <c r="A155" s="196"/>
      <c r="B155" s="197" t="str">
        <f>IFERROR(__xludf.DUMMYFUNCTION("""COMPUTED_VALUE"""),"Wyvern")</f>
        <v>Wyvern</v>
      </c>
      <c r="C155" s="197">
        <f t="shared" si="1"/>
        <v>3</v>
      </c>
      <c r="D155" s="20" t="s">
        <v>2307</v>
      </c>
      <c r="E155" s="20">
        <v>1.0</v>
      </c>
    </row>
    <row r="156">
      <c r="A156" s="196"/>
      <c r="B156" s="197" t="str">
        <f>IFERROR(__xludf.DUMMYFUNCTION("""COMPUTED_VALUE"""),"Blazecharm")</f>
        <v>Blazecharm</v>
      </c>
      <c r="C156" s="197">
        <f t="shared" si="1"/>
        <v>1</v>
      </c>
      <c r="D156" s="20" t="s">
        <v>2308</v>
      </c>
      <c r="E156" s="20">
        <v>1.0</v>
      </c>
    </row>
    <row r="157">
      <c r="A157" s="196" t="str">
        <f>IFERROR(__xludf.DUMMYFUNCTION("""COMPUTED_VALUE"""),"Pyramidion")</f>
        <v>Pyramidion</v>
      </c>
      <c r="B157" s="197" t="str">
        <f>IFERROR(__xludf.DUMMYFUNCTION("""COMPUTED_VALUE"""),"Kitsune")</f>
        <v>Kitsune</v>
      </c>
      <c r="C157" s="197">
        <f t="shared" si="1"/>
        <v>1</v>
      </c>
      <c r="D157" s="20" t="s">
        <v>2309</v>
      </c>
      <c r="E157" s="20">
        <v>1.0</v>
      </c>
    </row>
    <row r="158">
      <c r="A158" s="196"/>
      <c r="B158" s="197" t="str">
        <f>IFERROR(__xludf.DUMMYFUNCTION("""COMPUTED_VALUE"""),"Glowing")</f>
        <v>Glowing</v>
      </c>
      <c r="C158" s="197">
        <f t="shared" si="1"/>
        <v>1</v>
      </c>
      <c r="D158" s="20" t="s">
        <v>2310</v>
      </c>
      <c r="E158" s="20">
        <v>1.0</v>
      </c>
    </row>
    <row r="159">
      <c r="A159" s="196"/>
      <c r="B159" s="197" t="str">
        <f>IFERROR(__xludf.DUMMYFUNCTION("""COMPUTED_VALUE"""),"Gearhulk")</f>
        <v>Gearhulk</v>
      </c>
      <c r="C159" s="197">
        <f t="shared" si="1"/>
        <v>1</v>
      </c>
      <c r="D159" s="20" t="s">
        <v>2311</v>
      </c>
      <c r="E159" s="20">
        <v>1.0</v>
      </c>
    </row>
    <row r="160">
      <c r="A160" s="196"/>
      <c r="B160" s="197" t="str">
        <f>IFERROR(__xludf.DUMMYFUNCTION("""COMPUTED_VALUE"""),"Boiling")</f>
        <v>Boiling</v>
      </c>
      <c r="C160" s="197">
        <f t="shared" si="1"/>
        <v>1</v>
      </c>
      <c r="D160" s="20" t="s">
        <v>2312</v>
      </c>
      <c r="E160" s="20">
        <v>1.0</v>
      </c>
    </row>
    <row r="161">
      <c r="A161" s="196"/>
      <c r="B161" s="197" t="str">
        <f>IFERROR(__xludf.DUMMYFUNCTION("""COMPUTED_VALUE"""),"Blood")</f>
        <v>Blood</v>
      </c>
      <c r="C161" s="197">
        <f t="shared" si="1"/>
        <v>2</v>
      </c>
      <c r="D161" s="20" t="s">
        <v>2313</v>
      </c>
      <c r="E161" s="20">
        <v>1.0</v>
      </c>
    </row>
    <row r="162">
      <c r="A162" s="196" t="str">
        <f>IFERROR(__xludf.DUMMYFUNCTION("""COMPUTED_VALUE"""),"Sekhem")</f>
        <v>Sekhem</v>
      </c>
      <c r="B162" s="197" t="str">
        <f>IFERROR(__xludf.DUMMYFUNCTION("""COMPUTED_VALUE"""),"Berserker")</f>
        <v>Berserker</v>
      </c>
      <c r="C162" s="197">
        <f t="shared" si="1"/>
        <v>1</v>
      </c>
      <c r="D162" s="20" t="s">
        <v>2314</v>
      </c>
      <c r="E162" s="20">
        <v>1.0</v>
      </c>
    </row>
    <row r="163">
      <c r="A163" s="196" t="str">
        <f>IFERROR(__xludf.DUMMYFUNCTION("""COMPUTED_VALUE"""),"Chariot")</f>
        <v>Chariot</v>
      </c>
      <c r="B163" s="197" t="str">
        <f>IFERROR(__xludf.DUMMYFUNCTION("""COMPUTED_VALUE"""),"Goat")</f>
        <v>Goat</v>
      </c>
      <c r="C163" s="197">
        <f t="shared" si="1"/>
        <v>1</v>
      </c>
      <c r="D163" s="20" t="s">
        <v>2315</v>
      </c>
      <c r="E163" s="20">
        <v>1.0</v>
      </c>
    </row>
    <row r="164">
      <c r="A164" s="196"/>
      <c r="B164" s="197" t="str">
        <f>IFERROR(__xludf.DUMMYFUNCTION("""COMPUTED_VALUE"""),"Oracle")</f>
        <v>Oracle</v>
      </c>
      <c r="C164" s="197">
        <f t="shared" si="1"/>
        <v>2</v>
      </c>
      <c r="D164" s="20" t="s">
        <v>2316</v>
      </c>
      <c r="E164" s="20">
        <v>1.0</v>
      </c>
    </row>
    <row r="165">
      <c r="A165" s="196"/>
      <c r="B165" s="197" t="str">
        <f>IFERROR(__xludf.DUMMYFUNCTION("""COMPUTED_VALUE"""),"Sagehorn")</f>
        <v>Sagehorn</v>
      </c>
      <c r="C165" s="197">
        <f t="shared" si="1"/>
        <v>1</v>
      </c>
      <c r="D165" s="20" t="s">
        <v>2317</v>
      </c>
      <c r="E165" s="20">
        <v>1.0</v>
      </c>
    </row>
    <row r="166">
      <c r="A166" s="196"/>
      <c r="B166" s="197" t="str">
        <f>IFERROR(__xludf.DUMMYFUNCTION("""COMPUTED_VALUE"""),"Sunblessed")</f>
        <v>Sunblessed</v>
      </c>
      <c r="C166" s="197">
        <f t="shared" si="1"/>
        <v>1</v>
      </c>
      <c r="D166" s="20" t="s">
        <v>2318</v>
      </c>
      <c r="E166" s="20">
        <v>1.0</v>
      </c>
    </row>
    <row r="167">
      <c r="A167" s="196" t="str">
        <f>IFERROR(__xludf.DUMMYFUNCTION("""COMPUTED_VALUE"""),"Obsidian")</f>
        <v>Obsidian</v>
      </c>
      <c r="B167" s="197" t="str">
        <f>IFERROR(__xludf.DUMMYFUNCTION("""COMPUTED_VALUE"""),"Crocodile")</f>
        <v>Crocodile</v>
      </c>
      <c r="C167" s="197">
        <f t="shared" si="1"/>
        <v>1</v>
      </c>
      <c r="D167" s="20" t="s">
        <v>2319</v>
      </c>
      <c r="E167" s="20">
        <v>1.0</v>
      </c>
    </row>
    <row r="168">
      <c r="A168" s="196" t="str">
        <f>IFERROR(__xludf.DUMMYFUNCTION("""COMPUTED_VALUE"""),"Scarab")</f>
        <v>Scarab</v>
      </c>
      <c r="B168" s="197" t="str">
        <f>IFERROR(__xludf.DUMMYFUNCTION("""COMPUTED_VALUE"""),"Kois")</f>
        <v>Kois</v>
      </c>
      <c r="C168" s="197">
        <f t="shared" si="1"/>
        <v>1</v>
      </c>
      <c r="D168" s="20" t="s">
        <v>2320</v>
      </c>
      <c r="E168" s="20">
        <v>1.0</v>
      </c>
    </row>
    <row r="169">
      <c r="A169" s="196"/>
      <c r="B169" s="197" t="str">
        <f>IFERROR(__xludf.DUMMYFUNCTION("""COMPUTED_VALUE"""),"Duality")</f>
        <v>Duality</v>
      </c>
      <c r="C169" s="197">
        <f t="shared" si="1"/>
        <v>1</v>
      </c>
      <c r="D169" s="20" t="s">
        <v>2321</v>
      </c>
      <c r="E169" s="20">
        <v>1.0</v>
      </c>
    </row>
    <row r="170">
      <c r="A170" s="196"/>
      <c r="B170" s="197" t="str">
        <f>IFERROR(__xludf.DUMMYFUNCTION("""COMPUTED_VALUE"""),"Eclipsion")</f>
        <v>Eclipsion</v>
      </c>
      <c r="C170" s="197">
        <f t="shared" si="1"/>
        <v>1</v>
      </c>
      <c r="D170" s="20" t="s">
        <v>2322</v>
      </c>
      <c r="E170" s="20">
        <v>1.0</v>
      </c>
    </row>
    <row r="171">
      <c r="A171" s="196"/>
      <c r="B171" s="197" t="str">
        <f>IFERROR(__xludf.DUMMYFUNCTION("""COMPUTED_VALUE"""),"Fallen")</f>
        <v>Fallen</v>
      </c>
      <c r="C171" s="197">
        <f t="shared" si="1"/>
        <v>1</v>
      </c>
      <c r="D171" s="20" t="s">
        <v>2323</v>
      </c>
      <c r="E171" s="20">
        <v>1.0</v>
      </c>
    </row>
    <row r="172">
      <c r="A172" s="196" t="str">
        <f>IFERROR(__xludf.DUMMYFUNCTION("""COMPUTED_VALUE"""),"Solarsteel")</f>
        <v>Solarsteel</v>
      </c>
      <c r="B172" s="197" t="str">
        <f>IFERROR(__xludf.DUMMYFUNCTION("""COMPUTED_VALUE"""),"Diamond")</f>
        <v>Diamond</v>
      </c>
      <c r="C172" s="197">
        <f t="shared" si="1"/>
        <v>1</v>
      </c>
      <c r="D172" s="20" t="s">
        <v>2324</v>
      </c>
      <c r="E172" s="20">
        <v>1.0</v>
      </c>
    </row>
    <row r="173">
      <c r="A173" s="196" t="str">
        <f>IFERROR(__xludf.DUMMYFUNCTION("""COMPUTED_VALUE"""),"Prodigy")</f>
        <v>Prodigy</v>
      </c>
      <c r="B173" s="197" t="str">
        <f>IFERROR(__xludf.DUMMYFUNCTION("""COMPUTED_VALUE"""),"Phantom")</f>
        <v>Phantom</v>
      </c>
      <c r="C173" s="197">
        <f t="shared" si="1"/>
        <v>1</v>
      </c>
      <c r="D173" s="20" t="s">
        <v>2325</v>
      </c>
      <c r="E173" s="20">
        <v>1.0</v>
      </c>
    </row>
    <row r="174">
      <c r="A174" s="196"/>
      <c r="B174" s="197" t="str">
        <f>IFERROR(__xludf.DUMMYFUNCTION("""COMPUTED_VALUE"""),"Draconic")</f>
        <v>Draconic</v>
      </c>
      <c r="C174" s="197">
        <f t="shared" si="1"/>
        <v>1</v>
      </c>
      <c r="D174" s="20" t="s">
        <v>2326</v>
      </c>
      <c r="E174" s="20">
        <v>1.0</v>
      </c>
    </row>
    <row r="175">
      <c r="A175" s="196"/>
      <c r="B175" s="197" t="str">
        <f>IFERROR(__xludf.DUMMYFUNCTION("""COMPUTED_VALUE"""),"Highpriest")</f>
        <v>Highpriest</v>
      </c>
      <c r="C175" s="197">
        <f t="shared" si="1"/>
        <v>1</v>
      </c>
      <c r="D175" s="20" t="s">
        <v>2327</v>
      </c>
      <c r="E175" s="20">
        <v>1.0</v>
      </c>
    </row>
    <row r="176">
      <c r="A176" s="196"/>
      <c r="B176" s="197" t="str">
        <f>IFERROR(__xludf.DUMMYFUNCTION("""COMPUTED_VALUE"""),"Cavern")</f>
        <v>Cavern</v>
      </c>
      <c r="C176" s="197">
        <f t="shared" si="1"/>
        <v>1</v>
      </c>
      <c r="D176" s="20" t="s">
        <v>2328</v>
      </c>
      <c r="E176" s="20">
        <v>1.0</v>
      </c>
    </row>
    <row r="177">
      <c r="A177" s="196" t="str">
        <f>IFERROR(__xludf.DUMMYFUNCTION("""COMPUTED_VALUE"""),"Starforger")</f>
        <v>Starforger</v>
      </c>
      <c r="B177" s="197" t="str">
        <f>IFERROR(__xludf.DUMMYFUNCTION("""COMPUTED_VALUE"""),"Lindwurm")</f>
        <v>Lindwurm</v>
      </c>
      <c r="C177" s="197">
        <f t="shared" si="1"/>
        <v>1</v>
      </c>
      <c r="D177" s="20" t="s">
        <v>2329</v>
      </c>
      <c r="E177" s="20">
        <v>1.0</v>
      </c>
    </row>
    <row r="178">
      <c r="A178" s="196"/>
      <c r="B178" s="197" t="str">
        <f>IFERROR(__xludf.DUMMYFUNCTION("""COMPUTED_VALUE"""),"Cheerful")</f>
        <v>Cheerful</v>
      </c>
      <c r="C178" s="197">
        <f t="shared" si="1"/>
        <v>1</v>
      </c>
      <c r="D178" s="20" t="s">
        <v>2330</v>
      </c>
      <c r="E178" s="20">
        <v>1.0</v>
      </c>
    </row>
    <row r="179">
      <c r="A179" s="196"/>
      <c r="B179" s="197" t="str">
        <f>IFERROR(__xludf.DUMMYFUNCTION("""COMPUTED_VALUE"""),"Pixies")</f>
        <v>Pixies</v>
      </c>
      <c r="C179" s="197">
        <f t="shared" si="1"/>
        <v>1</v>
      </c>
      <c r="D179" s="20" t="s">
        <v>2331</v>
      </c>
      <c r="E179" s="20">
        <v>1.0</v>
      </c>
    </row>
    <row r="180">
      <c r="A180" s="196"/>
      <c r="B180" s="197" t="str">
        <f>IFERROR(__xludf.DUMMYFUNCTION("""COMPUTED_VALUE"""),"Cinderguard")</f>
        <v>Cinderguard</v>
      </c>
      <c r="C180" s="197">
        <f t="shared" si="1"/>
        <v>5</v>
      </c>
      <c r="D180" s="20" t="s">
        <v>2332</v>
      </c>
      <c r="E180" s="20">
        <v>1.0</v>
      </c>
    </row>
    <row r="181">
      <c r="A181" s="196"/>
      <c r="B181" s="197" t="str">
        <f>IFERROR(__xludf.DUMMYFUNCTION("""COMPUTED_VALUE"""),"Scribe")</f>
        <v>Scribe</v>
      </c>
      <c r="C181" s="197">
        <f t="shared" si="1"/>
        <v>1</v>
      </c>
      <c r="D181" s="20" t="s">
        <v>2333</v>
      </c>
      <c r="E181" s="20">
        <v>1.0</v>
      </c>
    </row>
    <row r="182">
      <c r="A182" s="196" t="str">
        <f>IFERROR(__xludf.DUMMYFUNCTION("""COMPUTED_VALUE"""),"Swiftblade")</f>
        <v>Swiftblade</v>
      </c>
      <c r="B182" s="197" t="str">
        <f>IFERROR(__xludf.DUMMYFUNCTION("""COMPUTED_VALUE"""),"Daredevil")</f>
        <v>Daredevil</v>
      </c>
      <c r="C182" s="197">
        <f t="shared" si="1"/>
        <v>1</v>
      </c>
      <c r="D182" s="20" t="s">
        <v>2334</v>
      </c>
      <c r="E182" s="20">
        <v>1.0</v>
      </c>
    </row>
    <row r="183">
      <c r="A183" s="196" t="str">
        <f>IFERROR(__xludf.DUMMYFUNCTION("""COMPUTED_VALUE"""),"Revenger")</f>
        <v>Revenger</v>
      </c>
      <c r="B183" s="197" t="str">
        <f>IFERROR(__xludf.DUMMYFUNCTION("""COMPUTED_VALUE"""),"Duo")</f>
        <v>Duo</v>
      </c>
      <c r="C183" s="197">
        <f t="shared" si="1"/>
        <v>1</v>
      </c>
      <c r="D183" s="20" t="s">
        <v>2335</v>
      </c>
      <c r="E183" s="20">
        <v>1.0</v>
      </c>
    </row>
    <row r="184">
      <c r="A184" s="196"/>
      <c r="B184" s="197" t="str">
        <f>IFERROR(__xludf.DUMMYFUNCTION("""COMPUTED_VALUE"""),"Beetle")</f>
        <v>Beetle</v>
      </c>
      <c r="C184" s="197">
        <f t="shared" si="1"/>
        <v>3</v>
      </c>
      <c r="D184" s="20" t="s">
        <v>2336</v>
      </c>
      <c r="E184" s="20">
        <v>1.0</v>
      </c>
    </row>
    <row r="185">
      <c r="A185" s="196"/>
      <c r="B185" s="197" t="str">
        <f>IFERROR(__xludf.DUMMYFUNCTION("""COMPUTED_VALUE"""),"Ember")</f>
        <v>Ember</v>
      </c>
      <c r="C185" s="197">
        <f t="shared" si="1"/>
        <v>1</v>
      </c>
      <c r="D185" s="20" t="s">
        <v>2337</v>
      </c>
      <c r="E185" s="20">
        <v>1.0</v>
      </c>
    </row>
    <row r="186">
      <c r="A186" s="196"/>
      <c r="B186" s="197" t="str">
        <f>IFERROR(__xludf.DUMMYFUNCTION("""COMPUTED_VALUE"""),"Whelp")</f>
        <v>Whelp</v>
      </c>
      <c r="C186" s="197">
        <f t="shared" si="1"/>
        <v>1</v>
      </c>
      <c r="D186" s="20" t="s">
        <v>2338</v>
      </c>
      <c r="E186" s="20">
        <v>1.0</v>
      </c>
    </row>
    <row r="187">
      <c r="A187" s="196" t="str">
        <f>IFERROR(__xludf.DUMMYFUNCTION("""COMPUTED_VALUE"""),"The")</f>
        <v>The</v>
      </c>
      <c r="B187" s="197" t="str">
        <f>IFERROR(__xludf.DUMMYFUNCTION("""COMPUTED_VALUE"""),"Floating")</f>
        <v>Floating</v>
      </c>
      <c r="C187" s="197">
        <f t="shared" si="1"/>
        <v>1</v>
      </c>
      <c r="D187" s="20" t="s">
        <v>2339</v>
      </c>
      <c r="E187" s="20">
        <v>1.0</v>
      </c>
    </row>
    <row r="188">
      <c r="A188" s="196" t="str">
        <f>IFERROR(__xludf.DUMMYFUNCTION("""COMPUTED_VALUE"""),"Kitty")</f>
        <v>Kitty</v>
      </c>
      <c r="B188" s="197" t="str">
        <f>IFERROR(__xludf.DUMMYFUNCTION("""COMPUTED_VALUE"""),"Djinn")</f>
        <v>Djinn</v>
      </c>
      <c r="C188" s="197">
        <f t="shared" si="1"/>
        <v>1</v>
      </c>
      <c r="D188" s="20" t="s">
        <v>2340</v>
      </c>
      <c r="E188" s="20">
        <v>1.0</v>
      </c>
    </row>
    <row r="189">
      <c r="A189" s="196" t="str">
        <f>IFERROR(__xludf.DUMMYFUNCTION("""COMPUTED_VALUE"""),"of")</f>
        <v>of</v>
      </c>
      <c r="B189" s="197" t="str">
        <f>IFERROR(__xludf.DUMMYFUNCTION("""COMPUTED_VALUE"""),"Dewdrop")</f>
        <v>Dewdrop</v>
      </c>
      <c r="C189" s="197">
        <f t="shared" si="1"/>
        <v>1</v>
      </c>
      <c r="D189" s="20" t="s">
        <v>2341</v>
      </c>
      <c r="E189" s="20">
        <v>1.0</v>
      </c>
    </row>
    <row r="190">
      <c r="A190" s="196" t="str">
        <f>IFERROR(__xludf.DUMMYFUNCTION("""COMPUTED_VALUE"""),"Thamiel")</f>
        <v>Thamiel</v>
      </c>
      <c r="B190" s="197" t="str">
        <f>IFERROR(__xludf.DUMMYFUNCTION("""COMPUTED_VALUE"""),"Egg")</f>
        <v>Egg</v>
      </c>
      <c r="C190" s="197">
        <f t="shared" si="1"/>
        <v>1</v>
      </c>
      <c r="D190" s="20" t="s">
        <v>2342</v>
      </c>
      <c r="E190" s="20">
        <v>1.0</v>
      </c>
    </row>
    <row r="191">
      <c r="A191" s="196"/>
      <c r="B191" s="197" t="str">
        <f>IFERROR(__xludf.DUMMYFUNCTION("""COMPUTED_VALUE"""),"Dustdance")</f>
        <v>Dustdance</v>
      </c>
      <c r="C191" s="197">
        <f t="shared" si="1"/>
        <v>1</v>
      </c>
      <c r="D191" s="20" t="s">
        <v>2343</v>
      </c>
      <c r="E191" s="20">
        <v>1.0</v>
      </c>
    </row>
    <row r="192">
      <c r="A192" s="196" t="str">
        <f>IFERROR(__xludf.DUMMYFUNCTION("""COMPUTED_VALUE"""),"Thunderswarm")</f>
        <v>Thunderswarm</v>
      </c>
      <c r="B192" s="197" t="str">
        <f>IFERROR(__xludf.DUMMYFUNCTION("""COMPUTED_VALUE"""),"Efreet")</f>
        <v>Efreet</v>
      </c>
      <c r="C192" s="197">
        <f t="shared" si="1"/>
        <v>1</v>
      </c>
      <c r="D192" s="20" t="s">
        <v>2344</v>
      </c>
      <c r="E192" s="20">
        <v>1.0</v>
      </c>
    </row>
    <row r="193">
      <c r="A193" s="196" t="str">
        <f>IFERROR(__xludf.DUMMYFUNCTION("""COMPUTED_VALUE"""),"Skirmisher")</f>
        <v>Skirmisher</v>
      </c>
      <c r="B193" s="197" t="str">
        <f>IFERROR(__xludf.DUMMYFUNCTION("""COMPUTED_VALUE"""),"Hermit")</f>
        <v>Hermit</v>
      </c>
      <c r="C193" s="197">
        <f t="shared" si="1"/>
        <v>3</v>
      </c>
      <c r="D193" s="20" t="s">
        <v>2345</v>
      </c>
      <c r="E193" s="20">
        <v>1.0</v>
      </c>
    </row>
    <row r="194">
      <c r="A194" s="196"/>
      <c r="B194" s="197" t="str">
        <f>IFERROR(__xludf.DUMMYFUNCTION("""COMPUTED_VALUE"""),"Horizon")</f>
        <v>Horizon</v>
      </c>
      <c r="C194" s="197">
        <f t="shared" si="1"/>
        <v>1</v>
      </c>
      <c r="D194" s="20" t="s">
        <v>2346</v>
      </c>
      <c r="E194" s="20">
        <v>1.0</v>
      </c>
    </row>
    <row r="195">
      <c r="A195" s="196"/>
      <c r="B195" s="197" t="str">
        <f>IFERROR(__xludf.DUMMYFUNCTION("""COMPUTED_VALUE"""),"Roughlands")</f>
        <v>Roughlands</v>
      </c>
      <c r="C195" s="197">
        <f t="shared" si="1"/>
        <v>1</v>
      </c>
      <c r="D195" s="20" t="s">
        <v>2347</v>
      </c>
      <c r="E195" s="20">
        <v>1.0</v>
      </c>
    </row>
    <row r="196">
      <c r="A196" s="196"/>
      <c r="B196" s="197" t="str">
        <f>IFERROR(__xludf.DUMMYFUNCTION("""COMPUTED_VALUE"""),"Scourge")</f>
        <v>Scourge</v>
      </c>
      <c r="C196" s="197">
        <f t="shared" si="1"/>
        <v>1</v>
      </c>
      <c r="D196" s="20" t="s">
        <v>2348</v>
      </c>
      <c r="E196" s="20">
        <v>1.0</v>
      </c>
    </row>
    <row r="197">
      <c r="A197" s="196" t="str">
        <f>IFERROR(__xludf.DUMMYFUNCTION("""COMPUTED_VALUE"""),"Tranquil")</f>
        <v>Tranquil</v>
      </c>
      <c r="B197" s="197" t="str">
        <f>IFERROR(__xludf.DUMMYFUNCTION("""COMPUTED_VALUE"""),"Mirrorworld")</f>
        <v>Mirrorworld</v>
      </c>
      <c r="C197" s="197">
        <f t="shared" si="1"/>
        <v>1</v>
      </c>
      <c r="D197" s="20" t="s">
        <v>2349</v>
      </c>
      <c r="E197" s="20">
        <v>1.0</v>
      </c>
    </row>
    <row r="198">
      <c r="A198" s="196" t="str">
        <f>IFERROR(__xludf.DUMMYFUNCTION("""COMPUTED_VALUE"""),"Herd")</f>
        <v>Herd</v>
      </c>
      <c r="B198" s="197" t="str">
        <f>IFERROR(__xludf.DUMMYFUNCTION("""COMPUTED_VALUE"""),"Bloodseeker")</f>
        <v>Bloodseeker</v>
      </c>
      <c r="C198" s="197">
        <f t="shared" si="1"/>
        <v>1</v>
      </c>
      <c r="D198" s="20" t="s">
        <v>2350</v>
      </c>
      <c r="E198" s="20">
        <v>1.0</v>
      </c>
    </row>
    <row r="199">
      <c r="A199" s="196" t="str">
        <f>IFERROR(__xludf.DUMMYFUNCTION("""COMPUTED_VALUE"""),"Gem")</f>
        <v>Gem</v>
      </c>
      <c r="B199" s="197" t="str">
        <f>IFERROR(__xludf.DUMMYFUNCTION("""COMPUTED_VALUE"""),"Mountain")</f>
        <v>Mountain</v>
      </c>
      <c r="C199" s="197">
        <f t="shared" si="1"/>
        <v>1</v>
      </c>
      <c r="D199" s="20" t="s">
        <v>2351</v>
      </c>
      <c r="E199" s="20">
        <v>1.0</v>
      </c>
    </row>
    <row r="200">
      <c r="A200" s="196" t="str">
        <f>IFERROR(__xludf.DUMMYFUNCTION("""COMPUTED_VALUE"""),"Titan")</f>
        <v>Titan</v>
      </c>
      <c r="B200" s="197" t="str">
        <f>IFERROR(__xludf.DUMMYFUNCTION("""COMPUTED_VALUE"""),"Sage")</f>
        <v>Sage</v>
      </c>
      <c r="C200" s="197">
        <f t="shared" si="1"/>
        <v>1</v>
      </c>
      <c r="D200" s="20" t="s">
        <v>2352</v>
      </c>
      <c r="E200" s="20">
        <v>1.0</v>
      </c>
    </row>
    <row r="201">
      <c r="A201" s="196"/>
      <c r="B201" s="197" t="str">
        <f>IFERROR(__xludf.DUMMYFUNCTION("""COMPUTED_VALUE"""),"Nimbus")</f>
        <v>Nimbus</v>
      </c>
      <c r="C201" s="197">
        <f t="shared" si="1"/>
        <v>1</v>
      </c>
      <c r="D201" s="20" t="s">
        <v>2353</v>
      </c>
      <c r="E201" s="20">
        <v>1.0</v>
      </c>
    </row>
    <row r="202">
      <c r="A202" s="196" t="str">
        <f>IFERROR(__xludf.DUMMYFUNCTION("""COMPUTED_VALUE"""),"Towering")</f>
        <v>Towering</v>
      </c>
      <c r="B202" s="197" t="str">
        <f>IFERROR(__xludf.DUMMYFUNCTION("""COMPUTED_VALUE"""),"Claw")</f>
        <v>Claw</v>
      </c>
      <c r="C202" s="197">
        <f t="shared" si="1"/>
        <v>2</v>
      </c>
      <c r="D202" s="20" t="s">
        <v>2354</v>
      </c>
      <c r="E202" s="20">
        <v>1.0</v>
      </c>
    </row>
    <row r="203">
      <c r="A203" s="196" t="str">
        <f>IFERROR(__xludf.DUMMYFUNCTION("""COMPUTED_VALUE"""),"Obelisk")</f>
        <v>Obelisk</v>
      </c>
      <c r="B203" s="197" t="str">
        <f>IFERROR(__xludf.DUMMYFUNCTION("""COMPUTED_VALUE"""),"Omen")</f>
        <v>Omen</v>
      </c>
      <c r="C203" s="197">
        <f t="shared" si="1"/>
        <v>1</v>
      </c>
      <c r="D203" s="20" t="s">
        <v>2355</v>
      </c>
      <c r="E203" s="20">
        <v>1.0</v>
      </c>
    </row>
    <row r="204">
      <c r="A204" s="196" t="str">
        <f>IFERROR(__xludf.DUMMYFUNCTION("""COMPUTED_VALUE"""),"of")</f>
        <v>of</v>
      </c>
      <c r="B204" s="197" t="str">
        <f>IFERROR(__xludf.DUMMYFUNCTION("""COMPUTED_VALUE"""),"Firefly")</f>
        <v>Firefly</v>
      </c>
      <c r="C204" s="197">
        <f t="shared" si="1"/>
        <v>1</v>
      </c>
      <c r="D204" s="20" t="s">
        <v>2356</v>
      </c>
      <c r="E204" s="20">
        <v>1.0</v>
      </c>
    </row>
    <row r="205">
      <c r="A205" s="196" t="str">
        <f>IFERROR(__xludf.DUMMYFUNCTION("""COMPUTED_VALUE"""),"Xi")</f>
        <v>Xi</v>
      </c>
      <c r="B205" s="197" t="str">
        <f>IFERROR(__xludf.DUMMYFUNCTION("""COMPUTED_VALUE"""),"Pixie")</f>
        <v>Pixie</v>
      </c>
      <c r="C205" s="197">
        <f t="shared" si="1"/>
        <v>1</v>
      </c>
      <c r="D205" s="20" t="s">
        <v>2357</v>
      </c>
      <c r="E205" s="20">
        <v>1.0</v>
      </c>
    </row>
    <row r="206">
      <c r="A206" s="196"/>
      <c r="B206" s="197" t="str">
        <f>IFERROR(__xludf.DUMMYFUNCTION("""COMPUTED_VALUE"""),"Summoner")</f>
        <v>Summoner</v>
      </c>
      <c r="C206" s="197">
        <f t="shared" si="1"/>
        <v>1</v>
      </c>
      <c r="D206" s="20" t="s">
        <v>2358</v>
      </c>
      <c r="E206" s="20">
        <v>1.0</v>
      </c>
    </row>
    <row r="207">
      <c r="A207" s="196" t="str">
        <f>IFERROR(__xludf.DUMMYFUNCTION("""COMPUTED_VALUE"""),"Thunderswarm")</f>
        <v>Thunderswarm</v>
      </c>
      <c r="B207" s="197" t="str">
        <f>IFERROR(__xludf.DUMMYFUNCTION("""COMPUTED_VALUE"""),"Pyretic")</f>
        <v>Pyretic</v>
      </c>
      <c r="C207" s="197">
        <f t="shared" si="1"/>
        <v>1</v>
      </c>
      <c r="D207" s="20" t="s">
        <v>2359</v>
      </c>
      <c r="E207" s="20">
        <v>1.0</v>
      </c>
    </row>
    <row r="208">
      <c r="A208" s="196" t="str">
        <f>IFERROR(__xludf.DUMMYFUNCTION("""COMPUTED_VALUE"""),"Pegasus")</f>
        <v>Pegasus</v>
      </c>
      <c r="B208" s="197" t="str">
        <f>IFERROR(__xludf.DUMMYFUNCTION("""COMPUTED_VALUE"""),"Pet")</f>
        <v>Pet</v>
      </c>
      <c r="C208" s="197">
        <f t="shared" si="1"/>
        <v>1</v>
      </c>
      <c r="D208" s="20" t="s">
        <v>2360</v>
      </c>
      <c r="E208" s="20">
        <v>1.0</v>
      </c>
    </row>
    <row r="209">
      <c r="A209" s="196"/>
      <c r="B209" s="197" t="str">
        <f>IFERROR(__xludf.DUMMYFUNCTION("""COMPUTED_VALUE"""),"Shifting")</f>
        <v>Shifting</v>
      </c>
      <c r="C209" s="197">
        <f t="shared" si="1"/>
        <v>1</v>
      </c>
      <c r="D209" s="20" t="s">
        <v>2361</v>
      </c>
      <c r="E209" s="20">
        <v>1.0</v>
      </c>
    </row>
    <row r="210">
      <c r="A210" s="196"/>
      <c r="B210" s="197" t="str">
        <f>IFERROR(__xludf.DUMMYFUNCTION("""COMPUTED_VALUE"""),"Sands")</f>
        <v>Sands</v>
      </c>
      <c r="C210" s="197">
        <f t="shared" si="1"/>
        <v>1</v>
      </c>
      <c r="D210" s="20" t="s">
        <v>2362</v>
      </c>
      <c r="E210" s="20">
        <v>1.0</v>
      </c>
    </row>
    <row r="211">
      <c r="A211" s="196"/>
      <c r="B211" s="197" t="str">
        <f>IFERROR(__xludf.DUMMYFUNCTION("""COMPUTED_VALUE"""),"Torii")</f>
        <v>Torii</v>
      </c>
      <c r="C211" s="197">
        <f t="shared" si="1"/>
        <v>1</v>
      </c>
      <c r="D211" s="20" t="s">
        <v>2363</v>
      </c>
      <c r="E211" s="20">
        <v>1.0</v>
      </c>
    </row>
    <row r="212">
      <c r="A212" s="196" t="str">
        <f>IFERROR(__xludf.DUMMYFUNCTION("""COMPUTED_VALUE"""),"Winged")</f>
        <v>Winged</v>
      </c>
      <c r="B212" s="197" t="str">
        <f>IFERROR(__xludf.DUMMYFUNCTION("""COMPUTED_VALUE"""),"Spirit")</f>
        <v>Spirit</v>
      </c>
      <c r="C212" s="197">
        <f t="shared" si="1"/>
        <v>1</v>
      </c>
      <c r="D212" s="20" t="s">
        <v>2364</v>
      </c>
      <c r="E212" s="20">
        <v>1.0</v>
      </c>
    </row>
    <row r="213">
      <c r="A213" s="196" t="str">
        <f>IFERROR(__xludf.DUMMYFUNCTION("""COMPUTED_VALUE"""),"Ushabti")</f>
        <v>Ushabti</v>
      </c>
      <c r="B213" s="197" t="str">
        <f>IFERROR(__xludf.DUMMYFUNCTION("""COMPUTED_VALUE"""),"Red")</f>
        <v>Red</v>
      </c>
      <c r="C213" s="197">
        <f t="shared" si="1"/>
        <v>2</v>
      </c>
      <c r="D213" s="20" t="s">
        <v>2365</v>
      </c>
      <c r="E213" s="20">
        <v>1.0</v>
      </c>
    </row>
    <row r="214">
      <c r="A214" s="196"/>
      <c r="B214" s="197" t="str">
        <f>IFERROR(__xludf.DUMMYFUNCTION("""COMPUTED_VALUE"""),"Windkite")</f>
        <v>Windkite</v>
      </c>
      <c r="C214" s="197">
        <f t="shared" si="1"/>
        <v>1</v>
      </c>
      <c r="D214" s="20" t="s">
        <v>2366</v>
      </c>
      <c r="E214" s="20">
        <v>1.0</v>
      </c>
    </row>
    <row r="215">
      <c r="A215" s="196"/>
      <c r="B215" s="197" t="str">
        <f>IFERROR(__xludf.DUMMYFUNCTION("""COMPUTED_VALUE"""),"Acolyte")</f>
        <v>Acolyte</v>
      </c>
      <c r="C215" s="197">
        <f t="shared" si="1"/>
        <v>2</v>
      </c>
      <c r="D215" s="20" t="s">
        <v>2367</v>
      </c>
      <c r="E215" s="20">
        <v>1.0</v>
      </c>
    </row>
    <row r="216">
      <c r="A216" s="196"/>
      <c r="B216" s="197" t="str">
        <f>IFERROR(__xludf.DUMMYFUNCTION("""COMPUTED_VALUE"""),"Sand")</f>
        <v>Sand</v>
      </c>
      <c r="C216" s="197">
        <f t="shared" si="1"/>
        <v>1</v>
      </c>
      <c r="D216" s="20" t="s">
        <v>2368</v>
      </c>
      <c r="E216" s="20">
        <v>1.0</v>
      </c>
    </row>
    <row r="217">
      <c r="A217" s="196" t="str">
        <f>IFERROR(__xludf.DUMMYFUNCTION("""COMPUTED_VALUE"""),"Ghostfire")</f>
        <v>Ghostfire</v>
      </c>
      <c r="B217" s="197" t="str">
        <f>IFERROR(__xludf.DUMMYFUNCTION("""COMPUTED_VALUE"""),"Witch")</f>
        <v>Witch</v>
      </c>
      <c r="C217" s="197">
        <f t="shared" si="1"/>
        <v>1</v>
      </c>
      <c r="D217" s="20" t="s">
        <v>2369</v>
      </c>
      <c r="E217" s="20">
        <v>1.0</v>
      </c>
    </row>
    <row r="218">
      <c r="A218" s="196" t="str">
        <f>IFERROR(__xludf.DUMMYFUNCTION("""COMPUTED_VALUE"""),"Basilisk")</f>
        <v>Basilisk</v>
      </c>
      <c r="B218" s="197" t="str">
        <f>IFERROR(__xludf.DUMMYFUNCTION("""COMPUTED_VALUE"""),"Shardhorde")</f>
        <v>Shardhorde</v>
      </c>
      <c r="C218" s="197">
        <f t="shared" si="1"/>
        <v>3</v>
      </c>
      <c r="D218" s="20" t="s">
        <v>2370</v>
      </c>
      <c r="E218" s="20">
        <v>1.0</v>
      </c>
    </row>
    <row r="219">
      <c r="A219" s="196"/>
      <c r="B219" s="197" t="str">
        <f>IFERROR(__xludf.DUMMYFUNCTION("""COMPUTED_VALUE"""),"Galewhelp")</f>
        <v>Galewhelp</v>
      </c>
      <c r="C219" s="197">
        <f t="shared" si="1"/>
        <v>1</v>
      </c>
      <c r="D219" s="20" t="s">
        <v>2371</v>
      </c>
      <c r="E219" s="20">
        <v>1.0</v>
      </c>
    </row>
    <row r="220">
      <c r="A220" s="196"/>
      <c r="B220" s="197" t="str">
        <f>IFERROR(__xludf.DUMMYFUNCTION("""COMPUTED_VALUE"""),"Amberlock")</f>
        <v>Amberlock</v>
      </c>
      <c r="C220" s="197">
        <f t="shared" si="1"/>
        <v>1</v>
      </c>
      <c r="D220" s="20" t="s">
        <v>2372</v>
      </c>
      <c r="E220" s="20">
        <v>1.0</v>
      </c>
    </row>
    <row r="221">
      <c r="A221" s="196"/>
      <c r="B221" s="197" t="str">
        <f>IFERROR(__xludf.DUMMYFUNCTION("""COMPUTED_VALUE"""),"Dragonling")</f>
        <v>Dragonling</v>
      </c>
      <c r="C221" s="197">
        <f t="shared" si="1"/>
        <v>1</v>
      </c>
      <c r="D221" s="20" t="s">
        <v>2373</v>
      </c>
      <c r="E221" s="20">
        <v>1.0</v>
      </c>
    </row>
    <row r="222">
      <c r="A222" s="196" t="str">
        <f>IFERROR(__xludf.DUMMYFUNCTION("""COMPUTED_VALUE"""),"Yellow")</f>
        <v>Yellow</v>
      </c>
      <c r="B222" s="197" t="str">
        <f>IFERROR(__xludf.DUMMYFUNCTION("""COMPUTED_VALUE"""),"Dragonfire")</f>
        <v>Dragonfire</v>
      </c>
      <c r="C222" s="197">
        <f t="shared" si="1"/>
        <v>1</v>
      </c>
      <c r="D222" s="20" t="s">
        <v>2374</v>
      </c>
      <c r="E222" s="20">
        <v>1.0</v>
      </c>
    </row>
    <row r="223">
      <c r="A223" s="196" t="str">
        <f>IFERROR(__xludf.DUMMYFUNCTION("""COMPUTED_VALUE"""),"Crusader")</f>
        <v>Crusader</v>
      </c>
      <c r="B223" s="197" t="str">
        <f>IFERROR(__xludf.DUMMYFUNCTION("""COMPUTED_VALUE"""),"Warlock")</f>
        <v>Warlock</v>
      </c>
      <c r="C223" s="197">
        <f t="shared" si="1"/>
        <v>1</v>
      </c>
      <c r="D223" s="20" t="s">
        <v>2375</v>
      </c>
      <c r="E223" s="20">
        <v>1.0</v>
      </c>
    </row>
    <row r="224">
      <c r="A224" s="196"/>
      <c r="B224" s="197" t="str">
        <f>IFERROR(__xludf.DUMMYFUNCTION("""COMPUTED_VALUE"""),"Dragonwind")</f>
        <v>Dragonwind</v>
      </c>
      <c r="C224" s="197">
        <f t="shared" si="1"/>
        <v>1</v>
      </c>
      <c r="D224" s="20" t="s">
        <v>2376</v>
      </c>
      <c r="E224" s="20">
        <v>1.0</v>
      </c>
    </row>
    <row r="225">
      <c r="A225" s="196"/>
      <c r="B225" s="197" t="str">
        <f>IFERROR(__xludf.DUMMYFUNCTION("""COMPUTED_VALUE"""),"Harbinger")</f>
        <v>Harbinger</v>
      </c>
      <c r="C225" s="197">
        <f t="shared" si="1"/>
        <v>1</v>
      </c>
      <c r="D225" s="20" t="s">
        <v>2377</v>
      </c>
      <c r="E225" s="20">
        <v>1.0</v>
      </c>
    </row>
    <row r="226">
      <c r="A226" s="196"/>
      <c r="B226" s="197" t="str">
        <f>IFERROR(__xludf.DUMMYFUNCTION("""COMPUTED_VALUE"""),"Sparkwielder")</f>
        <v>Sparkwielder</v>
      </c>
      <c r="C226" s="197">
        <f t="shared" si="1"/>
        <v>1</v>
      </c>
      <c r="D226" s="20" t="s">
        <v>2378</v>
      </c>
      <c r="E226" s="20">
        <v>1.0</v>
      </c>
    </row>
    <row r="227">
      <c r="A227" s="196" t="str">
        <f>IFERROR(__xludf.DUMMYFUNCTION("""COMPUTED_VALUE"""),"Young")</f>
        <v>Young</v>
      </c>
      <c r="B227" s="197" t="str">
        <f>IFERROR(__xludf.DUMMYFUNCTION("""COMPUTED_VALUE"""),"Gashopper")</f>
        <v>Gashopper</v>
      </c>
      <c r="C227" s="197">
        <f t="shared" si="1"/>
        <v>1</v>
      </c>
      <c r="D227" s="20" t="s">
        <v>2379</v>
      </c>
      <c r="E227" s="20">
        <v>1.0</v>
      </c>
    </row>
    <row r="228">
      <c r="A228" s="196" t="str">
        <f>IFERROR(__xludf.DUMMYFUNCTION("""COMPUTED_VALUE"""),"Monk")</f>
        <v>Monk</v>
      </c>
      <c r="B228" s="197" t="str">
        <f>IFERROR(__xludf.DUMMYFUNCTION("""COMPUTED_VALUE"""),"Hailbringer")</f>
        <v>Hailbringer</v>
      </c>
      <c r="C228" s="197">
        <f t="shared" si="1"/>
        <v>1</v>
      </c>
      <c r="D228" s="20" t="s">
        <v>2380</v>
      </c>
      <c r="E228" s="20">
        <v>1.0</v>
      </c>
    </row>
    <row r="229">
      <c r="A229" s="196"/>
      <c r="B229" s="197" t="str">
        <f>IFERROR(__xludf.DUMMYFUNCTION("""COMPUTED_VALUE"""),"Stormlash")</f>
        <v>Stormlash</v>
      </c>
      <c r="C229" s="197">
        <f t="shared" si="1"/>
        <v>1</v>
      </c>
      <c r="D229" s="20" t="s">
        <v>2381</v>
      </c>
      <c r="E229" s="20">
        <v>1.0</v>
      </c>
    </row>
    <row r="230">
      <c r="A230" s="196"/>
      <c r="B230" s="197" t="str">
        <f>IFERROR(__xludf.DUMMYFUNCTION("""COMPUTED_VALUE"""),"Stormworn")</f>
        <v>Stormworn</v>
      </c>
      <c r="C230" s="197">
        <f t="shared" si="1"/>
        <v>1</v>
      </c>
      <c r="D230" s="20" t="s">
        <v>2382</v>
      </c>
      <c r="E230" s="20">
        <v>1.0</v>
      </c>
    </row>
    <row r="231">
      <c r="A231" s="196"/>
      <c r="B231" s="197" t="str">
        <f>IFERROR(__xludf.DUMMYFUNCTION("""COMPUTED_VALUE"""),"Horn")</f>
        <v>Horn</v>
      </c>
      <c r="C231" s="197">
        <f t="shared" si="1"/>
        <v>1</v>
      </c>
      <c r="D231" s="20" t="s">
        <v>2383</v>
      </c>
      <c r="E231" s="20">
        <v>1.0</v>
      </c>
    </row>
    <row r="232">
      <c r="A232" s="196" t="str">
        <f>IFERROR(__xludf.DUMMYFUNCTION("""COMPUTED_VALUE"""),"Fancy")</f>
        <v>Fancy</v>
      </c>
      <c r="B232" s="197" t="str">
        <f>IFERROR(__xludf.DUMMYFUNCTION("""COMPUTED_VALUE"""),"Glinteye")</f>
        <v>Glinteye</v>
      </c>
      <c r="C232" s="197">
        <f t="shared" si="1"/>
        <v>1</v>
      </c>
      <c r="D232" s="20" t="s">
        <v>2384</v>
      </c>
      <c r="E232" s="20">
        <v>1.0</v>
      </c>
    </row>
    <row r="233">
      <c r="A233" s="196" t="str">
        <f>IFERROR(__xludf.DUMMYFUNCTION("""COMPUTED_VALUE"""),"Schmancy")</f>
        <v>Schmancy</v>
      </c>
      <c r="B233" s="197" t="str">
        <f>IFERROR(__xludf.DUMMYFUNCTION("""COMPUTED_VALUE"""),"Hoarder")</f>
        <v>Hoarder</v>
      </c>
      <c r="C233" s="197">
        <f t="shared" si="1"/>
        <v>1</v>
      </c>
      <c r="D233" s="20" t="s">
        <v>2385</v>
      </c>
      <c r="E233" s="20">
        <v>1.0</v>
      </c>
    </row>
    <row r="234">
      <c r="A234" s="196" t="str">
        <f>IFERROR(__xludf.DUMMYFUNCTION("""COMPUTED_VALUE"""),"Byrrd")</f>
        <v>Byrrd</v>
      </c>
      <c r="B234" s="197" t="str">
        <f>IFERROR(__xludf.DUMMYFUNCTION("""COMPUTED_VALUE"""),"Culling")</f>
        <v>Culling</v>
      </c>
      <c r="C234" s="197">
        <f t="shared" si="1"/>
        <v>1</v>
      </c>
      <c r="D234" s="20" t="s">
        <v>2386</v>
      </c>
      <c r="E234" s="20">
        <v>1.0</v>
      </c>
    </row>
    <row r="235">
      <c r="A235" s="196" t="str">
        <f>IFERROR(__xludf.DUMMYFUNCTION("""COMPUTED_VALUE"""),"Type")</f>
        <v>Type</v>
      </c>
      <c r="B235" s="197" t="str">
        <f>IFERROR(__xludf.DUMMYFUNCTION("""COMPUTED_VALUE"""),"Thunderfox")</f>
        <v>Thunderfox</v>
      </c>
      <c r="C235" s="197">
        <f t="shared" si="1"/>
        <v>1</v>
      </c>
      <c r="D235" s="20" t="s">
        <v>2387</v>
      </c>
      <c r="E235" s="20">
        <v>1.0</v>
      </c>
    </row>
    <row r="236">
      <c r="A236" s="196"/>
      <c r="B236" s="197" t="str">
        <f>IFERROR(__xludf.DUMMYFUNCTION("""COMPUTED_VALUE"""),"Raijin's")</f>
        <v>Raijin's</v>
      </c>
      <c r="C236" s="197">
        <f t="shared" si="1"/>
        <v>1</v>
      </c>
      <c r="D236" s="20" t="s">
        <v>2388</v>
      </c>
      <c r="E236" s="20">
        <v>1.0</v>
      </c>
    </row>
    <row r="237">
      <c r="A237" s="196" t="str">
        <f>IFERROR(__xludf.DUMMYFUNCTION("""COMPUTED_VALUE"""),"Golden")</f>
        <v>Golden</v>
      </c>
      <c r="B237" s="197" t="str">
        <f>IFERROR(__xludf.DUMMYFUNCTION("""COMPUTED_VALUE"""),"Familiar")</f>
        <v>Familiar</v>
      </c>
      <c r="C237" s="197">
        <f t="shared" si="1"/>
        <v>2</v>
      </c>
      <c r="D237" s="20" t="s">
        <v>2389</v>
      </c>
      <c r="E237" s="20">
        <v>1.0</v>
      </c>
    </row>
    <row r="238">
      <c r="A238" s="196" t="str">
        <f>IFERROR(__xludf.DUMMYFUNCTION("""COMPUTED_VALUE"""),"Phoenix")</f>
        <v>Phoenix</v>
      </c>
      <c r="B238" s="197" t="str">
        <f>IFERROR(__xludf.DUMMYFUNCTION("""COMPUTED_VALUE"""),"Twin")</f>
        <v>Twin</v>
      </c>
      <c r="C238" s="197">
        <f t="shared" si="1"/>
        <v>2</v>
      </c>
      <c r="D238" s="20" t="s">
        <v>2390</v>
      </c>
      <c r="E238" s="20">
        <v>1.0</v>
      </c>
    </row>
    <row r="239">
      <c r="A239" s="196"/>
      <c r="B239" s="197" t="str">
        <f>IFERROR(__xludf.DUMMYFUNCTION("""COMPUTED_VALUE"""),"Thundertail")</f>
        <v>Thundertail</v>
      </c>
      <c r="C239" s="197">
        <f t="shared" si="1"/>
        <v>1</v>
      </c>
      <c r="D239" s="20" t="s">
        <v>2391</v>
      </c>
      <c r="E239" s="20">
        <v>1.0</v>
      </c>
    </row>
    <row r="240">
      <c r="A240" s="196"/>
      <c r="B240" s="197" t="str">
        <f>IFERROR(__xludf.DUMMYFUNCTION("""COMPUTED_VALUE"""),"Vengeful")</f>
        <v>Vengeful</v>
      </c>
      <c r="C240" s="197">
        <f t="shared" si="1"/>
        <v>1</v>
      </c>
      <c r="D240" s="20" t="s">
        <v>2392</v>
      </c>
      <c r="E240" s="20">
        <v>1.0</v>
      </c>
    </row>
    <row r="241">
      <c r="A241" s="196"/>
      <c r="B241" s="197" t="str">
        <f>IFERROR(__xludf.DUMMYFUNCTION("""COMPUTED_VALUE"""),"Gust")</f>
        <v>Gust</v>
      </c>
      <c r="C241" s="197">
        <f t="shared" si="1"/>
        <v>1</v>
      </c>
      <c r="D241" s="20" t="s">
        <v>2393</v>
      </c>
      <c r="E241" s="20">
        <v>1.0</v>
      </c>
    </row>
    <row r="242">
      <c r="A242" s="196" t="str">
        <f>IFERROR(__xludf.DUMMYFUNCTION("""COMPUTED_VALUE"""),"Hailstorm")</f>
        <v>Hailstorm</v>
      </c>
      <c r="B242" s="197" t="str">
        <f>IFERROR(__xludf.DUMMYFUNCTION("""COMPUTED_VALUE"""),"Runecursed")</f>
        <v>Runecursed</v>
      </c>
      <c r="C242" s="197">
        <f t="shared" si="1"/>
        <v>1</v>
      </c>
      <c r="D242" s="20" t="s">
        <v>2394</v>
      </c>
      <c r="E242" s="20">
        <v>1.0</v>
      </c>
    </row>
    <row r="243">
      <c r="A243" s="196" t="str">
        <f>IFERROR(__xludf.DUMMYFUNCTION("""COMPUTED_VALUE"""),"Seraph")</f>
        <v>Seraph</v>
      </c>
      <c r="B243" s="197" t="str">
        <f>IFERROR(__xludf.DUMMYFUNCTION("""COMPUTED_VALUE"""),"Skulloath")</f>
        <v>Skulloath</v>
      </c>
      <c r="C243" s="197">
        <f t="shared" si="1"/>
        <v>2</v>
      </c>
      <c r="D243" s="20" t="s">
        <v>2395</v>
      </c>
      <c r="E243" s="20">
        <v>1.0</v>
      </c>
    </row>
    <row r="244">
      <c r="A244" s="196"/>
      <c r="B244" s="197" t="str">
        <f>IFERROR(__xludf.DUMMYFUNCTION("""COMPUTED_VALUE"""),"Lootclaimer")</f>
        <v>Lootclaimer</v>
      </c>
      <c r="C244" s="197">
        <f t="shared" si="1"/>
        <v>1</v>
      </c>
      <c r="D244" s="20" t="s">
        <v>2396</v>
      </c>
      <c r="E244" s="20">
        <v>1.0</v>
      </c>
    </row>
    <row r="245">
      <c r="A245" s="196"/>
      <c r="B245" s="197" t="str">
        <f>IFERROR(__xludf.DUMMYFUNCTION("""COMPUTED_VALUE"""),"Spell")</f>
        <v>Spell</v>
      </c>
      <c r="C245" s="197">
        <f t="shared" si="1"/>
        <v>1</v>
      </c>
      <c r="D245" s="20" t="s">
        <v>2397</v>
      </c>
      <c r="E245" s="20">
        <v>1.0</v>
      </c>
    </row>
    <row r="246">
      <c r="A246" s="196"/>
      <c r="B246" s="197" t="str">
        <f>IFERROR(__xludf.DUMMYFUNCTION("""COMPUTED_VALUE"""),"Cat")</f>
        <v>Cat</v>
      </c>
      <c r="C246" s="197">
        <f t="shared" si="1"/>
        <v>1</v>
      </c>
      <c r="D246" s="20" t="s">
        <v>2398</v>
      </c>
      <c r="E246" s="20">
        <v>1.0</v>
      </c>
    </row>
    <row r="247">
      <c r="A247" s="196" t="str">
        <f>IFERROR(__xludf.DUMMYFUNCTION("""COMPUTED_VALUE"""),"Scittering")</f>
        <v>Scittering</v>
      </c>
      <c r="B247" s="197" t="str">
        <f>IFERROR(__xludf.DUMMYFUNCTION("""COMPUTED_VALUE"""),"Vermillion")</f>
        <v>Vermillion</v>
      </c>
      <c r="C247" s="197">
        <f t="shared" si="1"/>
        <v>1</v>
      </c>
      <c r="D247" s="20" t="s">
        <v>2399</v>
      </c>
      <c r="E247" s="20">
        <v>1.0</v>
      </c>
    </row>
    <row r="248">
      <c r="A248" s="196" t="str">
        <f>IFERROR(__xludf.DUMMYFUNCTION("""COMPUTED_VALUE"""),"Scorpion")</f>
        <v>Scorpion</v>
      </c>
      <c r="B248" s="197" t="str">
        <f>IFERROR(__xludf.DUMMYFUNCTION("""COMPUTED_VALUE"""),"Firebird")</f>
        <v>Firebird</v>
      </c>
      <c r="C248" s="197">
        <f t="shared" si="1"/>
        <v>1</v>
      </c>
      <c r="D248" s="20" t="s">
        <v>2400</v>
      </c>
      <c r="E248" s="20">
        <v>1.0</v>
      </c>
    </row>
    <row r="249">
      <c r="A249" s="196"/>
      <c r="B249" s="197" t="str">
        <f>IFERROR(__xludf.DUMMYFUNCTION("""COMPUTED_VALUE"""),"Oasisdweller")</f>
        <v>Oasisdweller</v>
      </c>
      <c r="C249" s="197">
        <f t="shared" si="1"/>
        <v>1</v>
      </c>
      <c r="D249" s="20" t="s">
        <v>2401</v>
      </c>
      <c r="E249" s="20">
        <v>1.0</v>
      </c>
    </row>
    <row r="250">
      <c r="A250" s="196"/>
      <c r="B250" s="197" t="str">
        <f>IFERROR(__xludf.DUMMYFUNCTION("""COMPUTED_VALUE"""),"Portalrunner")</f>
        <v>Portalrunner</v>
      </c>
      <c r="C250" s="197">
        <f t="shared" si="1"/>
        <v>1</v>
      </c>
      <c r="D250" s="20" t="s">
        <v>2402</v>
      </c>
      <c r="E250" s="20">
        <v>1.0</v>
      </c>
    </row>
    <row r="251">
      <c r="A251" s="196"/>
      <c r="B251" s="197" t="str">
        <f>IFERROR(__xludf.DUMMYFUNCTION("""COMPUTED_VALUE"""),"Irregulars")</f>
        <v>Irregulars</v>
      </c>
      <c r="C251" s="197">
        <f t="shared" si="1"/>
        <v>1</v>
      </c>
      <c r="D251" s="20" t="s">
        <v>2403</v>
      </c>
      <c r="E251" s="20">
        <v>1.0</v>
      </c>
    </row>
    <row r="252">
      <c r="A252" s="196" t="str">
        <f>IFERROR(__xludf.DUMMYFUNCTION("""COMPUTED_VALUE"""),"Wrath")</f>
        <v>Wrath</v>
      </c>
      <c r="B252" s="197" t="str">
        <f>IFERROR(__xludf.DUMMYFUNCTION("""COMPUTED_VALUE"""),"Steelclaw")</f>
        <v>Steelclaw</v>
      </c>
      <c r="C252" s="197">
        <f t="shared" si="1"/>
        <v>1</v>
      </c>
      <c r="D252" s="20" t="s">
        <v>2404</v>
      </c>
      <c r="E252" s="20">
        <v>1.0</v>
      </c>
    </row>
    <row r="253">
      <c r="A253" s="196" t="str">
        <f>IFERROR(__xludf.DUMMYFUNCTION("""COMPUTED_VALUE"""),"of")</f>
        <v>of</v>
      </c>
      <c r="B253" s="197" t="str">
        <f>IFERROR(__xludf.DUMMYFUNCTION("""COMPUTED_VALUE"""),"Veterans")</f>
        <v>Veterans</v>
      </c>
      <c r="C253" s="197">
        <f t="shared" si="1"/>
        <v>1</v>
      </c>
      <c r="D253" s="20" t="s">
        <v>2405</v>
      </c>
      <c r="E253" s="20">
        <v>1.0</v>
      </c>
    </row>
    <row r="254">
      <c r="A254" s="196" t="str">
        <f>IFERROR(__xludf.DUMMYFUNCTION("""COMPUTED_VALUE"""),"the")</f>
        <v>the</v>
      </c>
      <c r="B254" s="197" t="str">
        <f>IFERROR(__xludf.DUMMYFUNCTION("""COMPUTED_VALUE"""),"Crazed")</f>
        <v>Crazed</v>
      </c>
      <c r="C254" s="197">
        <f t="shared" si="1"/>
        <v>2</v>
      </c>
      <c r="D254" s="20" t="s">
        <v>2406</v>
      </c>
      <c r="E254" s="20">
        <v>1.0</v>
      </c>
    </row>
    <row r="255">
      <c r="A255" s="196" t="str">
        <f>IFERROR(__xludf.DUMMYFUNCTION("""COMPUTED_VALUE"""),"Pharaoh")</f>
        <v>Pharaoh</v>
      </c>
      <c r="B255" s="197" t="str">
        <f>IFERROR(__xludf.DUMMYFUNCTION("""COMPUTED_VALUE"""),"Galeweaver")</f>
        <v>Galeweaver</v>
      </c>
      <c r="C255" s="197">
        <f t="shared" si="1"/>
        <v>1</v>
      </c>
      <c r="D255" s="20" t="s">
        <v>2407</v>
      </c>
      <c r="E255" s="20">
        <v>1.0</v>
      </c>
    </row>
    <row r="256">
      <c r="A256" s="196"/>
      <c r="B256" s="197" t="str">
        <f>IFERROR(__xludf.DUMMYFUNCTION("""COMPUTED_VALUE"""),"Lurking")</f>
        <v>Lurking</v>
      </c>
      <c r="C256" s="197">
        <f t="shared" si="1"/>
        <v>1</v>
      </c>
      <c r="D256" s="20" t="s">
        <v>2408</v>
      </c>
      <c r="E256" s="20">
        <v>1.0</v>
      </c>
    </row>
    <row r="257">
      <c r="A257" s="196" t="str">
        <f>IFERROR(__xludf.DUMMYFUNCTION("""COMPUTED_VALUE"""),"Bringer")</f>
        <v>Bringer</v>
      </c>
      <c r="B257" s="197" t="str">
        <f>IFERROR(__xludf.DUMMYFUNCTION("""COMPUTED_VALUE"""),"Canopystomper")</f>
        <v>Canopystomper</v>
      </c>
      <c r="C257" s="197">
        <f t="shared" si="1"/>
        <v>1</v>
      </c>
      <c r="D257" s="20" t="s">
        <v>2409</v>
      </c>
      <c r="E257" s="20">
        <v>1.0</v>
      </c>
    </row>
    <row r="258">
      <c r="A258" s="196" t="str">
        <f>IFERROR(__xludf.DUMMYFUNCTION("""COMPUTED_VALUE"""),"of")</f>
        <v>of</v>
      </c>
      <c r="B258" s="197" t="str">
        <f>IFERROR(__xludf.DUMMYFUNCTION("""COMPUTED_VALUE"""),"Resourceful")</f>
        <v>Resourceful</v>
      </c>
      <c r="C258" s="197">
        <f t="shared" si="1"/>
        <v>1</v>
      </c>
      <c r="D258" s="20" t="s">
        <v>2410</v>
      </c>
      <c r="E258" s="20">
        <v>1.0</v>
      </c>
    </row>
    <row r="259">
      <c r="A259" s="196" t="str">
        <f>IFERROR(__xludf.DUMMYFUNCTION("""COMPUTED_VALUE"""),"Good")</f>
        <v>Good</v>
      </c>
      <c r="B259" s="197" t="str">
        <f>IFERROR(__xludf.DUMMYFUNCTION("""COMPUTED_VALUE"""),"Poacher")</f>
        <v>Poacher</v>
      </c>
      <c r="C259" s="197">
        <f t="shared" si="1"/>
        <v>1</v>
      </c>
      <c r="D259" s="20" t="s">
        <v>2411</v>
      </c>
      <c r="E259" s="20">
        <v>1.0</v>
      </c>
    </row>
    <row r="260">
      <c r="A260" s="196" t="str">
        <f>IFERROR(__xludf.DUMMYFUNCTION("""COMPUTED_VALUE"""),"News")</f>
        <v>News</v>
      </c>
      <c r="B260" s="197" t="str">
        <f>IFERROR(__xludf.DUMMYFUNCTION("""COMPUTED_VALUE"""),"Infernoblight")</f>
        <v>Infernoblight</v>
      </c>
      <c r="C260" s="197">
        <f t="shared" si="1"/>
        <v>1</v>
      </c>
      <c r="D260" s="20" t="s">
        <v>380</v>
      </c>
      <c r="E260" s="20">
        <v>1.0</v>
      </c>
    </row>
    <row r="261">
      <c r="A261" s="196"/>
      <c r="B261" s="197" t="str">
        <f>IFERROR(__xludf.DUMMYFUNCTION("""COMPUTED_VALUE"""),"Skyshrieker")</f>
        <v>Skyshrieker</v>
      </c>
      <c r="C261" s="197">
        <f t="shared" si="1"/>
        <v>1</v>
      </c>
      <c r="D261" s="20" t="s">
        <v>2412</v>
      </c>
      <c r="E261" s="20">
        <v>1.0</v>
      </c>
    </row>
    <row r="262">
      <c r="A262" s="196" t="str">
        <f>IFERROR(__xludf.DUMMYFUNCTION("""COMPUTED_VALUE"""),"Thunderswarm")</f>
        <v>Thunderswarm</v>
      </c>
      <c r="B262" s="197" t="str">
        <f>IFERROR(__xludf.DUMMYFUNCTION("""COMPUTED_VALUE"""),"Mistborn")</f>
        <v>Mistborn</v>
      </c>
      <c r="C262" s="197">
        <f t="shared" si="1"/>
        <v>1</v>
      </c>
      <c r="D262" s="20" t="s">
        <v>2413</v>
      </c>
      <c r="E262" s="20">
        <v>1.0</v>
      </c>
    </row>
    <row r="263">
      <c r="A263" s="196" t="str">
        <f>IFERROR(__xludf.DUMMYFUNCTION("""COMPUTED_VALUE"""),"Lightning")</f>
        <v>Lightning</v>
      </c>
      <c r="B263" s="197" t="str">
        <f>IFERROR(__xludf.DUMMYFUNCTION("""COMPUTED_VALUE"""),"Serpent")</f>
        <v>Serpent</v>
      </c>
      <c r="C263" s="197">
        <f t="shared" si="1"/>
        <v>1</v>
      </c>
      <c r="D263" s="20" t="s">
        <v>2414</v>
      </c>
      <c r="E263" s="20">
        <v>1.0</v>
      </c>
    </row>
    <row r="264">
      <c r="A264" s="196" t="str">
        <f>IFERROR(__xludf.DUMMYFUNCTION("""COMPUTED_VALUE"""),"Rider")</f>
        <v>Rider</v>
      </c>
      <c r="B264" s="197" t="str">
        <f>IFERROR(__xludf.DUMMYFUNCTION("""COMPUTED_VALUE"""),"Bad")</f>
        <v>Bad</v>
      </c>
      <c r="C264" s="197">
        <f t="shared" si="1"/>
        <v>1</v>
      </c>
      <c r="D264" s="20" t="s">
        <v>2415</v>
      </c>
      <c r="E264" s="20">
        <v>1.0</v>
      </c>
    </row>
    <row r="265">
      <c r="A265" s="196"/>
      <c r="B265" s="197" t="str">
        <f>IFERROR(__xludf.DUMMYFUNCTION("""COMPUTED_VALUE"""),"Omens")</f>
        <v>Omens</v>
      </c>
      <c r="C265" s="197">
        <f t="shared" si="1"/>
        <v>1</v>
      </c>
      <c r="D265" s="20" t="s">
        <v>2416</v>
      </c>
      <c r="E265" s="20">
        <v>1.0</v>
      </c>
    </row>
    <row r="266">
      <c r="A266" s="196"/>
      <c r="B266" s="197" t="str">
        <f>IFERROR(__xludf.DUMMYFUNCTION("""COMPUTED_VALUE"""),"Gaunt")</f>
        <v>Gaunt</v>
      </c>
      <c r="C266" s="197">
        <f t="shared" si="1"/>
        <v>1</v>
      </c>
      <c r="D266" s="20" t="s">
        <v>2417</v>
      </c>
      <c r="E266" s="20">
        <v>1.0</v>
      </c>
    </row>
    <row r="267">
      <c r="A267" s="196" t="str">
        <f>IFERROR(__xludf.DUMMYFUNCTION("""COMPUTED_VALUE"""),"Desertwind")</f>
        <v>Desertwind</v>
      </c>
      <c r="B267" s="197" t="str">
        <f>IFERROR(__xludf.DUMMYFUNCTION("""COMPUTED_VALUE"""),"Visitation")</f>
        <v>Visitation</v>
      </c>
      <c r="C267" s="197">
        <f t="shared" si="1"/>
        <v>1</v>
      </c>
      <c r="D267" s="20" t="s">
        <v>2418</v>
      </c>
      <c r="E267" s="20">
        <v>1.0</v>
      </c>
    </row>
    <row r="268">
      <c r="A268" s="196" t="str">
        <f>IFERROR(__xludf.DUMMYFUNCTION("""COMPUTED_VALUE"""),"Relic")</f>
        <v>Relic</v>
      </c>
      <c r="B268" s="197" t="str">
        <f>IFERROR(__xludf.DUMMYFUNCTION("""COMPUTED_VALUE"""),"Manticore")</f>
        <v>Manticore</v>
      </c>
      <c r="C268" s="197">
        <f t="shared" si="1"/>
        <v>1</v>
      </c>
      <c r="D268" s="20" t="s">
        <v>2419</v>
      </c>
      <c r="E268" s="20">
        <v>1.0</v>
      </c>
    </row>
    <row r="269">
      <c r="A269" s="196" t="str">
        <f>IFERROR(__xludf.DUMMYFUNCTION("""COMPUTED_VALUE"""),"Hunter")</f>
        <v>Hunter</v>
      </c>
      <c r="B269" s="197" t="str">
        <f>IFERROR(__xludf.DUMMYFUNCTION("""COMPUTED_VALUE"""),"Featherfrost")</f>
        <v>Featherfrost</v>
      </c>
      <c r="C269" s="197">
        <f t="shared" si="1"/>
        <v>1</v>
      </c>
      <c r="D269" s="20" t="s">
        <v>2420</v>
      </c>
      <c r="E269" s="20">
        <v>1.0</v>
      </c>
    </row>
    <row r="270">
      <c r="A270" s="196"/>
      <c r="B270" s="197" t="str">
        <f>IFERROR(__xludf.DUMMYFUNCTION("""COMPUTED_VALUE"""),"Harpy")</f>
        <v>Harpy</v>
      </c>
      <c r="C270" s="197">
        <f t="shared" si="1"/>
        <v>1</v>
      </c>
      <c r="D270" s="20" t="s">
        <v>2421</v>
      </c>
      <c r="E270" s="20">
        <v>1.0</v>
      </c>
    </row>
    <row r="271">
      <c r="A271" s="196"/>
      <c r="B271" s="197" t="str">
        <f>IFERROR(__xludf.DUMMYFUNCTION("""COMPUTED_VALUE"""),"Raging")</f>
        <v>Raging</v>
      </c>
      <c r="C271" s="197">
        <f t="shared" si="1"/>
        <v>1</v>
      </c>
      <c r="D271" s="20" t="s">
        <v>745</v>
      </c>
      <c r="E271" s="20">
        <v>1.0</v>
      </c>
    </row>
    <row r="272">
      <c r="A272" s="196" t="str">
        <f>IFERROR(__xludf.DUMMYFUNCTION("""COMPUTED_VALUE"""),"Exemplar")</f>
        <v>Exemplar</v>
      </c>
      <c r="B272" s="197" t="str">
        <f>IFERROR(__xludf.DUMMYFUNCTION("""COMPUTED_VALUE"""),"Minotaur")</f>
        <v>Minotaur</v>
      </c>
      <c r="C272" s="197">
        <f t="shared" si="1"/>
        <v>1</v>
      </c>
      <c r="D272" s="20" t="s">
        <v>747</v>
      </c>
      <c r="E272" s="20">
        <v>1.0</v>
      </c>
    </row>
    <row r="273">
      <c r="A273" s="196" t="str">
        <f>IFERROR(__xludf.DUMMYFUNCTION("""COMPUTED_VALUE"""),"of")</f>
        <v>of</v>
      </c>
      <c r="B273" s="197" t="str">
        <f>IFERROR(__xludf.DUMMYFUNCTION("""COMPUTED_VALUE"""),"Raijin")</f>
        <v>Raijin</v>
      </c>
      <c r="C273" s="197">
        <f t="shared" si="1"/>
        <v>1</v>
      </c>
      <c r="D273" s="20" t="s">
        <v>761</v>
      </c>
      <c r="E273" s="20">
        <v>1.0</v>
      </c>
    </row>
    <row r="274">
      <c r="A274" s="196" t="str">
        <f>IFERROR(__xludf.DUMMYFUNCTION("""COMPUTED_VALUE"""),"Lunar")</f>
        <v>Lunar</v>
      </c>
      <c r="B274" s="197" t="str">
        <f>IFERROR(__xludf.DUMMYFUNCTION("""COMPUTED_VALUE"""),"Venomshade")</f>
        <v>Venomshade</v>
      </c>
      <c r="C274" s="197">
        <f t="shared" si="1"/>
        <v>1</v>
      </c>
      <c r="D274" s="20" t="s">
        <v>764</v>
      </c>
      <c r="E274" s="20">
        <v>1.0</v>
      </c>
    </row>
    <row r="275">
      <c r="A275" s="196" t="str">
        <f>IFERROR(__xludf.DUMMYFUNCTION("""COMPUTED_VALUE"""),"Gleam")</f>
        <v>Gleam</v>
      </c>
      <c r="B275" s="197" t="str">
        <f>IFERROR(__xludf.DUMMYFUNCTION("""COMPUTED_VALUE"""),"Lamia")</f>
        <v>Lamia</v>
      </c>
      <c r="C275" s="197">
        <f t="shared" si="1"/>
        <v>1</v>
      </c>
      <c r="D275" s="20" t="s">
        <v>2422</v>
      </c>
      <c r="E275" s="20">
        <v>1.0</v>
      </c>
    </row>
    <row r="276">
      <c r="A276" s="196"/>
      <c r="B276" s="197" t="str">
        <f>IFERROR(__xludf.DUMMYFUNCTION("""COMPUTED_VALUE"""),"Volcano")</f>
        <v>Volcano</v>
      </c>
      <c r="C276" s="197">
        <f t="shared" si="1"/>
        <v>1</v>
      </c>
      <c r="D276" s="20" t="s">
        <v>2423</v>
      </c>
      <c r="E276" s="20">
        <v>1.0</v>
      </c>
    </row>
    <row r="277">
      <c r="A277" s="196" t="str">
        <f>IFERROR(__xludf.DUMMYFUNCTION("""COMPUTED_VALUE"""),"Grenade")</f>
        <v>Grenade</v>
      </c>
      <c r="B277" s="197" t="str">
        <f>IFERROR(__xludf.DUMMYFUNCTION("""COMPUTED_VALUE"""),"Embodiment")</f>
        <v>Embodiment</v>
      </c>
      <c r="C277" s="197">
        <f t="shared" si="1"/>
        <v>1</v>
      </c>
      <c r="D277" s="20" t="s">
        <v>2424</v>
      </c>
      <c r="E277" s="20">
        <v>1.0</v>
      </c>
    </row>
    <row r="278">
      <c r="A278" s="196" t="str">
        <f>IFERROR(__xludf.DUMMYFUNCTION("""COMPUTED_VALUE"""),"Apple")</f>
        <v>Apple</v>
      </c>
      <c r="B278" s="197" t="str">
        <f>IFERROR(__xludf.DUMMYFUNCTION("""COMPUTED_VALUE"""),"Leviathan")</f>
        <v>Leviathan</v>
      </c>
      <c r="C278" s="197">
        <f t="shared" si="1"/>
        <v>1</v>
      </c>
      <c r="D278" s="20" t="s">
        <v>2425</v>
      </c>
      <c r="E278" s="20">
        <v>1.0</v>
      </c>
    </row>
    <row r="279">
      <c r="A279" s="196" t="str">
        <f>IFERROR(__xludf.DUMMYFUNCTION("""COMPUTED_VALUE"""),"Dragon")</f>
        <v>Dragon</v>
      </c>
      <c r="B279" s="197" t="str">
        <f>IFERROR(__xludf.DUMMYFUNCTION("""COMPUTED_VALUE"""),"Tectonic")</f>
        <v>Tectonic</v>
      </c>
      <c r="C279" s="197">
        <f t="shared" si="1"/>
        <v>1</v>
      </c>
      <c r="D279" s="20" t="s">
        <v>2426</v>
      </c>
      <c r="E279" s="20">
        <v>1.0</v>
      </c>
    </row>
    <row r="280">
      <c r="A280" s="196" t="str">
        <f>IFERROR(__xludf.DUMMYFUNCTION("""COMPUTED_VALUE"""),"#3")</f>
        <v>#3</v>
      </c>
      <c r="B280" s="197" t="str">
        <f>IFERROR(__xludf.DUMMYFUNCTION("""COMPUTED_VALUE"""),"Shifter")</f>
        <v>Shifter</v>
      </c>
      <c r="C280" s="197">
        <f t="shared" si="1"/>
        <v>1</v>
      </c>
      <c r="D280" s="20" t="s">
        <v>788</v>
      </c>
      <c r="E280" s="20">
        <v>1.0</v>
      </c>
    </row>
    <row r="281">
      <c r="A281" s="196"/>
      <c r="B281" s="197" t="str">
        <f>IFERROR(__xludf.DUMMYFUNCTION("""COMPUTED_VALUE"""),"Bastion")</f>
        <v>Bastion</v>
      </c>
      <c r="C281" s="197">
        <f t="shared" si="1"/>
        <v>1</v>
      </c>
      <c r="D281" s="20" t="s">
        <v>2427</v>
      </c>
      <c r="E281" s="20">
        <v>1.0</v>
      </c>
    </row>
    <row r="282">
      <c r="A282" s="196" t="str">
        <f>IFERROR(__xludf.DUMMYFUNCTION("""COMPUTED_VALUE"""),"The")</f>
        <v>The</v>
      </c>
      <c r="B282" s="197" t="str">
        <f>IFERROR(__xludf.DUMMYFUNCTION("""COMPUTED_VALUE"""),"Architect")</f>
        <v>Architect</v>
      </c>
      <c r="C282" s="197">
        <f t="shared" si="1"/>
        <v>1</v>
      </c>
      <c r="D282" s="20" t="s">
        <v>2428</v>
      </c>
      <c r="E282" s="20">
        <v>1.0</v>
      </c>
    </row>
    <row r="283">
      <c r="A283" s="196" t="str">
        <f>IFERROR(__xludf.DUMMYFUNCTION("""COMPUTED_VALUE"""),"Embalmer")</f>
        <v>Embalmer</v>
      </c>
      <c r="B283" s="197" t="str">
        <f>IFERROR(__xludf.DUMMYFUNCTION("""COMPUTED_VALUE"""),"Drägen")</f>
        <v>Drägen</v>
      </c>
      <c r="C283" s="197">
        <f t="shared" si="1"/>
        <v>1</v>
      </c>
      <c r="D283" s="20" t="s">
        <v>2429</v>
      </c>
      <c r="E283" s="20">
        <v>1.0</v>
      </c>
    </row>
    <row r="284">
      <c r="A284" s="196"/>
      <c r="B284" s="197" t="str">
        <f>IFERROR(__xludf.DUMMYFUNCTION("""COMPUTED_VALUE"""),"Mega")</f>
        <v>Mega</v>
      </c>
      <c r="C284" s="197">
        <f t="shared" si="1"/>
        <v>1</v>
      </c>
      <c r="D284" s="20" t="s">
        <v>2430</v>
      </c>
      <c r="E284" s="20">
        <v>1.0</v>
      </c>
    </row>
    <row r="285">
      <c r="A285" s="196"/>
      <c r="B285" s="197" t="str">
        <f>IFERROR(__xludf.DUMMYFUNCTION("""COMPUTED_VALUE"""),"Ultra")</f>
        <v>Ultra</v>
      </c>
      <c r="C285" s="197">
        <f t="shared" si="1"/>
        <v>1</v>
      </c>
      <c r="D285" s="20" t="s">
        <v>2431</v>
      </c>
      <c r="E285" s="20">
        <v>1.0</v>
      </c>
    </row>
    <row r="286">
      <c r="A286" s="196"/>
      <c r="B286" s="197" t="str">
        <f>IFERROR(__xludf.DUMMYFUNCTION("""COMPUTED_VALUE"""),"Chicken")</f>
        <v>Chicken</v>
      </c>
      <c r="C286" s="197">
        <f t="shared" si="1"/>
        <v>2</v>
      </c>
      <c r="D286" s="20" t="s">
        <v>2432</v>
      </c>
      <c r="E286" s="20">
        <v>1.0</v>
      </c>
    </row>
    <row r="287">
      <c r="A287" s="196" t="str">
        <f>IFERROR(__xludf.DUMMYFUNCTION("""COMPUTED_VALUE"""),"Ushabti")</f>
        <v>Ushabti</v>
      </c>
      <c r="B287" s="197" t="str">
        <f>IFERROR(__xludf.DUMMYFUNCTION("""COMPUTED_VALUE"""),"Blue")</f>
        <v>Blue</v>
      </c>
      <c r="C287" s="197">
        <f t="shared" si="1"/>
        <v>2</v>
      </c>
      <c r="D287" s="20" t="s">
        <v>2433</v>
      </c>
      <c r="E287" s="20">
        <v>1.0</v>
      </c>
    </row>
    <row r="288">
      <c r="A288" s="196" t="str">
        <f>IFERROR(__xludf.DUMMYFUNCTION("""COMPUTED_VALUE"""),"Carver")</f>
        <v>Carver</v>
      </c>
      <c r="B288" s="197" t="str">
        <f>IFERROR(__xludf.DUMMYFUNCTION("""COMPUTED_VALUE"""),"Venom-Dew")</f>
        <v>Venom-Dew</v>
      </c>
      <c r="C288" s="197">
        <f t="shared" si="1"/>
        <v>1</v>
      </c>
      <c r="D288" s="20" t="s">
        <v>2434</v>
      </c>
      <c r="E288" s="20">
        <v>1.0</v>
      </c>
    </row>
    <row r="289">
      <c r="A289" s="196"/>
      <c r="B289" s="197" t="str">
        <f>IFERROR(__xludf.DUMMYFUNCTION("""COMPUTED_VALUE"""),"Golemsaurus")</f>
        <v>Golemsaurus</v>
      </c>
      <c r="C289" s="197">
        <f t="shared" si="1"/>
        <v>1</v>
      </c>
      <c r="D289" s="20" t="s">
        <v>2435</v>
      </c>
      <c r="E289" s="20">
        <v>1.0</v>
      </c>
    </row>
    <row r="290">
      <c r="A290" s="196"/>
      <c r="B290" s="197" t="str">
        <f>IFERROR(__xludf.DUMMYFUNCTION("""COMPUTED_VALUE"""),"Slumbering")</f>
        <v>Slumbering</v>
      </c>
      <c r="C290" s="197">
        <f t="shared" si="1"/>
        <v>2</v>
      </c>
      <c r="D290" s="20" t="s">
        <v>2436</v>
      </c>
      <c r="E290" s="20">
        <v>1.0</v>
      </c>
    </row>
    <row r="291">
      <c r="A291" s="196"/>
      <c r="B291" s="197" t="str">
        <f>IFERROR(__xludf.DUMMYFUNCTION("""COMPUTED_VALUE"""),"Cavedrake")</f>
        <v>Cavedrake</v>
      </c>
      <c r="C291" s="197">
        <f t="shared" si="1"/>
        <v>1</v>
      </c>
      <c r="D291" s="20" t="s">
        <v>854</v>
      </c>
      <c r="E291" s="20">
        <v>1.0</v>
      </c>
    </row>
    <row r="292">
      <c r="A292" s="196" t="str">
        <f>IFERROR(__xludf.DUMMYFUNCTION("""COMPUTED_VALUE"""),"Shattercrown")</f>
        <v>Shattercrown</v>
      </c>
      <c r="B292" s="197" t="str">
        <f>IFERROR(__xludf.DUMMYFUNCTION("""COMPUTED_VALUE"""),"Eagle")</f>
        <v>Eagle</v>
      </c>
      <c r="C292" s="197">
        <f t="shared" si="1"/>
        <v>1</v>
      </c>
      <c r="D292" s="20" t="s">
        <v>867</v>
      </c>
      <c r="E292" s="20">
        <v>1.0</v>
      </c>
    </row>
    <row r="293">
      <c r="A293" s="196" t="str">
        <f>IFERROR(__xludf.DUMMYFUNCTION("""COMPUTED_VALUE"""),"Luminary")</f>
        <v>Luminary</v>
      </c>
      <c r="B293" s="197" t="str">
        <f>IFERROR(__xludf.DUMMYFUNCTION("""COMPUTED_VALUE"""),"Legion")</f>
        <v>Legion</v>
      </c>
      <c r="C293" s="197">
        <f t="shared" si="1"/>
        <v>2</v>
      </c>
      <c r="D293" s="20" t="s">
        <v>2437</v>
      </c>
      <c r="E293" s="20">
        <v>1.0</v>
      </c>
    </row>
    <row r="294">
      <c r="A294" s="196"/>
      <c r="B294" s="197" t="str">
        <f>IFERROR(__xludf.DUMMYFUNCTION("""COMPUTED_VALUE"""),"Starfall")</f>
        <v>Starfall</v>
      </c>
      <c r="C294" s="197">
        <f t="shared" si="1"/>
        <v>1</v>
      </c>
      <c r="D294" s="20" t="s">
        <v>2438</v>
      </c>
      <c r="E294" s="20">
        <v>1.0</v>
      </c>
    </row>
    <row r="295">
      <c r="A295" s="196"/>
      <c r="B295" s="197" t="str">
        <f>IFERROR(__xludf.DUMMYFUNCTION("""COMPUTED_VALUE"""),"Shaman")</f>
        <v>Shaman</v>
      </c>
      <c r="C295" s="197">
        <f t="shared" si="1"/>
        <v>2</v>
      </c>
      <c r="D295" s="20" t="s">
        <v>2439</v>
      </c>
      <c r="E295" s="20">
        <v>1.0</v>
      </c>
    </row>
    <row r="296">
      <c r="A296" s="196"/>
      <c r="B296" s="197" t="str">
        <f>IFERROR(__xludf.DUMMYFUNCTION("""COMPUTED_VALUE"""),"Merchant")</f>
        <v>Merchant</v>
      </c>
      <c r="C296" s="197">
        <f t="shared" si="1"/>
        <v>1</v>
      </c>
      <c r="D296" s="20" t="s">
        <v>896</v>
      </c>
      <c r="E296" s="20">
        <v>1.0</v>
      </c>
    </row>
    <row r="297">
      <c r="A297" s="196" t="str">
        <f>IFERROR(__xludf.DUMMYFUNCTION("""COMPUTED_VALUE"""),"Shepard")</f>
        <v>Shepard</v>
      </c>
      <c r="B297" s="197" t="str">
        <f>IFERROR(__xludf.DUMMYFUNCTION("""COMPUTED_VALUE"""),"Gladehost")</f>
        <v>Gladehost</v>
      </c>
      <c r="C297" s="197">
        <f t="shared" si="1"/>
        <v>2</v>
      </c>
      <c r="D297" s="20" t="s">
        <v>2440</v>
      </c>
      <c r="E297" s="20">
        <v>1.0</v>
      </c>
    </row>
    <row r="298">
      <c r="A298" s="196" t="str">
        <f>IFERROR(__xludf.DUMMYFUNCTION("""COMPUTED_VALUE"""),"of")</f>
        <v>of</v>
      </c>
      <c r="B298" s="197" t="str">
        <f>IFERROR(__xludf.DUMMYFUNCTION("""COMPUTED_VALUE"""),"Shotmaster")</f>
        <v>Shotmaster</v>
      </c>
      <c r="C298" s="197">
        <f t="shared" si="1"/>
        <v>1</v>
      </c>
      <c r="D298" s="20" t="s">
        <v>2441</v>
      </c>
      <c r="E298" s="20">
        <v>1.0</v>
      </c>
    </row>
    <row r="299">
      <c r="A299" s="196" t="str">
        <f>IFERROR(__xludf.DUMMYFUNCTION("""COMPUTED_VALUE"""),"the")</f>
        <v>the</v>
      </c>
      <c r="B299" s="197" t="str">
        <f>IFERROR(__xludf.DUMMYFUNCTION("""COMPUTED_VALUE"""),"Flamebearer")</f>
        <v>Flamebearer</v>
      </c>
      <c r="C299" s="197">
        <f t="shared" si="1"/>
        <v>1</v>
      </c>
      <c r="D299" s="20" t="s">
        <v>2442</v>
      </c>
      <c r="E299" s="20">
        <v>1.0</v>
      </c>
    </row>
    <row r="300">
      <c r="A300" s="196" t="str">
        <f>IFERROR(__xludf.DUMMYFUNCTION("""COMPUTED_VALUE"""),"Morning")</f>
        <v>Morning</v>
      </c>
      <c r="B300" s="197" t="str">
        <f>IFERROR(__xludf.DUMMYFUNCTION("""COMPUTED_VALUE"""),"Tidecrasher")</f>
        <v>Tidecrasher</v>
      </c>
      <c r="C300" s="197">
        <f t="shared" si="1"/>
        <v>1</v>
      </c>
      <c r="D300" s="20" t="s">
        <v>2443</v>
      </c>
      <c r="E300" s="20">
        <v>1.0</v>
      </c>
    </row>
    <row r="301">
      <c r="A301" s="196" t="str">
        <f>IFERROR(__xludf.DUMMYFUNCTION("""COMPUTED_VALUE"""),"Dew")</f>
        <v>Dew</v>
      </c>
      <c r="B301" s="197" t="str">
        <f>IFERROR(__xludf.DUMMYFUNCTION("""COMPUTED_VALUE"""),"Imperial")</f>
        <v>Imperial</v>
      </c>
      <c r="C301" s="197">
        <f t="shared" si="1"/>
        <v>1</v>
      </c>
      <c r="D301" s="20" t="s">
        <v>918</v>
      </c>
      <c r="E301" s="20">
        <v>1.0</v>
      </c>
    </row>
    <row r="302">
      <c r="A302" s="196" t="str">
        <f>IFERROR(__xludf.DUMMYFUNCTION("""COMPUTED_VALUE"""),"Arboreal")</f>
        <v>Arboreal</v>
      </c>
      <c r="B302" s="197" t="str">
        <f>IFERROR(__xludf.DUMMYFUNCTION("""COMPUTED_VALUE"""),"Tyrant")</f>
        <v>Tyrant</v>
      </c>
      <c r="C302" s="197">
        <f t="shared" si="1"/>
        <v>1</v>
      </c>
      <c r="D302" s="20" t="s">
        <v>2444</v>
      </c>
      <c r="E302" s="20">
        <v>1.0</v>
      </c>
    </row>
    <row r="303">
      <c r="A303" s="196" t="str">
        <f>IFERROR(__xludf.DUMMYFUNCTION("""COMPUTED_VALUE"""),"Messenger")</f>
        <v>Messenger</v>
      </c>
      <c r="B303" s="197" t="str">
        <f>IFERROR(__xludf.DUMMYFUNCTION("""COMPUTED_VALUE"""),"Eons-old")</f>
        <v>Eons-old</v>
      </c>
      <c r="C303" s="197">
        <f t="shared" si="1"/>
        <v>1</v>
      </c>
      <c r="D303" s="20" t="s">
        <v>2445</v>
      </c>
      <c r="E303" s="20">
        <v>1.0</v>
      </c>
    </row>
    <row r="304">
      <c r="A304" s="196"/>
      <c r="B304" s="197" t="str">
        <f>IFERROR(__xludf.DUMMYFUNCTION("""COMPUTED_VALUE"""),"Crystalfang")</f>
        <v>Crystalfang</v>
      </c>
      <c r="C304" s="197">
        <f t="shared" si="1"/>
        <v>1</v>
      </c>
      <c r="D304" s="20" t="s">
        <v>2446</v>
      </c>
      <c r="E304" s="20">
        <v>1.0</v>
      </c>
    </row>
    <row r="305">
      <c r="A305" s="196"/>
      <c r="B305" s="197" t="str">
        <f>IFERROR(__xludf.DUMMYFUNCTION("""COMPUTED_VALUE"""),"Makeshift")</f>
        <v>Makeshift</v>
      </c>
      <c r="C305" s="197">
        <f t="shared" si="1"/>
        <v>1</v>
      </c>
      <c r="D305" s="20" t="s">
        <v>2447</v>
      </c>
      <c r="E305" s="20">
        <v>1.0</v>
      </c>
    </row>
    <row r="306">
      <c r="A306" s="196"/>
      <c r="B306" s="197" t="str">
        <f>IFERROR(__xludf.DUMMYFUNCTION("""COMPUTED_VALUE"""),"Militia")</f>
        <v>Militia</v>
      </c>
      <c r="C306" s="197">
        <f t="shared" si="1"/>
        <v>1</v>
      </c>
      <c r="D306" s="20" t="s">
        <v>2448</v>
      </c>
      <c r="E306" s="20">
        <v>1.0</v>
      </c>
    </row>
    <row r="307">
      <c r="A307" s="196" t="str">
        <f>IFERROR(__xludf.DUMMYFUNCTION("""COMPUTED_VALUE"""),"Auric")</f>
        <v>Auric</v>
      </c>
      <c r="B307" s="197" t="str">
        <f>IFERROR(__xludf.DUMMYFUNCTION("""COMPUTED_VALUE"""),"Strategist")</f>
        <v>Strategist</v>
      </c>
      <c r="C307" s="197">
        <f t="shared" si="1"/>
        <v>1</v>
      </c>
      <c r="D307" s="20" t="s">
        <v>2449</v>
      </c>
      <c r="E307" s="20">
        <v>1.0</v>
      </c>
    </row>
    <row r="308">
      <c r="A308" s="196" t="str">
        <f>IFERROR(__xludf.DUMMYFUNCTION("""COMPUTED_VALUE"""),"Ant")</f>
        <v>Ant</v>
      </c>
      <c r="B308" s="197" t="str">
        <f>IFERROR(__xludf.DUMMYFUNCTION("""COMPUTED_VALUE"""),"Wraithknight")</f>
        <v>Wraithknight</v>
      </c>
      <c r="C308" s="197">
        <f t="shared" si="1"/>
        <v>1</v>
      </c>
      <c r="D308" s="20" t="s">
        <v>2450</v>
      </c>
      <c r="E308" s="20">
        <v>1.0</v>
      </c>
    </row>
    <row r="309">
      <c r="A309" s="196" t="str">
        <f>IFERROR(__xludf.DUMMYFUNCTION("""COMPUTED_VALUE"""),"Regent")</f>
        <v>Regent</v>
      </c>
      <c r="B309" s="197" t="str">
        <f>IFERROR(__xludf.DUMMYFUNCTION("""COMPUTED_VALUE"""),"Mountblade")</f>
        <v>Mountblade</v>
      </c>
      <c r="C309" s="197">
        <f t="shared" si="1"/>
        <v>1</v>
      </c>
      <c r="D309" s="20" t="s">
        <v>2451</v>
      </c>
      <c r="E309" s="20">
        <v>1.0</v>
      </c>
    </row>
    <row r="310">
      <c r="A310" s="196"/>
      <c r="B310" s="197" t="str">
        <f>IFERROR(__xludf.DUMMYFUNCTION("""COMPUTED_VALUE"""),"Squire")</f>
        <v>Squire</v>
      </c>
      <c r="C310" s="197">
        <f t="shared" si="1"/>
        <v>1</v>
      </c>
      <c r="D310" s="20" t="s">
        <v>2452</v>
      </c>
      <c r="E310" s="20">
        <v>1.0</v>
      </c>
    </row>
    <row r="311">
      <c r="A311" s="196"/>
      <c r="B311" s="197" t="str">
        <f>IFERROR(__xludf.DUMMYFUNCTION("""COMPUTED_VALUE"""),"Pyroclastic")</f>
        <v>Pyroclastic</v>
      </c>
      <c r="C311" s="197">
        <f t="shared" si="1"/>
        <v>1</v>
      </c>
      <c r="D311" s="20" t="s">
        <v>2453</v>
      </c>
      <c r="E311" s="20">
        <v>1.0</v>
      </c>
    </row>
    <row r="312">
      <c r="A312" s="196" t="str">
        <f>IFERROR(__xludf.DUMMYFUNCTION("""COMPUTED_VALUE"""),"Blessing")</f>
        <v>Blessing</v>
      </c>
      <c r="B312" s="197" t="str">
        <f>IFERROR(__xludf.DUMMYFUNCTION("""COMPUTED_VALUE"""),"Zombie")</f>
        <v>Zombie</v>
      </c>
      <c r="C312" s="197">
        <f t="shared" si="1"/>
        <v>1</v>
      </c>
      <c r="D312" s="20" t="s">
        <v>2454</v>
      </c>
      <c r="E312" s="20">
        <v>1.0</v>
      </c>
    </row>
    <row r="313">
      <c r="A313" s="196" t="str">
        <f>IFERROR(__xludf.DUMMYFUNCTION("""COMPUTED_VALUE"""),"Bestower")</f>
        <v>Bestower</v>
      </c>
      <c r="B313" s="197" t="str">
        <f>IFERROR(__xludf.DUMMYFUNCTION("""COMPUTED_VALUE"""),"Old")</f>
        <v>Old</v>
      </c>
      <c r="C313" s="197">
        <f t="shared" si="1"/>
        <v>2</v>
      </c>
      <c r="D313" s="20" t="s">
        <v>2455</v>
      </c>
      <c r="E313" s="20">
        <v>1.0</v>
      </c>
    </row>
    <row r="314">
      <c r="A314" s="196"/>
      <c r="B314" s="197" t="str">
        <f>IFERROR(__xludf.DUMMYFUNCTION("""COMPUTED_VALUE"""),"Fisherman")</f>
        <v>Fisherman</v>
      </c>
      <c r="C314" s="197">
        <f t="shared" si="1"/>
        <v>1</v>
      </c>
      <c r="D314" s="20" t="s">
        <v>955</v>
      </c>
      <c r="E314" s="20">
        <v>1.0</v>
      </c>
    </row>
    <row r="315">
      <c r="A315" s="196"/>
      <c r="B315" s="197" t="str">
        <f>IFERROR(__xludf.DUMMYFUNCTION("""COMPUTED_VALUE"""),"Wasteland")</f>
        <v>Wasteland</v>
      </c>
      <c r="C315" s="197">
        <f t="shared" si="1"/>
        <v>1</v>
      </c>
      <c r="D315" s="20" t="s">
        <v>2456</v>
      </c>
      <c r="E315" s="20">
        <v>1.0</v>
      </c>
    </row>
    <row r="316">
      <c r="A316" s="196"/>
      <c r="B316" s="197" t="str">
        <f>IFERROR(__xludf.DUMMYFUNCTION("""COMPUTED_VALUE"""),"Overlord")</f>
        <v>Overlord</v>
      </c>
      <c r="C316" s="197">
        <f t="shared" si="1"/>
        <v>2</v>
      </c>
      <c r="D316" s="20" t="s">
        <v>2457</v>
      </c>
      <c r="E316" s="20">
        <v>1.0</v>
      </c>
    </row>
    <row r="317">
      <c r="A317" s="196" t="str">
        <f>IFERROR(__xludf.DUMMYFUNCTION("""COMPUTED_VALUE"""),"Obelisk")</f>
        <v>Obelisk</v>
      </c>
      <c r="B317" s="197" t="str">
        <f>IFERROR(__xludf.DUMMYFUNCTION("""COMPUTED_VALUE"""),"Pinwheel")</f>
        <v>Pinwheel</v>
      </c>
      <c r="C317" s="197">
        <f t="shared" si="1"/>
        <v>1</v>
      </c>
      <c r="D317" s="20" t="s">
        <v>2458</v>
      </c>
      <c r="E317" s="20">
        <v>1.0</v>
      </c>
    </row>
    <row r="318">
      <c r="A318" s="196" t="str">
        <f>IFERROR(__xludf.DUMMYFUNCTION("""COMPUTED_VALUE"""),"Waypost")</f>
        <v>Waypost</v>
      </c>
      <c r="B318" s="197" t="str">
        <f>IFERROR(__xludf.DUMMYFUNCTION("""COMPUTED_VALUE"""),"Illusionist")</f>
        <v>Illusionist</v>
      </c>
      <c r="C318" s="197">
        <f t="shared" si="1"/>
        <v>1</v>
      </c>
      <c r="D318" s="20" t="s">
        <v>2459</v>
      </c>
      <c r="E318" s="20">
        <v>1.0</v>
      </c>
    </row>
    <row r="319">
      <c r="A319" s="196"/>
      <c r="B319" s="197" t="str">
        <f>IFERROR(__xludf.DUMMYFUNCTION("""COMPUTED_VALUE"""),"Marauder")</f>
        <v>Marauder</v>
      </c>
      <c r="C319" s="197">
        <f t="shared" si="1"/>
        <v>1</v>
      </c>
      <c r="D319" s="20" t="s">
        <v>2460</v>
      </c>
      <c r="E319" s="20">
        <v>1.0</v>
      </c>
    </row>
    <row r="320">
      <c r="A320" s="196"/>
      <c r="B320" s="197" t="str">
        <f>IFERROR(__xludf.DUMMYFUNCTION("""COMPUTED_VALUE"""),"Alchemist's")</f>
        <v>Alchemist's</v>
      </c>
      <c r="C320" s="197">
        <f t="shared" si="1"/>
        <v>1</v>
      </c>
      <c r="D320" s="20" t="s">
        <v>2461</v>
      </c>
      <c r="E320" s="20">
        <v>1.0</v>
      </c>
    </row>
    <row r="321">
      <c r="A321" s="196"/>
      <c r="B321" s="197" t="str">
        <f>IFERROR(__xludf.DUMMYFUNCTION("""COMPUTED_VALUE"""),"Incense")</f>
        <v>Incense</v>
      </c>
      <c r="C321" s="197">
        <f t="shared" si="1"/>
        <v>1</v>
      </c>
      <c r="D321" s="20" t="s">
        <v>2462</v>
      </c>
      <c r="E321" s="20">
        <v>1.0</v>
      </c>
    </row>
    <row r="322">
      <c r="A322" s="196" t="str">
        <f>IFERROR(__xludf.DUMMYFUNCTION("""COMPUTED_VALUE"""),"Crimson")</f>
        <v>Crimson</v>
      </c>
      <c r="B322" s="197" t="str">
        <f>IFERROR(__xludf.DUMMYFUNCTION("""COMPUTED_VALUE"""),"Quadriga")</f>
        <v>Quadriga</v>
      </c>
      <c r="C322" s="197">
        <f t="shared" si="1"/>
        <v>1</v>
      </c>
      <c r="D322" s="20" t="s">
        <v>2463</v>
      </c>
      <c r="E322" s="20">
        <v>1.0</v>
      </c>
    </row>
    <row r="323">
      <c r="A323" s="196" t="str">
        <f>IFERROR(__xludf.DUMMYFUNCTION("""COMPUTED_VALUE"""),"Flamechick")</f>
        <v>Flamechick</v>
      </c>
      <c r="B323" s="197" t="str">
        <f>IFERROR(__xludf.DUMMYFUNCTION("""COMPUTED_VALUE"""),"Triumph")</f>
        <v>Triumph</v>
      </c>
      <c r="C323" s="197">
        <f t="shared" si="1"/>
        <v>1</v>
      </c>
      <c r="D323" s="20" t="s">
        <v>2464</v>
      </c>
      <c r="E323" s="20">
        <v>1.0</v>
      </c>
    </row>
    <row r="324">
      <c r="A324" s="196"/>
      <c r="B324" s="197" t="str">
        <f>IFERROR(__xludf.DUMMYFUNCTION("""COMPUTED_VALUE"""),"Ambrosia")</f>
        <v>Ambrosia</v>
      </c>
      <c r="C324" s="197">
        <f t="shared" si="1"/>
        <v>1</v>
      </c>
      <c r="D324" s="20" t="s">
        <v>1015</v>
      </c>
      <c r="E324" s="20">
        <v>1.0</v>
      </c>
    </row>
    <row r="325">
      <c r="A325" s="196"/>
      <c r="B325" s="197" t="str">
        <f>IFERROR(__xludf.DUMMYFUNCTION("""COMPUTED_VALUE"""),"Bee")</f>
        <v>Bee</v>
      </c>
      <c r="C325" s="197">
        <f t="shared" si="1"/>
        <v>1</v>
      </c>
      <c r="D325" s="20" t="s">
        <v>2465</v>
      </c>
      <c r="E325" s="20">
        <v>1.0</v>
      </c>
    </row>
    <row r="326">
      <c r="A326" s="196"/>
      <c r="B326" s="197" t="str">
        <f>IFERROR(__xludf.DUMMYFUNCTION("""COMPUTED_VALUE"""),"Recruiting")</f>
        <v>Recruiting</v>
      </c>
      <c r="C326" s="197">
        <f t="shared" si="1"/>
        <v>1</v>
      </c>
      <c r="D326" s="20" t="s">
        <v>2466</v>
      </c>
      <c r="E326" s="20">
        <v>1.0</v>
      </c>
    </row>
    <row r="327">
      <c r="A327" s="196" t="str">
        <f>IFERROR(__xludf.DUMMYFUNCTION("""COMPUTED_VALUE"""),"The")</f>
        <v>The</v>
      </c>
      <c r="B327" s="197" t="str">
        <f>IFERROR(__xludf.DUMMYFUNCTION("""COMPUTED_VALUE"""),"Officer")</f>
        <v>Officer</v>
      </c>
      <c r="C327" s="197">
        <f t="shared" si="1"/>
        <v>1</v>
      </c>
      <c r="D327" s="20" t="s">
        <v>1021</v>
      </c>
      <c r="E327" s="20">
        <v>1.0</v>
      </c>
    </row>
    <row r="328">
      <c r="A328" s="196" t="str">
        <f>IFERROR(__xludf.DUMMYFUNCTION("""COMPUTED_VALUE"""),"Ascended")</f>
        <v>Ascended</v>
      </c>
      <c r="B328" s="197" t="str">
        <f>IFERROR(__xludf.DUMMYFUNCTION("""COMPUTED_VALUE"""),"Remnant")</f>
        <v>Remnant</v>
      </c>
      <c r="C328" s="197">
        <f t="shared" si="1"/>
        <v>1</v>
      </c>
      <c r="D328" s="20" t="s">
        <v>1024</v>
      </c>
      <c r="E328" s="20">
        <v>1.0</v>
      </c>
    </row>
    <row r="329">
      <c r="A329" s="196" t="str">
        <f>IFERROR(__xludf.DUMMYFUNCTION("""COMPUTED_VALUE"""),"One")</f>
        <v>One</v>
      </c>
      <c r="B329" s="197" t="str">
        <f>IFERROR(__xludf.DUMMYFUNCTION("""COMPUTED_VALUE"""),"Quiet")</f>
        <v>Quiet</v>
      </c>
      <c r="C329" s="197">
        <f t="shared" si="1"/>
        <v>1</v>
      </c>
      <c r="D329" s="20" t="s">
        <v>2467</v>
      </c>
      <c r="E329" s="20">
        <v>1.0</v>
      </c>
    </row>
    <row r="330">
      <c r="A330" s="196"/>
      <c r="B330" s="197" t="str">
        <f>IFERROR(__xludf.DUMMYFUNCTION("""COMPUTED_VALUE"""),"Springs")</f>
        <v>Springs</v>
      </c>
      <c r="C330" s="197">
        <f t="shared" si="1"/>
        <v>2</v>
      </c>
      <c r="D330" s="20" t="s">
        <v>2468</v>
      </c>
      <c r="E330" s="20">
        <v>1.0</v>
      </c>
    </row>
    <row r="331">
      <c r="A331" s="196"/>
      <c r="B331" s="197" t="str">
        <f>IFERROR(__xludf.DUMMYFUNCTION("""COMPUTED_VALUE"""),"Sandring")</f>
        <v>Sandring</v>
      </c>
      <c r="C331" s="197">
        <f t="shared" si="1"/>
        <v>1</v>
      </c>
      <c r="D331" s="20" t="s">
        <v>2469</v>
      </c>
      <c r="E331" s="20">
        <v>1.0</v>
      </c>
    </row>
    <row r="332">
      <c r="A332" s="196" t="str">
        <f>IFERROR(__xludf.DUMMYFUNCTION("""COMPUTED_VALUE"""),"Tranquil")</f>
        <v>Tranquil</v>
      </c>
      <c r="B332" s="197" t="str">
        <f>IFERROR(__xludf.DUMMYFUNCTION("""COMPUTED_VALUE"""),"Pridemane")</f>
        <v>Pridemane</v>
      </c>
      <c r="C332" s="197">
        <f t="shared" si="1"/>
        <v>1</v>
      </c>
      <c r="D332" s="20" t="s">
        <v>2470</v>
      </c>
      <c r="E332" s="20">
        <v>1.0</v>
      </c>
    </row>
    <row r="333">
      <c r="A333" s="196" t="str">
        <f>IFERROR(__xludf.DUMMYFUNCTION("""COMPUTED_VALUE"""),"Herd")</f>
        <v>Herd</v>
      </c>
      <c r="B333" s="197" t="str">
        <f>IFERROR(__xludf.DUMMYFUNCTION("""COMPUTED_VALUE"""),"Filthy")</f>
        <v>Filthy</v>
      </c>
      <c r="C333" s="197">
        <f t="shared" si="1"/>
        <v>1</v>
      </c>
      <c r="D333" s="20" t="s">
        <v>2471</v>
      </c>
      <c r="E333" s="20">
        <v>1.0</v>
      </c>
    </row>
    <row r="334">
      <c r="A334" s="196" t="str">
        <f>IFERROR(__xludf.DUMMYFUNCTION("""COMPUTED_VALUE"""),"Rubyskull")</f>
        <v>Rubyskull</v>
      </c>
      <c r="B334" s="197" t="str">
        <f>IFERROR(__xludf.DUMMYFUNCTION("""COMPUTED_VALUE"""),"Peasant")</f>
        <v>Peasant</v>
      </c>
      <c r="C334" s="197">
        <f t="shared" si="1"/>
        <v>1</v>
      </c>
      <c r="D334" s="20" t="s">
        <v>2472</v>
      </c>
      <c r="E334" s="20">
        <v>1.0</v>
      </c>
    </row>
    <row r="335">
      <c r="A335" s="196"/>
      <c r="B335" s="197" t="str">
        <f>IFERROR(__xludf.DUMMYFUNCTION("""COMPUTED_VALUE"""),"Scapegoat")</f>
        <v>Scapegoat</v>
      </c>
      <c r="C335" s="197">
        <f t="shared" si="1"/>
        <v>1</v>
      </c>
      <c r="D335" s="20" t="s">
        <v>1082</v>
      </c>
      <c r="E335" s="20">
        <v>1.0</v>
      </c>
    </row>
    <row r="336">
      <c r="A336" s="196"/>
      <c r="B336" s="197" t="str">
        <f>IFERROR(__xludf.DUMMYFUNCTION("""COMPUTED_VALUE"""),"Ironstride")</f>
        <v>Ironstride</v>
      </c>
      <c r="C336" s="197">
        <f t="shared" si="1"/>
        <v>1</v>
      </c>
      <c r="D336" s="20" t="s">
        <v>2473</v>
      </c>
      <c r="E336" s="20">
        <v>1.0</v>
      </c>
    </row>
    <row r="337">
      <c r="A337" s="196" t="str">
        <f>IFERROR(__xludf.DUMMYFUNCTION("""COMPUTED_VALUE"""),"Blackwing")</f>
        <v>Blackwing</v>
      </c>
      <c r="B337" s="197" t="str">
        <f>IFERROR(__xludf.DUMMYFUNCTION("""COMPUTED_VALUE"""),"Courser")</f>
        <v>Courser</v>
      </c>
      <c r="C337" s="197">
        <f t="shared" si="1"/>
        <v>1</v>
      </c>
      <c r="D337" s="20" t="s">
        <v>2474</v>
      </c>
      <c r="E337" s="20">
        <v>1.0</v>
      </c>
    </row>
    <row r="338">
      <c r="A338" s="196" t="str">
        <f>IFERROR(__xludf.DUMMYFUNCTION("""COMPUTED_VALUE"""),"Usurper")</f>
        <v>Usurper</v>
      </c>
      <c r="B338" s="197" t="str">
        <f>IFERROR(__xludf.DUMMYFUNCTION("""COMPUTED_VALUE"""),"Pocket")</f>
        <v>Pocket</v>
      </c>
      <c r="C338" s="197">
        <f t="shared" si="1"/>
        <v>1</v>
      </c>
      <c r="D338" s="20" t="s">
        <v>2475</v>
      </c>
      <c r="E338" s="20">
        <v>1.0</v>
      </c>
    </row>
    <row r="339">
      <c r="A339" s="196"/>
      <c r="B339" s="197" t="str">
        <f>IFERROR(__xludf.DUMMYFUNCTION("""COMPUTED_VALUE"""),"Prime")</f>
        <v>Prime</v>
      </c>
      <c r="C339" s="197">
        <f t="shared" si="1"/>
        <v>1</v>
      </c>
      <c r="D339" s="20" t="s">
        <v>2476</v>
      </c>
      <c r="E339" s="20">
        <v>1.0</v>
      </c>
    </row>
    <row r="340">
      <c r="A340" s="196"/>
      <c r="B340" s="197" t="str">
        <f>IFERROR(__xludf.DUMMYFUNCTION("""COMPUTED_VALUE"""),"Golem")</f>
        <v>Golem</v>
      </c>
      <c r="C340" s="197">
        <f t="shared" si="1"/>
        <v>2</v>
      </c>
      <c r="D340" s="20" t="s">
        <v>2477</v>
      </c>
      <c r="E340" s="20">
        <v>1.0</v>
      </c>
    </row>
    <row r="341">
      <c r="A341" s="196"/>
      <c r="B341" s="197" t="str">
        <f>IFERROR(__xludf.DUMMYFUNCTION("""COMPUTED_VALUE"""),"Siegebreaker")</f>
        <v>Siegebreaker</v>
      </c>
      <c r="C341" s="197">
        <f t="shared" si="1"/>
        <v>1</v>
      </c>
      <c r="D341" s="20" t="s">
        <v>2478</v>
      </c>
      <c r="E341" s="20">
        <v>1.0</v>
      </c>
    </row>
    <row r="342">
      <c r="A342" s="196" t="str">
        <f>IFERROR(__xludf.DUMMYFUNCTION("""COMPUTED_VALUE"""),"Thunderswarm")</f>
        <v>Thunderswarm</v>
      </c>
      <c r="B342" s="197" t="str">
        <f>IFERROR(__xludf.DUMMYFUNCTION("""COMPUTED_VALUE"""),"Surly")</f>
        <v>Surly</v>
      </c>
      <c r="C342" s="197">
        <f t="shared" si="1"/>
        <v>1</v>
      </c>
      <c r="D342" s="20" t="s">
        <v>2479</v>
      </c>
      <c r="E342" s="20">
        <v>1.0</v>
      </c>
    </row>
    <row r="343">
      <c r="A343" s="196" t="str">
        <f>IFERROR(__xludf.DUMMYFUNCTION("""COMPUTED_VALUE"""),"Celestial")</f>
        <v>Celestial</v>
      </c>
      <c r="B343" s="197" t="str">
        <f>IFERROR(__xludf.DUMMYFUNCTION("""COMPUTED_VALUE"""),"Donkey")</f>
        <v>Donkey</v>
      </c>
      <c r="C343" s="197">
        <f t="shared" si="1"/>
        <v>1</v>
      </c>
      <c r="D343" s="20" t="s">
        <v>2480</v>
      </c>
      <c r="E343" s="20">
        <v>1.0</v>
      </c>
    </row>
    <row r="344">
      <c r="A344" s="196"/>
      <c r="B344" s="197" t="str">
        <f>IFERROR(__xludf.DUMMYFUNCTION("""COMPUTED_VALUE"""),"Grand")</f>
        <v>Grand</v>
      </c>
      <c r="C344" s="197">
        <f t="shared" si="1"/>
        <v>1</v>
      </c>
      <c r="D344" s="20" t="s">
        <v>2481</v>
      </c>
      <c r="E344" s="20">
        <v>1.0</v>
      </c>
    </row>
    <row r="345">
      <c r="A345" s="196"/>
      <c r="B345" s="197" t="str">
        <f>IFERROR(__xludf.DUMMYFUNCTION("""COMPUTED_VALUE"""),"Ruiner")</f>
        <v>Ruiner</v>
      </c>
      <c r="C345" s="197">
        <f t="shared" si="1"/>
        <v>1</v>
      </c>
      <c r="D345" s="20" t="s">
        <v>2482</v>
      </c>
      <c r="E345" s="20">
        <v>1.0</v>
      </c>
    </row>
    <row r="346">
      <c r="A346" s="196"/>
      <c r="B346" s="197" t="str">
        <f>IFERROR(__xludf.DUMMYFUNCTION("""COMPUTED_VALUE"""),"Snow")</f>
        <v>Snow</v>
      </c>
      <c r="C346" s="197">
        <f t="shared" si="1"/>
        <v>1</v>
      </c>
      <c r="D346" s="20" t="s">
        <v>2483</v>
      </c>
      <c r="E346" s="20">
        <v>1.0</v>
      </c>
    </row>
    <row r="347">
      <c r="A347" s="196" t="str">
        <f>IFERROR(__xludf.DUMMYFUNCTION("""COMPUTED_VALUE"""),"The")</f>
        <v>The</v>
      </c>
      <c r="B347" s="197" t="str">
        <f>IFERROR(__xludf.DUMMYFUNCTION("""COMPUTED_VALUE"""),"Crane")</f>
        <v>Crane</v>
      </c>
      <c r="C347" s="197">
        <f t="shared" si="1"/>
        <v>1</v>
      </c>
      <c r="D347" s="20" t="s">
        <v>2484</v>
      </c>
      <c r="E347" s="20">
        <v>1.0</v>
      </c>
    </row>
    <row r="348">
      <c r="A348" s="196" t="str">
        <f>IFERROR(__xludf.DUMMYFUNCTION("""COMPUTED_VALUE"""),"Second")</f>
        <v>Second</v>
      </c>
      <c r="B348" s="197" t="str">
        <f>IFERROR(__xludf.DUMMYFUNCTION("""COMPUTED_VALUE"""),"Trading")</f>
        <v>Trading</v>
      </c>
      <c r="C348" s="197">
        <f t="shared" si="1"/>
        <v>1</v>
      </c>
      <c r="D348" s="20" t="s">
        <v>2485</v>
      </c>
      <c r="E348" s="20">
        <v>1.0</v>
      </c>
    </row>
    <row r="349">
      <c r="A349" s="196" t="str">
        <f>IFERROR(__xludf.DUMMYFUNCTION("""COMPUTED_VALUE"""),"Wing")</f>
        <v>Wing</v>
      </c>
      <c r="B349" s="197" t="str">
        <f>IFERROR(__xludf.DUMMYFUNCTION("""COMPUTED_VALUE"""),"Post")</f>
        <v>Post</v>
      </c>
      <c r="C349" s="197">
        <f t="shared" si="1"/>
        <v>1</v>
      </c>
      <c r="D349" s="20" t="s">
        <v>2486</v>
      </c>
      <c r="E349" s="20">
        <v>1.0</v>
      </c>
    </row>
    <row r="350">
      <c r="A350" s="196"/>
      <c r="B350" s="197" t="str">
        <f>IFERROR(__xludf.DUMMYFUNCTION("""COMPUTED_VALUE"""),"Camel")</f>
        <v>Camel</v>
      </c>
      <c r="C350" s="197">
        <f t="shared" si="1"/>
        <v>2</v>
      </c>
      <c r="D350" s="20" t="s">
        <v>2487</v>
      </c>
      <c r="E350" s="20">
        <v>1.0</v>
      </c>
    </row>
    <row r="351">
      <c r="A351" s="196"/>
      <c r="B351" s="197" t="str">
        <f>IFERROR(__xludf.DUMMYFUNCTION("""COMPUTED_VALUE"""),"Stormforged")</f>
        <v>Stormforged</v>
      </c>
      <c r="C351" s="197">
        <f t="shared" si="1"/>
        <v>1</v>
      </c>
      <c r="D351" s="20" t="s">
        <v>2488</v>
      </c>
      <c r="E351" s="20">
        <v>1.0</v>
      </c>
    </row>
    <row r="352">
      <c r="A352" s="196" t="str">
        <f>IFERROR(__xludf.DUMMYFUNCTION("""COMPUTED_VALUE"""),"Ivoryscar")</f>
        <v>Ivoryscar</v>
      </c>
      <c r="B352" s="197" t="str">
        <f>IFERROR(__xludf.DUMMYFUNCTION("""COMPUTED_VALUE"""),"Recruit")</f>
        <v>Recruit</v>
      </c>
      <c r="C352" s="197">
        <f t="shared" si="1"/>
        <v>1</v>
      </c>
      <c r="D352" s="20" t="s">
        <v>2489</v>
      </c>
      <c r="E352" s="20">
        <v>1.0</v>
      </c>
    </row>
    <row r="353">
      <c r="A353" s="196" t="str">
        <f>IFERROR(__xludf.DUMMYFUNCTION("""COMPUTED_VALUE"""),"Fatebreaker")</f>
        <v>Fatebreaker</v>
      </c>
      <c r="B353" s="197" t="str">
        <f>IFERROR(__xludf.DUMMYFUNCTION("""COMPUTED_VALUE"""),"Supply")</f>
        <v>Supply</v>
      </c>
      <c r="C353" s="197">
        <f t="shared" si="1"/>
        <v>1</v>
      </c>
      <c r="D353" s="20" t="s">
        <v>2490</v>
      </c>
      <c r="E353" s="20">
        <v>1.0</v>
      </c>
    </row>
    <row r="354">
      <c r="A354" s="196"/>
      <c r="B354" s="197" t="str">
        <f>IFERROR(__xludf.DUMMYFUNCTION("""COMPUTED_VALUE"""),"Trusty")</f>
        <v>Trusty</v>
      </c>
      <c r="C354" s="197">
        <f t="shared" si="1"/>
        <v>1</v>
      </c>
      <c r="D354" s="20" t="s">
        <v>2491</v>
      </c>
      <c r="E354" s="20">
        <v>1.0</v>
      </c>
    </row>
    <row r="355">
      <c r="A355" s="196"/>
      <c r="B355" s="197" t="str">
        <f>IFERROR(__xludf.DUMMYFUNCTION("""COMPUTED_VALUE"""),"Companion")</f>
        <v>Companion</v>
      </c>
      <c r="C355" s="197">
        <f t="shared" si="1"/>
        <v>1</v>
      </c>
      <c r="D355" s="20" t="s">
        <v>2492</v>
      </c>
      <c r="E355" s="20">
        <v>1.0</v>
      </c>
    </row>
    <row r="356">
      <c r="A356" s="196"/>
      <c r="B356" s="197" t="str">
        <f>IFERROR(__xludf.DUMMYFUNCTION("""COMPUTED_VALUE"""),"Bloodfleet")</f>
        <v>Bloodfleet</v>
      </c>
      <c r="C356" s="197">
        <f t="shared" si="1"/>
        <v>2</v>
      </c>
      <c r="D356" s="20" t="s">
        <v>2493</v>
      </c>
      <c r="E356" s="20">
        <v>1.0</v>
      </c>
    </row>
    <row r="357">
      <c r="A357" s="196" t="str">
        <f>IFERROR(__xludf.DUMMYFUNCTION("""COMPUTED_VALUE"""),"Moon")</f>
        <v>Moon</v>
      </c>
      <c r="B357" s="197" t="str">
        <f>IFERROR(__xludf.DUMMYFUNCTION("""COMPUTED_VALUE"""),"Raider")</f>
        <v>Raider</v>
      </c>
      <c r="C357" s="197">
        <f t="shared" si="1"/>
        <v>2</v>
      </c>
      <c r="D357" s="20" t="s">
        <v>2494</v>
      </c>
      <c r="E357" s="20">
        <v>1.0</v>
      </c>
    </row>
    <row r="358">
      <c r="A358" s="196" t="str">
        <f>IFERROR(__xludf.DUMMYFUNCTION("""COMPUTED_VALUE"""),"Priestess")</f>
        <v>Priestess</v>
      </c>
      <c r="B358" s="197" t="str">
        <f>IFERROR(__xludf.DUMMYFUNCTION("""COMPUTED_VALUE"""),"Caring")</f>
        <v>Caring</v>
      </c>
      <c r="C358" s="197">
        <f t="shared" si="1"/>
        <v>2</v>
      </c>
      <c r="D358" s="20" t="s">
        <v>2495</v>
      </c>
      <c r="E358" s="20">
        <v>1.0</v>
      </c>
    </row>
    <row r="359">
      <c r="A359" s="196"/>
      <c r="B359" s="197" t="str">
        <f>IFERROR(__xludf.DUMMYFUNCTION("""COMPUTED_VALUE"""),"Mother")</f>
        <v>Mother</v>
      </c>
      <c r="C359" s="197">
        <f t="shared" si="1"/>
        <v>1</v>
      </c>
      <c r="D359" s="20" t="s">
        <v>2496</v>
      </c>
      <c r="E359" s="20">
        <v>1.0</v>
      </c>
    </row>
    <row r="360">
      <c r="A360" s="196"/>
      <c r="B360" s="197" t="str">
        <f>IFERROR(__xludf.DUMMYFUNCTION("""COMPUTED_VALUE"""),"Wayward")</f>
        <v>Wayward</v>
      </c>
      <c r="C360" s="197">
        <f t="shared" si="1"/>
        <v>1</v>
      </c>
      <c r="D360" s="20" t="s">
        <v>2497</v>
      </c>
      <c r="E360" s="20">
        <v>1.0</v>
      </c>
    </row>
    <row r="361">
      <c r="A361" s="196"/>
      <c r="B361" s="197" t="str">
        <f>IFERROR(__xludf.DUMMYFUNCTION("""COMPUTED_VALUE"""),"Battle")</f>
        <v>Battle</v>
      </c>
      <c r="C361" s="197">
        <f t="shared" si="1"/>
        <v>1</v>
      </c>
      <c r="D361" s="20" t="s">
        <v>2498</v>
      </c>
      <c r="E361" s="20">
        <v>1.0</v>
      </c>
    </row>
    <row r="362">
      <c r="A362" s="196" t="str">
        <f>IFERROR(__xludf.DUMMYFUNCTION("""COMPUTED_VALUE"""),"Airstep")</f>
        <v>Airstep</v>
      </c>
      <c r="B362" s="197" t="str">
        <f>IFERROR(__xludf.DUMMYFUNCTION("""COMPUTED_VALUE"""),"Dreadnought")</f>
        <v>Dreadnought</v>
      </c>
      <c r="C362" s="197">
        <f t="shared" si="1"/>
        <v>1</v>
      </c>
      <c r="D362" s="20" t="s">
        <v>2499</v>
      </c>
      <c r="E362" s="20">
        <v>1.0</v>
      </c>
    </row>
    <row r="363">
      <c r="A363" s="196" t="str">
        <f>IFERROR(__xludf.DUMMYFUNCTION("""COMPUTED_VALUE"""),"Sifu")</f>
        <v>Sifu</v>
      </c>
      <c r="B363" s="197" t="str">
        <f>IFERROR(__xludf.DUMMYFUNCTION("""COMPUTED_VALUE"""),"Dojo")</f>
        <v>Dojo</v>
      </c>
      <c r="C363" s="197">
        <f t="shared" si="1"/>
        <v>1</v>
      </c>
      <c r="D363" s="20" t="s">
        <v>2500</v>
      </c>
      <c r="E363" s="20">
        <v>1.0</v>
      </c>
    </row>
    <row r="364">
      <c r="A364" s="196"/>
      <c r="B364" s="197" t="str">
        <f>IFERROR(__xludf.DUMMYFUNCTION("""COMPUTED_VALUE"""),"Drill")</f>
        <v>Drill</v>
      </c>
      <c r="C364" s="197">
        <f t="shared" si="1"/>
        <v>1</v>
      </c>
      <c r="D364" s="20" t="s">
        <v>2501</v>
      </c>
      <c r="E364" s="20">
        <v>1.0</v>
      </c>
    </row>
    <row r="365">
      <c r="A365" s="196"/>
      <c r="B365" s="197" t="str">
        <f>IFERROR(__xludf.DUMMYFUNCTION("""COMPUTED_VALUE"""),"Instructor")</f>
        <v>Instructor</v>
      </c>
      <c r="C365" s="197">
        <f t="shared" si="1"/>
        <v>1</v>
      </c>
      <c r="D365" s="20" t="s">
        <v>2502</v>
      </c>
      <c r="E365" s="20">
        <v>1.0</v>
      </c>
    </row>
    <row r="366">
      <c r="A366" s="196"/>
      <c r="B366" s="197" t="str">
        <f>IFERROR(__xludf.DUMMYFUNCTION("""COMPUTED_VALUE"""),"Rune")</f>
        <v>Rune</v>
      </c>
      <c r="C366" s="197">
        <f t="shared" si="1"/>
        <v>1</v>
      </c>
      <c r="D366" s="20" t="s">
        <v>2503</v>
      </c>
      <c r="E366" s="20">
        <v>1.0</v>
      </c>
    </row>
    <row r="367">
      <c r="A367" s="196" t="str">
        <f>IFERROR(__xludf.DUMMYFUNCTION("""COMPUTED_VALUE"""),"Moonspear")</f>
        <v>Moonspear</v>
      </c>
      <c r="B367" s="197" t="str">
        <f>IFERROR(__xludf.DUMMYFUNCTION("""COMPUTED_VALUE"""),"Whisperer")</f>
        <v>Whisperer</v>
      </c>
      <c r="C367" s="197">
        <f t="shared" si="1"/>
        <v>1</v>
      </c>
      <c r="D367" s="20" t="s">
        <v>1226</v>
      </c>
      <c r="E367" s="20">
        <v>1.0</v>
      </c>
    </row>
    <row r="368">
      <c r="A368" s="196" t="str">
        <f>IFERROR(__xludf.DUMMYFUNCTION("""COMPUTED_VALUE"""),"Paladin")</f>
        <v>Paladin</v>
      </c>
      <c r="B368" s="197" t="str">
        <f>IFERROR(__xludf.DUMMYFUNCTION("""COMPUTED_VALUE"""),"Ironclad")</f>
        <v>Ironclad</v>
      </c>
      <c r="C368" s="197">
        <f t="shared" si="1"/>
        <v>1</v>
      </c>
      <c r="D368" s="20" t="s">
        <v>2504</v>
      </c>
      <c r="E368" s="20">
        <v>1.0</v>
      </c>
    </row>
    <row r="369">
      <c r="A369" s="196"/>
      <c r="B369" s="197" t="str">
        <f>IFERROR(__xludf.DUMMYFUNCTION("""COMPUTED_VALUE"""),"Jailwalker")</f>
        <v>Jailwalker</v>
      </c>
      <c r="C369" s="197">
        <f t="shared" si="1"/>
        <v>1</v>
      </c>
      <c r="D369" s="20" t="s">
        <v>2505</v>
      </c>
      <c r="E369" s="20">
        <v>1.0</v>
      </c>
    </row>
    <row r="370">
      <c r="A370" s="196"/>
      <c r="B370" s="197" t="str">
        <f>IFERROR(__xludf.DUMMYFUNCTION("""COMPUTED_VALUE"""),"Holy")</f>
        <v>Holy</v>
      </c>
      <c r="C370" s="197">
        <f t="shared" si="1"/>
        <v>1</v>
      </c>
      <c r="D370" s="20" t="s">
        <v>2506</v>
      </c>
      <c r="E370" s="20">
        <v>1.0</v>
      </c>
    </row>
    <row r="371">
      <c r="A371" s="196"/>
      <c r="B371" s="197" t="str">
        <f>IFERROR(__xludf.DUMMYFUNCTION("""COMPUTED_VALUE"""),"Life")</f>
        <v>Life</v>
      </c>
      <c r="C371" s="197">
        <f t="shared" si="1"/>
        <v>1</v>
      </c>
      <c r="D371" s="20" t="s">
        <v>2507</v>
      </c>
      <c r="E371" s="20">
        <v>1.0</v>
      </c>
    </row>
    <row r="372">
      <c r="A372" s="196" t="str">
        <f>IFERROR(__xludf.DUMMYFUNCTION("""COMPUTED_VALUE"""),"Arcanum")</f>
        <v>Arcanum</v>
      </c>
      <c r="B372" s="197" t="str">
        <f>IFERROR(__xludf.DUMMYFUNCTION("""COMPUTED_VALUE"""),"Tree")</f>
        <v>Tree</v>
      </c>
      <c r="C372" s="197">
        <f t="shared" si="1"/>
        <v>2</v>
      </c>
      <c r="D372" s="20" t="s">
        <v>1260</v>
      </c>
      <c r="E372" s="20">
        <v>1.0</v>
      </c>
    </row>
    <row r="373">
      <c r="A373" s="196" t="str">
        <f>IFERROR(__xludf.DUMMYFUNCTION("""COMPUTED_VALUE"""),"Grandmaster")</f>
        <v>Grandmaster</v>
      </c>
      <c r="B373" s="197" t="str">
        <f>IFERROR(__xludf.DUMMYFUNCTION("""COMPUTED_VALUE"""),"Rampart")</f>
        <v>Rampart</v>
      </c>
      <c r="C373" s="197">
        <f t="shared" si="1"/>
        <v>1</v>
      </c>
      <c r="D373" s="20" t="s">
        <v>2508</v>
      </c>
      <c r="E373" s="20">
        <v>1.0</v>
      </c>
    </row>
    <row r="374">
      <c r="A374" s="196"/>
      <c r="B374" s="197" t="str">
        <f>IFERROR(__xludf.DUMMYFUNCTION("""COMPUTED_VALUE"""),"Shellback")</f>
        <v>Shellback</v>
      </c>
      <c r="C374" s="197">
        <f t="shared" si="1"/>
        <v>1</v>
      </c>
      <c r="D374" s="20" t="s">
        <v>2509</v>
      </c>
      <c r="E374" s="20">
        <v>1.0</v>
      </c>
    </row>
    <row r="375">
      <c r="A375" s="196"/>
      <c r="B375" s="197" t="str">
        <f>IFERROR(__xludf.DUMMYFUNCTION("""COMPUTED_VALUE"""),"Zodiac")</f>
        <v>Zodiac</v>
      </c>
      <c r="C375" s="197">
        <f t="shared" si="1"/>
        <v>1</v>
      </c>
      <c r="D375" s="20" t="s">
        <v>2510</v>
      </c>
      <c r="E375" s="20">
        <v>1.0</v>
      </c>
    </row>
    <row r="376">
      <c r="A376" s="196"/>
      <c r="B376" s="197" t="str">
        <f>IFERROR(__xludf.DUMMYFUNCTION("""COMPUTED_VALUE"""),"Samurai")</f>
        <v>Samurai</v>
      </c>
      <c r="C376" s="197">
        <f t="shared" si="1"/>
        <v>1</v>
      </c>
      <c r="D376" s="20" t="s">
        <v>2511</v>
      </c>
      <c r="E376" s="20">
        <v>1.0</v>
      </c>
    </row>
    <row r="377">
      <c r="A377" s="196" t="str">
        <f>IFERROR(__xludf.DUMMYFUNCTION("""COMPUTED_VALUE"""),"Auraborne")</f>
        <v>Auraborne</v>
      </c>
      <c r="B377" s="197" t="str">
        <f>IFERROR(__xludf.DUMMYFUNCTION("""COMPUTED_VALUE"""),"Scalehide")</f>
        <v>Scalehide</v>
      </c>
      <c r="C377" s="197">
        <f t="shared" si="1"/>
        <v>1</v>
      </c>
      <c r="D377" s="20" t="s">
        <v>2512</v>
      </c>
      <c r="E377" s="20">
        <v>1.0</v>
      </c>
    </row>
    <row r="378">
      <c r="A378" s="196" t="str">
        <f>IFERROR(__xludf.DUMMYFUNCTION("""COMPUTED_VALUE"""),"Wyvern")</f>
        <v>Wyvern</v>
      </c>
      <c r="B378" s="197" t="str">
        <f>IFERROR(__xludf.DUMMYFUNCTION("""COMPUTED_VALUE"""),"Trapper")</f>
        <v>Trapper</v>
      </c>
      <c r="C378" s="197">
        <f t="shared" si="1"/>
        <v>1</v>
      </c>
      <c r="D378" s="20" t="s">
        <v>2513</v>
      </c>
      <c r="E378" s="20">
        <v>1.0</v>
      </c>
    </row>
    <row r="379">
      <c r="A379" s="196"/>
      <c r="B379" s="197" t="str">
        <f>IFERROR(__xludf.DUMMYFUNCTION("""COMPUTED_VALUE"""),"Crescent")</f>
        <v>Crescent</v>
      </c>
      <c r="C379" s="197">
        <f t="shared" si="1"/>
        <v>1</v>
      </c>
      <c r="D379" s="20" t="s">
        <v>2514</v>
      </c>
      <c r="E379" s="20">
        <v>1.0</v>
      </c>
    </row>
    <row r="380">
      <c r="A380" s="196"/>
      <c r="B380" s="197" t="str">
        <f>IFERROR(__xludf.DUMMYFUNCTION("""COMPUTED_VALUE"""),"Trapmaster")</f>
        <v>Trapmaster</v>
      </c>
      <c r="C380" s="197">
        <f t="shared" si="1"/>
        <v>1</v>
      </c>
      <c r="D380" s="20" t="s">
        <v>2515</v>
      </c>
      <c r="E380" s="20">
        <v>1.0</v>
      </c>
    </row>
    <row r="381">
      <c r="A381" s="196"/>
      <c r="B381" s="197" t="str">
        <f>IFERROR(__xludf.DUMMYFUNCTION("""COMPUTED_VALUE"""),"Gemcrazed")</f>
        <v>Gemcrazed</v>
      </c>
      <c r="C381" s="197">
        <f t="shared" si="1"/>
        <v>1</v>
      </c>
      <c r="D381" s="20" t="s">
        <v>2516</v>
      </c>
      <c r="E381" s="20">
        <v>1.0</v>
      </c>
    </row>
    <row r="382">
      <c r="A382" s="196" t="str">
        <f>IFERROR(__xludf.DUMMYFUNCTION("""COMPUTED_VALUE"""),"Blazecharm")</f>
        <v>Blazecharm</v>
      </c>
      <c r="B382" s="197" t="str">
        <f>IFERROR(__xludf.DUMMYFUNCTION("""COMPUTED_VALUE"""),"Clown")</f>
        <v>Clown</v>
      </c>
      <c r="C382" s="197">
        <f t="shared" si="1"/>
        <v>1</v>
      </c>
      <c r="D382" s="20" t="s">
        <v>2517</v>
      </c>
      <c r="E382" s="20">
        <v>1.0</v>
      </c>
    </row>
    <row r="383">
      <c r="A383" s="196" t="str">
        <f>IFERROR(__xludf.DUMMYFUNCTION("""COMPUTED_VALUE"""),"Kitsune")</f>
        <v>Kitsune</v>
      </c>
      <c r="B383" s="197" t="str">
        <f>IFERROR(__xludf.DUMMYFUNCTION("""COMPUTED_VALUE"""),"Augur")</f>
        <v>Augur</v>
      </c>
      <c r="C383" s="197">
        <f t="shared" si="1"/>
        <v>1</v>
      </c>
      <c r="D383" s="20" t="s">
        <v>2518</v>
      </c>
      <c r="E383" s="20">
        <v>1.0</v>
      </c>
    </row>
    <row r="384">
      <c r="A384" s="196"/>
      <c r="B384" s="197" t="str">
        <f>IFERROR(__xludf.DUMMYFUNCTION("""COMPUTED_VALUE"""),"Sanguine")</f>
        <v>Sanguine</v>
      </c>
      <c r="C384" s="197">
        <f t="shared" si="1"/>
        <v>2</v>
      </c>
      <c r="D384" s="20" t="s">
        <v>2519</v>
      </c>
      <c r="E384" s="20">
        <v>1.0</v>
      </c>
    </row>
    <row r="385">
      <c r="A385" s="196"/>
      <c r="B385" s="197" t="str">
        <f>IFERROR(__xludf.DUMMYFUNCTION("""COMPUTED_VALUE"""),"Student")</f>
        <v>Student</v>
      </c>
      <c r="C385" s="197">
        <f t="shared" si="1"/>
        <v>1</v>
      </c>
      <c r="D385" s="20" t="s">
        <v>2520</v>
      </c>
      <c r="E385" s="20">
        <v>1.0</v>
      </c>
    </row>
    <row r="386">
      <c r="A386" s="196"/>
      <c r="B386" s="197" t="str">
        <f>IFERROR(__xludf.DUMMYFUNCTION("""COMPUTED_VALUE"""),"Shade")</f>
        <v>Shade</v>
      </c>
      <c r="C386" s="197">
        <f t="shared" si="1"/>
        <v>1</v>
      </c>
      <c r="D386" s="20" t="s">
        <v>2521</v>
      </c>
      <c r="E386" s="20">
        <v>1.0</v>
      </c>
    </row>
    <row r="387">
      <c r="A387" s="196" t="str">
        <f>IFERROR(__xludf.DUMMYFUNCTION("""COMPUTED_VALUE"""),"Glowing")</f>
        <v>Glowing</v>
      </c>
      <c r="B387" s="197" t="str">
        <f>IFERROR(__xludf.DUMMYFUNCTION("""COMPUTED_VALUE"""),"in")</f>
        <v>in</v>
      </c>
      <c r="C387" s="197">
        <f t="shared" si="1"/>
        <v>1</v>
      </c>
      <c r="D387" s="20" t="s">
        <v>2522</v>
      </c>
      <c r="E387" s="20">
        <v>1.0</v>
      </c>
    </row>
    <row r="388">
      <c r="A388" s="196" t="str">
        <f>IFERROR(__xludf.DUMMYFUNCTION("""COMPUTED_VALUE"""),"Gearhulk")</f>
        <v>Gearhulk</v>
      </c>
      <c r="B388" s="197" t="str">
        <f>IFERROR(__xludf.DUMMYFUNCTION("""COMPUTED_VALUE"""),"Alley")</f>
        <v>Alley</v>
      </c>
      <c r="C388" s="197">
        <f t="shared" si="1"/>
        <v>1</v>
      </c>
      <c r="D388" s="20" t="s">
        <v>2523</v>
      </c>
      <c r="E388" s="20">
        <v>1.0</v>
      </c>
    </row>
    <row r="389">
      <c r="A389" s="196"/>
      <c r="B389" s="197" t="str">
        <f>IFERROR(__xludf.DUMMYFUNCTION("""COMPUTED_VALUE"""),"Vindictive")</f>
        <v>Vindictive</v>
      </c>
      <c r="C389" s="197">
        <f t="shared" si="1"/>
        <v>1</v>
      </c>
      <c r="D389" s="20" t="s">
        <v>2524</v>
      </c>
      <c r="E389" s="20">
        <v>1.0</v>
      </c>
    </row>
    <row r="390">
      <c r="A390" s="196"/>
      <c r="B390" s="197" t="str">
        <f>IFERROR(__xludf.DUMMYFUNCTION("""COMPUTED_VALUE"""),"Forsaken")</f>
        <v>Forsaken</v>
      </c>
      <c r="C390" s="197">
        <f t="shared" si="1"/>
        <v>5</v>
      </c>
      <c r="D390" s="20" t="s">
        <v>2525</v>
      </c>
      <c r="E390" s="20">
        <v>1.0</v>
      </c>
    </row>
    <row r="391">
      <c r="A391" s="196"/>
      <c r="B391" s="197" t="str">
        <f>IFERROR(__xludf.DUMMYFUNCTION("""COMPUTED_VALUE"""),"Willing")</f>
        <v>Willing</v>
      </c>
      <c r="C391" s="197">
        <f t="shared" si="1"/>
        <v>1</v>
      </c>
      <c r="D391" s="20" t="s">
        <v>2526</v>
      </c>
      <c r="E391" s="20">
        <v>1.0</v>
      </c>
    </row>
    <row r="392">
      <c r="A392" s="196" t="str">
        <f>IFERROR(__xludf.DUMMYFUNCTION("""COMPUTED_VALUE"""),"Boiling")</f>
        <v>Boiling</v>
      </c>
      <c r="B392" s="197" t="str">
        <f>IFERROR(__xludf.DUMMYFUNCTION("""COMPUTED_VALUE"""),"Sacrifice")</f>
        <v>Sacrifice</v>
      </c>
      <c r="C392" s="197">
        <f t="shared" si="1"/>
        <v>1</v>
      </c>
      <c r="D392" s="20" t="s">
        <v>2527</v>
      </c>
      <c r="E392" s="20">
        <v>1.0</v>
      </c>
    </row>
    <row r="393">
      <c r="A393" s="196" t="str">
        <f>IFERROR(__xludf.DUMMYFUNCTION("""COMPUTED_VALUE"""),"Blood")</f>
        <v>Blood</v>
      </c>
      <c r="B393" s="197" t="str">
        <f>IFERROR(__xludf.DUMMYFUNCTION("""COMPUTED_VALUE"""),"Harpooneer")</f>
        <v>Harpooneer</v>
      </c>
      <c r="C393" s="197">
        <f t="shared" si="1"/>
        <v>1</v>
      </c>
      <c r="D393" s="20" t="s">
        <v>2528</v>
      </c>
      <c r="E393" s="20">
        <v>1.0</v>
      </c>
    </row>
    <row r="394">
      <c r="A394" s="196" t="str">
        <f>IFERROR(__xludf.DUMMYFUNCTION("""COMPUTED_VALUE"""),"Berserker")</f>
        <v>Berserker</v>
      </c>
      <c r="B394" s="197" t="str">
        <f>IFERROR(__xludf.DUMMYFUNCTION("""COMPUTED_VALUE"""),"Gold")</f>
        <v>Gold</v>
      </c>
      <c r="C394" s="197">
        <f t="shared" si="1"/>
        <v>1</v>
      </c>
      <c r="D394" s="20" t="s">
        <v>2529</v>
      </c>
      <c r="E394" s="20">
        <v>1.0</v>
      </c>
    </row>
    <row r="395">
      <c r="A395" s="196"/>
      <c r="B395" s="197" t="str">
        <f>IFERROR(__xludf.DUMMYFUNCTION("""COMPUTED_VALUE"""),"Colibri")</f>
        <v>Colibri</v>
      </c>
      <c r="C395" s="197">
        <f t="shared" si="1"/>
        <v>1</v>
      </c>
      <c r="D395" s="20" t="s">
        <v>2530</v>
      </c>
      <c r="E395" s="20">
        <v>1.0</v>
      </c>
    </row>
    <row r="396">
      <c r="A396" s="196"/>
      <c r="B396" s="197" t="str">
        <f>IFERROR(__xludf.DUMMYFUNCTION("""COMPUTED_VALUE"""),"Greedy")</f>
        <v>Greedy</v>
      </c>
      <c r="C396" s="197">
        <f t="shared" si="1"/>
        <v>1</v>
      </c>
      <c r="D396" s="20" t="s">
        <v>2531</v>
      </c>
      <c r="E396" s="20">
        <v>1.0</v>
      </c>
    </row>
    <row r="397">
      <c r="A397" s="196" t="str">
        <f>IFERROR(__xludf.DUMMYFUNCTION("""COMPUTED_VALUE"""),"Goat")</f>
        <v>Goat</v>
      </c>
      <c r="B397" s="197" t="str">
        <f>IFERROR(__xludf.DUMMYFUNCTION("""COMPUTED_VALUE"""),"Senator")</f>
        <v>Senator</v>
      </c>
      <c r="C397" s="197">
        <f t="shared" si="1"/>
        <v>1</v>
      </c>
      <c r="D397" s="20" t="s">
        <v>2532</v>
      </c>
      <c r="E397" s="20">
        <v>1.0</v>
      </c>
    </row>
    <row r="398">
      <c r="A398" s="196" t="str">
        <f>IFERROR(__xludf.DUMMYFUNCTION("""COMPUTED_VALUE"""),"Oracle")</f>
        <v>Oracle</v>
      </c>
      <c r="B398" s="197" t="str">
        <f>IFERROR(__xludf.DUMMYFUNCTION("""COMPUTED_VALUE"""),"Armordillo")</f>
        <v>Armordillo</v>
      </c>
      <c r="C398" s="197">
        <f t="shared" si="1"/>
        <v>1</v>
      </c>
      <c r="D398" s="20" t="s">
        <v>2533</v>
      </c>
      <c r="E398" s="20">
        <v>1.0</v>
      </c>
    </row>
    <row r="399">
      <c r="A399" s="196"/>
      <c r="B399" s="197" t="str">
        <f>IFERROR(__xludf.DUMMYFUNCTION("""COMPUTED_VALUE"""),"Paragon")</f>
        <v>Paragon</v>
      </c>
      <c r="C399" s="197">
        <f t="shared" si="1"/>
        <v>1</v>
      </c>
      <c r="D399" s="20" t="s">
        <v>2534</v>
      </c>
      <c r="E399" s="20">
        <v>1.0</v>
      </c>
    </row>
    <row r="400">
      <c r="A400" s="196"/>
      <c r="B400" s="197" t="str">
        <f>IFERROR(__xludf.DUMMYFUNCTION("""COMPUTED_VALUE"""),"Conquest")</f>
        <v>Conquest</v>
      </c>
      <c r="C400" s="197">
        <f t="shared" si="1"/>
        <v>1</v>
      </c>
      <c r="D400" s="20" t="s">
        <v>2535</v>
      </c>
      <c r="E400" s="20">
        <v>1.0</v>
      </c>
    </row>
    <row r="401">
      <c r="A401" s="196"/>
      <c r="B401" s="197" t="str">
        <f>IFERROR(__xludf.DUMMYFUNCTION("""COMPUTED_VALUE"""),"Tilling")</f>
        <v>Tilling</v>
      </c>
      <c r="C401" s="197">
        <f t="shared" si="1"/>
        <v>1</v>
      </c>
      <c r="D401" s="20" t="s">
        <v>2536</v>
      </c>
      <c r="E401" s="20">
        <v>1.0</v>
      </c>
    </row>
    <row r="402">
      <c r="A402" s="196" t="str">
        <f>IFERROR(__xludf.DUMMYFUNCTION("""COMPUTED_VALUE"""),"Tranquil")</f>
        <v>Tranquil</v>
      </c>
      <c r="B402" s="197" t="str">
        <f>IFERROR(__xludf.DUMMYFUNCTION("""COMPUTED_VALUE"""),"Yoke")</f>
        <v>Yoke</v>
      </c>
      <c r="C402" s="197">
        <f t="shared" si="1"/>
        <v>1</v>
      </c>
      <c r="D402" s="20" t="s">
        <v>2537</v>
      </c>
      <c r="E402" s="20">
        <v>1.0</v>
      </c>
    </row>
    <row r="403">
      <c r="A403" s="196" t="str">
        <f>IFERROR(__xludf.DUMMYFUNCTION("""COMPUTED_VALUE"""),"Herd")</f>
        <v>Herd</v>
      </c>
      <c r="B403" s="197" t="str">
        <f>IFERROR(__xludf.DUMMYFUNCTION("""COMPUTED_VALUE"""),"Beast")</f>
        <v>Beast</v>
      </c>
      <c r="C403" s="197">
        <f t="shared" si="1"/>
        <v>1</v>
      </c>
      <c r="D403" s="20" t="s">
        <v>2538</v>
      </c>
      <c r="E403" s="20">
        <v>1.0</v>
      </c>
    </row>
    <row r="404">
      <c r="A404" s="196" t="str">
        <f>IFERROR(__xludf.DUMMYFUNCTION("""COMPUTED_VALUE"""),"Sagehorn")</f>
        <v>Sagehorn</v>
      </c>
      <c r="B404" s="197" t="str">
        <f>IFERROR(__xludf.DUMMYFUNCTION("""COMPUTED_VALUE"""),"Blossombeast")</f>
        <v>Blossombeast</v>
      </c>
      <c r="C404" s="197">
        <f t="shared" si="1"/>
        <v>1</v>
      </c>
      <c r="D404" s="20" t="s">
        <v>2539</v>
      </c>
      <c r="E404" s="20">
        <v>1.0</v>
      </c>
    </row>
    <row r="405">
      <c r="A405" s="196"/>
      <c r="B405" s="197" t="str">
        <f>IFERROR(__xludf.DUMMYFUNCTION("""COMPUTED_VALUE"""),"Bug")</f>
        <v>Bug</v>
      </c>
      <c r="C405" s="197">
        <f t="shared" si="1"/>
        <v>2</v>
      </c>
      <c r="D405" s="20" t="s">
        <v>2540</v>
      </c>
      <c r="E405" s="20">
        <v>1.0</v>
      </c>
    </row>
    <row r="406">
      <c r="A406" s="196"/>
      <c r="B406" s="197" t="str">
        <f>IFERROR(__xludf.DUMMYFUNCTION("""COMPUTED_VALUE"""),"Curator")</f>
        <v>Curator</v>
      </c>
      <c r="C406" s="197">
        <f t="shared" si="1"/>
        <v>1</v>
      </c>
      <c r="D406" s="20" t="s">
        <v>1400</v>
      </c>
      <c r="E406" s="20">
        <v>1.0</v>
      </c>
    </row>
    <row r="407">
      <c r="A407" s="196" t="str">
        <f>IFERROR(__xludf.DUMMYFUNCTION("""COMPUTED_VALUE"""),"Sunblessed")</f>
        <v>Sunblessed</v>
      </c>
      <c r="B407" s="197" t="str">
        <f>IFERROR(__xludf.DUMMYFUNCTION("""COMPUTED_VALUE"""),"Buzzing")</f>
        <v>Buzzing</v>
      </c>
      <c r="C407" s="197">
        <f t="shared" si="1"/>
        <v>1</v>
      </c>
      <c r="D407" s="20" t="s">
        <v>2541</v>
      </c>
      <c r="E407" s="20">
        <v>1.0</v>
      </c>
    </row>
    <row r="408">
      <c r="A408" s="196" t="str">
        <f>IFERROR(__xludf.DUMMYFUNCTION("""COMPUTED_VALUE"""),"Crocodile")</f>
        <v>Crocodile</v>
      </c>
      <c r="B408" s="197" t="str">
        <f>IFERROR(__xludf.DUMMYFUNCTION("""COMPUTED_VALUE"""),"Hivetitan")</f>
        <v>Hivetitan</v>
      </c>
      <c r="C408" s="197">
        <f t="shared" si="1"/>
        <v>1</v>
      </c>
      <c r="D408" s="20" t="s">
        <v>2542</v>
      </c>
      <c r="E408" s="20">
        <v>1.0</v>
      </c>
    </row>
    <row r="409">
      <c r="A409" s="196"/>
      <c r="B409" s="197" t="str">
        <f>IFERROR(__xludf.DUMMYFUNCTION("""COMPUTED_VALUE"""),"Caleidoscope")</f>
        <v>Caleidoscope</v>
      </c>
      <c r="C409" s="197">
        <f t="shared" si="1"/>
        <v>1</v>
      </c>
      <c r="D409" s="20" t="s">
        <v>2543</v>
      </c>
      <c r="E409" s="20">
        <v>1.0</v>
      </c>
    </row>
    <row r="410">
      <c r="A410" s="196"/>
      <c r="B410" s="197" t="str">
        <f>IFERROR(__xludf.DUMMYFUNCTION("""COMPUTED_VALUE"""),"Spider")</f>
        <v>Spider</v>
      </c>
      <c r="C410" s="197">
        <f t="shared" si="1"/>
        <v>1</v>
      </c>
      <c r="D410" s="20" t="s">
        <v>2544</v>
      </c>
      <c r="E410" s="20">
        <v>1.0</v>
      </c>
    </row>
    <row r="411">
      <c r="A411" s="196"/>
      <c r="B411" s="197" t="str">
        <f>IFERROR(__xludf.DUMMYFUNCTION("""COMPUTED_VALUE"""),"Emberblade")</f>
        <v>Emberblade</v>
      </c>
      <c r="C411" s="197">
        <f t="shared" si="1"/>
        <v>1</v>
      </c>
      <c r="D411" s="20" t="s">
        <v>2545</v>
      </c>
      <c r="E411" s="20">
        <v>1.0</v>
      </c>
    </row>
    <row r="412">
      <c r="A412" s="196" t="str">
        <f>IFERROR(__xludf.DUMMYFUNCTION("""COMPUTED_VALUE"""),"Kois")</f>
        <v>Kois</v>
      </c>
      <c r="B412" s="197" t="str">
        <f>IFERROR(__xludf.DUMMYFUNCTION("""COMPUTED_VALUE"""),"Senatorial")</f>
        <v>Senatorial</v>
      </c>
      <c r="C412" s="197">
        <f t="shared" si="1"/>
        <v>1</v>
      </c>
      <c r="D412" s="20" t="s">
        <v>2546</v>
      </c>
      <c r="E412" s="20">
        <v>1.0</v>
      </c>
    </row>
    <row r="413">
      <c r="A413" s="196" t="str">
        <f>IFERROR(__xludf.DUMMYFUNCTION("""COMPUTED_VALUE"""),"of")</f>
        <v>of</v>
      </c>
      <c r="B413" s="197" t="str">
        <f>IFERROR(__xludf.DUMMYFUNCTION("""COMPUTED_VALUE"""),"Phalanx")</f>
        <v>Phalanx</v>
      </c>
      <c r="C413" s="197">
        <f t="shared" si="1"/>
        <v>1</v>
      </c>
      <c r="D413" s="20" t="s">
        <v>2547</v>
      </c>
      <c r="E413" s="20">
        <v>1.0</v>
      </c>
    </row>
    <row r="414">
      <c r="A414" s="196" t="str">
        <f>IFERROR(__xludf.DUMMYFUNCTION("""COMPUTED_VALUE"""),"Duality")</f>
        <v>Duality</v>
      </c>
      <c r="B414" s="197" t="str">
        <f>IFERROR(__xludf.DUMMYFUNCTION("""COMPUTED_VALUE"""),"Ferromancer")</f>
        <v>Ferromancer</v>
      </c>
      <c r="C414" s="197">
        <f t="shared" si="1"/>
        <v>1</v>
      </c>
      <c r="D414" s="20" t="s">
        <v>2548</v>
      </c>
      <c r="E414" s="20">
        <v>1.0</v>
      </c>
    </row>
    <row r="415">
      <c r="A415" s="196"/>
      <c r="B415" s="197" t="str">
        <f>IFERROR(__xludf.DUMMYFUNCTION("""COMPUTED_VALUE"""),"Frontier")</f>
        <v>Frontier</v>
      </c>
      <c r="C415" s="197">
        <f t="shared" si="1"/>
        <v>1</v>
      </c>
      <c r="D415" s="20" t="s">
        <v>2549</v>
      </c>
      <c r="E415" s="20">
        <v>1.0</v>
      </c>
    </row>
    <row r="416">
      <c r="A416" s="196"/>
      <c r="B416" s="197" t="str">
        <f>IFERROR(__xludf.DUMMYFUNCTION("""COMPUTED_VALUE"""),"Centurion")</f>
        <v>Centurion</v>
      </c>
      <c r="C416" s="197">
        <f t="shared" si="1"/>
        <v>1</v>
      </c>
      <c r="D416" s="20" t="s">
        <v>2550</v>
      </c>
      <c r="E416" s="20">
        <v>1.0</v>
      </c>
    </row>
    <row r="417">
      <c r="A417" s="196" t="str">
        <f>IFERROR(__xludf.DUMMYFUNCTION("""COMPUTED_VALUE"""),"Ivoryscar")</f>
        <v>Ivoryscar</v>
      </c>
      <c r="B417" s="197" t="str">
        <f>IFERROR(__xludf.DUMMYFUNCTION("""COMPUTED_VALUE"""),"Saboteur")</f>
        <v>Saboteur</v>
      </c>
      <c r="C417" s="197">
        <f t="shared" si="1"/>
        <v>1</v>
      </c>
      <c r="D417" s="20" t="s">
        <v>2551</v>
      </c>
      <c r="E417" s="20">
        <v>1.0</v>
      </c>
    </row>
    <row r="418">
      <c r="A418" s="196" t="str">
        <f>IFERROR(__xludf.DUMMYFUNCTION("""COMPUTED_VALUE"""),"Eclipsion")</f>
        <v>Eclipsion</v>
      </c>
      <c r="B418" s="197" t="str">
        <f>IFERROR(__xludf.DUMMYFUNCTION("""COMPUTED_VALUE"""),"Rustblood")</f>
        <v>Rustblood</v>
      </c>
      <c r="C418" s="197">
        <f t="shared" si="1"/>
        <v>1</v>
      </c>
      <c r="D418" s="20" t="s">
        <v>2552</v>
      </c>
      <c r="E418" s="20">
        <v>1.0</v>
      </c>
    </row>
    <row r="419">
      <c r="A419" s="196"/>
      <c r="B419" s="197" t="str">
        <f>IFERROR(__xludf.DUMMYFUNCTION("""COMPUTED_VALUE"""),"Fairgrove")</f>
        <v>Fairgrove</v>
      </c>
      <c r="C419" s="197">
        <f t="shared" si="1"/>
        <v>1</v>
      </c>
      <c r="D419" s="20" t="s">
        <v>2553</v>
      </c>
      <c r="E419" s="20">
        <v>1.0</v>
      </c>
    </row>
    <row r="420">
      <c r="A420" s="196"/>
      <c r="B420" s="197" t="str">
        <f>IFERROR(__xludf.DUMMYFUNCTION("""COMPUTED_VALUE"""),"Dryad")</f>
        <v>Dryad</v>
      </c>
      <c r="C420" s="197">
        <f t="shared" si="1"/>
        <v>1</v>
      </c>
      <c r="D420" s="20" t="s">
        <v>2554</v>
      </c>
      <c r="E420" s="20">
        <v>1.0</v>
      </c>
    </row>
    <row r="421">
      <c r="A421" s="196"/>
      <c r="B421" s="197" t="str">
        <f>IFERROR(__xludf.DUMMYFUNCTION("""COMPUTED_VALUE"""),"Fairy")</f>
        <v>Fairy</v>
      </c>
      <c r="C421" s="197">
        <f t="shared" si="1"/>
        <v>1</v>
      </c>
      <c r="D421" s="20" t="s">
        <v>2555</v>
      </c>
      <c r="E421" s="20">
        <v>1.0</v>
      </c>
    </row>
    <row r="422">
      <c r="A422" s="196" t="str">
        <f>IFERROR(__xludf.DUMMYFUNCTION("""COMPUTED_VALUE"""),"Fallen")</f>
        <v>Fallen</v>
      </c>
      <c r="B422" s="197" t="str">
        <f>IFERROR(__xludf.DUMMYFUNCTION("""COMPUTED_VALUE"""),"Fountain")</f>
        <v>Fountain</v>
      </c>
      <c r="C422" s="197">
        <f t="shared" si="1"/>
        <v>1</v>
      </c>
      <c r="D422" s="20" t="s">
        <v>1468</v>
      </c>
      <c r="E422" s="20">
        <v>1.0</v>
      </c>
    </row>
    <row r="423">
      <c r="A423" s="196" t="str">
        <f>IFERROR(__xludf.DUMMYFUNCTION("""COMPUTED_VALUE"""),"Angel")</f>
        <v>Angel</v>
      </c>
      <c r="B423" s="197" t="str">
        <f>IFERROR(__xludf.DUMMYFUNCTION("""COMPUTED_VALUE"""),"Harvest")</f>
        <v>Harvest</v>
      </c>
      <c r="C423" s="197">
        <f t="shared" si="1"/>
        <v>1</v>
      </c>
      <c r="D423" s="20" t="s">
        <v>2556</v>
      </c>
      <c r="E423" s="20">
        <v>1.0</v>
      </c>
    </row>
    <row r="424">
      <c r="A424" s="196"/>
      <c r="B424" s="197" t="str">
        <f>IFERROR(__xludf.DUMMYFUNCTION("""COMPUTED_VALUE"""),"Sanctifier")</f>
        <v>Sanctifier</v>
      </c>
      <c r="C424" s="197">
        <f t="shared" si="1"/>
        <v>1</v>
      </c>
      <c r="D424" s="20" t="s">
        <v>2557</v>
      </c>
      <c r="E424" s="20">
        <v>1.0</v>
      </c>
    </row>
    <row r="425">
      <c r="A425" s="196"/>
      <c r="B425" s="197" t="str">
        <f>IFERROR(__xludf.DUMMYFUNCTION("""COMPUTED_VALUE"""),"Goliath")</f>
        <v>Goliath</v>
      </c>
      <c r="C425" s="197">
        <f t="shared" si="1"/>
        <v>1</v>
      </c>
      <c r="D425" s="20" t="s">
        <v>2558</v>
      </c>
      <c r="E425" s="20">
        <v>1.0</v>
      </c>
    </row>
    <row r="426">
      <c r="A426" s="196"/>
      <c r="B426" s="197" t="str">
        <f>IFERROR(__xludf.DUMMYFUNCTION("""COMPUTED_VALUE"""),"Green")</f>
        <v>Green</v>
      </c>
      <c r="C426" s="197">
        <f t="shared" si="1"/>
        <v>2</v>
      </c>
      <c r="D426" s="20" t="s">
        <v>2559</v>
      </c>
      <c r="E426" s="20">
        <v>1.0</v>
      </c>
    </row>
    <row r="427">
      <c r="A427" s="196" t="str">
        <f>IFERROR(__xludf.DUMMYFUNCTION("""COMPUTED_VALUE"""),"Diamond")</f>
        <v>Diamond</v>
      </c>
      <c r="B427" s="197" t="str">
        <f>IFERROR(__xludf.DUMMYFUNCTION("""COMPUTED_VALUE"""),"Grizzly")</f>
        <v>Grizzly</v>
      </c>
      <c r="C427" s="197">
        <f t="shared" si="1"/>
        <v>1</v>
      </c>
      <c r="D427" s="20" t="s">
        <v>2560</v>
      </c>
      <c r="E427" s="20">
        <v>1.0</v>
      </c>
    </row>
    <row r="428">
      <c r="A428" s="196" t="str">
        <f>IFERROR(__xludf.DUMMYFUNCTION("""COMPUTED_VALUE"""),"Phantom")</f>
        <v>Phantom</v>
      </c>
      <c r="B428" s="197" t="str">
        <f>IFERROR(__xludf.DUMMYFUNCTION("""COMPUTED_VALUE"""),"Trap")</f>
        <v>Trap</v>
      </c>
      <c r="C428" s="197">
        <f t="shared" si="1"/>
        <v>1</v>
      </c>
      <c r="D428" s="20" t="s">
        <v>1490</v>
      </c>
      <c r="E428" s="20">
        <v>1.0</v>
      </c>
    </row>
    <row r="429">
      <c r="A429" s="196"/>
      <c r="B429" s="197" t="str">
        <f>IFERROR(__xludf.DUMMYFUNCTION("""COMPUTED_VALUE"""),"Volatile")</f>
        <v>Volatile</v>
      </c>
      <c r="C429" s="197">
        <f t="shared" si="1"/>
        <v>1</v>
      </c>
      <c r="D429" s="20" t="s">
        <v>2561</v>
      </c>
      <c r="E429" s="20">
        <v>1.0</v>
      </c>
    </row>
    <row r="430">
      <c r="A430" s="196"/>
      <c r="B430" s="197" t="str">
        <f>IFERROR(__xludf.DUMMYFUNCTION("""COMPUTED_VALUE"""),"Battlemage")</f>
        <v>Battlemage</v>
      </c>
      <c r="C430" s="197">
        <f t="shared" si="1"/>
        <v>1</v>
      </c>
      <c r="D430" s="20" t="s">
        <v>2562</v>
      </c>
      <c r="E430" s="20">
        <v>1.0</v>
      </c>
    </row>
    <row r="431">
      <c r="A431" s="196"/>
      <c r="B431" s="197" t="str">
        <f>IFERROR(__xludf.DUMMYFUNCTION("""COMPUTED_VALUE"""),"Ordinary")</f>
        <v>Ordinary</v>
      </c>
      <c r="C431" s="197">
        <f t="shared" si="1"/>
        <v>1</v>
      </c>
      <c r="D431" s="20" t="s">
        <v>2563</v>
      </c>
      <c r="E431" s="20">
        <v>1.0</v>
      </c>
    </row>
    <row r="432">
      <c r="A432" s="196" t="str">
        <f>IFERROR(__xludf.DUMMYFUNCTION("""COMPUTED_VALUE"""),"Draconic")</f>
        <v>Draconic</v>
      </c>
      <c r="B432" s="197" t="str">
        <f>IFERROR(__xludf.DUMMYFUNCTION("""COMPUTED_VALUE"""),"Flower")</f>
        <v>Flower</v>
      </c>
      <c r="C432" s="197">
        <f t="shared" si="1"/>
        <v>1</v>
      </c>
      <c r="D432" s="20" t="s">
        <v>2564</v>
      </c>
      <c r="E432" s="20">
        <v>1.0</v>
      </c>
    </row>
    <row r="433">
      <c r="A433" s="196" t="str">
        <f>IFERROR(__xludf.DUMMYFUNCTION("""COMPUTED_VALUE"""),"Highpriest")</f>
        <v>Highpriest</v>
      </c>
      <c r="B433" s="197" t="str">
        <f>IFERROR(__xludf.DUMMYFUNCTION("""COMPUTED_VALUE"""),"Pot")</f>
        <v>Pot</v>
      </c>
      <c r="C433" s="197">
        <f t="shared" si="1"/>
        <v>1</v>
      </c>
      <c r="D433" s="20" t="s">
        <v>2565</v>
      </c>
      <c r="E433" s="20">
        <v>1.0</v>
      </c>
    </row>
    <row r="434">
      <c r="A434" s="196"/>
      <c r="B434" s="197" t="str">
        <f>IFERROR(__xludf.DUMMYFUNCTION("""COMPUTED_VALUE"""),"Ancient")</f>
        <v>Ancient</v>
      </c>
      <c r="C434" s="197">
        <f t="shared" si="1"/>
        <v>3</v>
      </c>
      <c r="D434" s="20" t="s">
        <v>2566</v>
      </c>
      <c r="E434" s="20">
        <v>1.0</v>
      </c>
    </row>
    <row r="435">
      <c r="A435" s="196"/>
      <c r="B435" s="197" t="str">
        <f>IFERROR(__xludf.DUMMYFUNCTION("""COMPUTED_VALUE"""),"Scholar")</f>
        <v>Scholar</v>
      </c>
      <c r="C435" s="197">
        <f t="shared" si="1"/>
        <v>1</v>
      </c>
      <c r="D435" s="20" t="s">
        <v>2567</v>
      </c>
      <c r="E435" s="20">
        <v>1.0</v>
      </c>
    </row>
    <row r="436">
      <c r="A436" s="196"/>
      <c r="B436" s="197" t="str">
        <f>IFERROR(__xludf.DUMMYFUNCTION("""COMPUTED_VALUE"""),"Little")</f>
        <v>Little</v>
      </c>
      <c r="C436" s="197">
        <f t="shared" si="1"/>
        <v>1</v>
      </c>
      <c r="D436" s="20" t="s">
        <v>2568</v>
      </c>
      <c r="E436" s="20">
        <v>1.0</v>
      </c>
    </row>
    <row r="437">
      <c r="A437" s="196" t="str">
        <f>IFERROR(__xludf.DUMMYFUNCTION("""COMPUTED_VALUE"""),"Cavern")</f>
        <v>Cavern</v>
      </c>
      <c r="B437" s="197" t="str">
        <f>IFERROR(__xludf.DUMMYFUNCTION("""COMPUTED_VALUE"""),"Lamb")</f>
        <v>Lamb</v>
      </c>
      <c r="C437" s="197">
        <f t="shared" si="1"/>
        <v>1</v>
      </c>
      <c r="D437" s="20" t="s">
        <v>1510</v>
      </c>
      <c r="E437" s="20">
        <v>1.0</v>
      </c>
    </row>
    <row r="438">
      <c r="A438" s="196" t="str">
        <f>IFERROR(__xludf.DUMMYFUNCTION("""COMPUTED_VALUE"""),"Lindwurm")</f>
        <v>Lindwurm</v>
      </c>
      <c r="B438" s="197" t="str">
        <f>IFERROR(__xludf.DUMMYFUNCTION("""COMPUTED_VALUE"""),"Weaponized")</f>
        <v>Weaponized</v>
      </c>
      <c r="C438" s="197">
        <f t="shared" si="1"/>
        <v>1</v>
      </c>
      <c r="D438" s="20" t="s">
        <v>2569</v>
      </c>
      <c r="E438" s="20">
        <v>1.0</v>
      </c>
    </row>
    <row r="439">
      <c r="A439" s="196"/>
      <c r="B439" s="197" t="str">
        <f>IFERROR(__xludf.DUMMYFUNCTION("""COMPUTED_VALUE"""),"Pest")</f>
        <v>Pest</v>
      </c>
      <c r="C439" s="197">
        <f t="shared" si="1"/>
        <v>1</v>
      </c>
      <c r="D439" s="20" t="s">
        <v>2570</v>
      </c>
      <c r="E439" s="20">
        <v>1.0</v>
      </c>
    </row>
    <row r="440">
      <c r="A440" s="196"/>
      <c r="B440" s="197" t="str">
        <f>IFERROR(__xludf.DUMMYFUNCTION("""COMPUTED_VALUE"""),"Beastcaster")</f>
        <v>Beastcaster</v>
      </c>
      <c r="C440" s="197">
        <f t="shared" si="1"/>
        <v>1</v>
      </c>
      <c r="D440" s="20" t="s">
        <v>2571</v>
      </c>
      <c r="E440" s="20">
        <v>1.0</v>
      </c>
    </row>
    <row r="441">
      <c r="A441" s="196"/>
      <c r="B441" s="197" t="str">
        <f>IFERROR(__xludf.DUMMYFUNCTION("""COMPUTED_VALUE"""),"Trained")</f>
        <v>Trained</v>
      </c>
      <c r="C441" s="197">
        <f t="shared" si="1"/>
        <v>1</v>
      </c>
      <c r="D441" s="20" t="s">
        <v>1535</v>
      </c>
      <c r="E441" s="20">
        <v>1.0</v>
      </c>
    </row>
    <row r="442">
      <c r="A442" s="196" t="str">
        <f>IFERROR(__xludf.DUMMYFUNCTION("""COMPUTED_VALUE"""),"Cheerful")</f>
        <v>Cheerful</v>
      </c>
      <c r="B442" s="197" t="str">
        <f>IFERROR(__xludf.DUMMYFUNCTION("""COMPUTED_VALUE"""),"War")</f>
        <v>War</v>
      </c>
      <c r="C442" s="197">
        <f t="shared" si="1"/>
        <v>1</v>
      </c>
      <c r="D442" s="20" t="s">
        <v>2572</v>
      </c>
      <c r="E442" s="20">
        <v>1.0</v>
      </c>
    </row>
    <row r="443">
      <c r="A443" s="196" t="str">
        <f>IFERROR(__xludf.DUMMYFUNCTION("""COMPUTED_VALUE"""),"Pixies")</f>
        <v>Pixies</v>
      </c>
      <c r="B443" s="197" t="str">
        <f>IFERROR(__xludf.DUMMYFUNCTION("""COMPUTED_VALUE"""),"Elephant")</f>
        <v>Elephant</v>
      </c>
      <c r="C443" s="197">
        <f t="shared" si="1"/>
        <v>1</v>
      </c>
      <c r="D443" s="20" t="s">
        <v>2573</v>
      </c>
      <c r="E443" s="20">
        <v>1.0</v>
      </c>
    </row>
    <row r="444">
      <c r="A444" s="196"/>
      <c r="B444" s="197" t="str">
        <f>IFERROR(__xludf.DUMMYFUNCTION("""COMPUTED_VALUE"""),"Starborne")</f>
        <v>Starborne</v>
      </c>
      <c r="C444" s="197">
        <f t="shared" si="1"/>
        <v>1</v>
      </c>
      <c r="D444" s="20" t="s">
        <v>2574</v>
      </c>
      <c r="E444" s="20">
        <v>1.0</v>
      </c>
    </row>
    <row r="445">
      <c r="A445" s="196"/>
      <c r="B445" s="197" t="str">
        <f>IFERROR(__xludf.DUMMYFUNCTION("""COMPUTED_VALUE"""),"Kyudo")</f>
        <v>Kyudo</v>
      </c>
      <c r="C445" s="197">
        <f t="shared" si="1"/>
        <v>1</v>
      </c>
      <c r="D445" s="20" t="s">
        <v>2575</v>
      </c>
      <c r="E445" s="20">
        <v>1.0</v>
      </c>
    </row>
    <row r="446">
      <c r="A446" s="196"/>
      <c r="B446" s="197" t="str">
        <f>IFERROR(__xludf.DUMMYFUNCTION("""COMPUTED_VALUE"""),"Chalice")</f>
        <v>Chalice</v>
      </c>
      <c r="C446" s="197">
        <f t="shared" si="1"/>
        <v>1</v>
      </c>
      <c r="D446" s="20" t="s">
        <v>2576</v>
      </c>
      <c r="E446" s="20">
        <v>1.0</v>
      </c>
    </row>
    <row r="447">
      <c r="A447" s="196" t="str">
        <f>IFERROR(__xludf.DUMMYFUNCTION("""COMPUTED_VALUE"""),"Cinderguard")</f>
        <v>Cinderguard</v>
      </c>
      <c r="B447" s="197" t="str">
        <f>IFERROR(__xludf.DUMMYFUNCTION("""COMPUTED_VALUE"""),"Bloodbrewer")</f>
        <v>Bloodbrewer</v>
      </c>
      <c r="C447" s="197">
        <f t="shared" si="1"/>
        <v>1</v>
      </c>
      <c r="D447" s="20" t="s">
        <v>2577</v>
      </c>
      <c r="E447" s="20">
        <v>1.0</v>
      </c>
    </row>
    <row r="448">
      <c r="A448" s="196" t="str">
        <f>IFERROR(__xludf.DUMMYFUNCTION("""COMPUTED_VALUE"""),"Scribe")</f>
        <v>Scribe</v>
      </c>
      <c r="B448" s="197" t="str">
        <f>IFERROR(__xludf.DUMMYFUNCTION("""COMPUTED_VALUE"""),"Packhunting")</f>
        <v>Packhunting</v>
      </c>
      <c r="C448" s="197">
        <f t="shared" si="1"/>
        <v>1</v>
      </c>
      <c r="D448" s="20" t="s">
        <v>2578</v>
      </c>
      <c r="E448" s="20">
        <v>1.0</v>
      </c>
    </row>
    <row r="449">
      <c r="A449" s="196"/>
      <c r="B449" s="197" t="str">
        <f>IFERROR(__xludf.DUMMYFUNCTION("""COMPUTED_VALUE"""),"Crystalbeast")</f>
        <v>Crystalbeast</v>
      </c>
      <c r="C449" s="197">
        <f t="shared" si="1"/>
        <v>1</v>
      </c>
      <c r="D449" s="20" t="s">
        <v>2579</v>
      </c>
      <c r="E449" s="20">
        <v>1.0</v>
      </c>
    </row>
    <row r="450">
      <c r="A450" s="196"/>
      <c r="B450" s="197" t="str">
        <f>IFERROR(__xludf.DUMMYFUNCTION("""COMPUTED_VALUE"""),"Pebble")</f>
        <v>Pebble</v>
      </c>
      <c r="C450" s="197">
        <f t="shared" si="1"/>
        <v>1</v>
      </c>
      <c r="D450" s="20" t="s">
        <v>2580</v>
      </c>
      <c r="E450" s="20">
        <v>1.0</v>
      </c>
    </row>
    <row r="451">
      <c r="A451" s="196"/>
      <c r="B451" s="197" t="str">
        <f>IFERROR(__xludf.DUMMYFUNCTION("""COMPUTED_VALUE"""),"Gekko")</f>
        <v>Gekko</v>
      </c>
      <c r="C451" s="197">
        <f t="shared" si="1"/>
        <v>1</v>
      </c>
      <c r="D451" s="20" t="s">
        <v>2581</v>
      </c>
      <c r="E451" s="20">
        <v>1.0</v>
      </c>
    </row>
    <row r="452">
      <c r="A452" s="196" t="str">
        <f>IFERROR(__xludf.DUMMYFUNCTION("""COMPUTED_VALUE"""),"Daredevil")</f>
        <v>Daredevil</v>
      </c>
      <c r="B452" s="197" t="str">
        <f>IFERROR(__xludf.DUMMYFUNCTION("""COMPUTED_VALUE"""),"Platinum")</f>
        <v>Platinum</v>
      </c>
      <c r="C452" s="197">
        <f t="shared" si="1"/>
        <v>1</v>
      </c>
      <c r="D452" s="20" t="s">
        <v>2582</v>
      </c>
      <c r="E452" s="20">
        <v>1.0</v>
      </c>
    </row>
    <row r="453">
      <c r="A453" s="196" t="str">
        <f>IFERROR(__xludf.DUMMYFUNCTION("""COMPUTED_VALUE"""),"Duo")</f>
        <v>Duo</v>
      </c>
      <c r="B453" s="197" t="str">
        <f>IFERROR(__xludf.DUMMYFUNCTION("""COMPUTED_VALUE"""),"Ladybug")</f>
        <v>Ladybug</v>
      </c>
      <c r="C453" s="197">
        <f t="shared" si="1"/>
        <v>1</v>
      </c>
      <c r="D453" s="20" t="s">
        <v>2583</v>
      </c>
      <c r="E453" s="20">
        <v>1.0</v>
      </c>
    </row>
    <row r="454">
      <c r="A454" s="196"/>
      <c r="B454" s="197" t="str">
        <f>IFERROR(__xludf.DUMMYFUNCTION("""COMPUTED_VALUE"""),"Necromancer")</f>
        <v>Necromancer</v>
      </c>
      <c r="C454" s="197">
        <f t="shared" si="1"/>
        <v>1</v>
      </c>
      <c r="D454" s="20" t="s">
        <v>2584</v>
      </c>
      <c r="E454" s="20">
        <v>1.0</v>
      </c>
    </row>
    <row r="455">
      <c r="A455" s="196"/>
      <c r="B455" s="197" t="str">
        <f>IFERROR(__xludf.DUMMYFUNCTION("""COMPUTED_VALUE"""),"Pollen")</f>
        <v>Pollen</v>
      </c>
      <c r="C455" s="197">
        <f t="shared" si="1"/>
        <v>1</v>
      </c>
      <c r="D455" s="20" t="s">
        <v>2585</v>
      </c>
      <c r="E455" s="20">
        <v>1.0</v>
      </c>
    </row>
    <row r="456">
      <c r="A456" s="196"/>
      <c r="B456" s="197" t="str">
        <f>IFERROR(__xludf.DUMMYFUNCTION("""COMPUTED_VALUE"""),"Buzz")</f>
        <v>Buzz</v>
      </c>
      <c r="C456" s="197">
        <f t="shared" si="1"/>
        <v>1</v>
      </c>
      <c r="D456" s="20" t="s">
        <v>2586</v>
      </c>
      <c r="E456" s="20">
        <v>1.0</v>
      </c>
    </row>
    <row r="457">
      <c r="A457" s="196" t="str">
        <f>IFERROR(__xludf.DUMMYFUNCTION("""COMPUTED_VALUE"""),"Echo")</f>
        <v>Echo</v>
      </c>
      <c r="B457" s="197" t="str">
        <f>IFERROR(__xludf.DUMMYFUNCTION("""COMPUTED_VALUE"""),"Primal")</f>
        <v>Primal</v>
      </c>
      <c r="C457" s="197">
        <f t="shared" si="1"/>
        <v>1</v>
      </c>
      <c r="D457" s="20" t="s">
        <v>2587</v>
      </c>
      <c r="E457" s="20">
        <v>1.0</v>
      </c>
    </row>
    <row r="458">
      <c r="A458" s="196" t="str">
        <f>IFERROR(__xludf.DUMMYFUNCTION("""COMPUTED_VALUE"""),"Beetle")</f>
        <v>Beetle</v>
      </c>
      <c r="B458" s="197" t="str">
        <f>IFERROR(__xludf.DUMMYFUNCTION("""COMPUTED_VALUE"""),"Horde")</f>
        <v>Horde</v>
      </c>
      <c r="C458" s="197">
        <f t="shared" si="1"/>
        <v>1</v>
      </c>
      <c r="D458" s="20" t="s">
        <v>2588</v>
      </c>
      <c r="E458" s="20">
        <v>1.0</v>
      </c>
    </row>
    <row r="459">
      <c r="A459" s="196"/>
      <c r="B459" s="197" t="str">
        <f>IFERROR(__xludf.DUMMYFUNCTION("""COMPUTED_VALUE"""),"Prowling")</f>
        <v>Prowling</v>
      </c>
      <c r="C459" s="197">
        <f t="shared" si="1"/>
        <v>1</v>
      </c>
      <c r="D459" s="20" t="s">
        <v>2589</v>
      </c>
      <c r="E459" s="20">
        <v>1.0</v>
      </c>
    </row>
    <row r="460">
      <c r="A460" s="196"/>
      <c r="B460" s="197" t="str">
        <f>IFERROR(__xludf.DUMMYFUNCTION("""COMPUTED_VALUE"""),"Puma")</f>
        <v>Puma</v>
      </c>
      <c r="C460" s="197">
        <f t="shared" si="1"/>
        <v>1</v>
      </c>
      <c r="D460" s="20" t="s">
        <v>2590</v>
      </c>
      <c r="E460" s="20">
        <v>1.0</v>
      </c>
    </row>
    <row r="461">
      <c r="A461" s="196"/>
      <c r="B461" s="197" t="str">
        <f>IFERROR(__xludf.DUMMYFUNCTION("""COMPUTED_VALUE"""),"Crystal")</f>
        <v>Crystal</v>
      </c>
      <c r="C461" s="197">
        <f t="shared" si="1"/>
        <v>2</v>
      </c>
      <c r="D461" s="20" t="s">
        <v>1563</v>
      </c>
      <c r="E461" s="20">
        <v>1.0</v>
      </c>
    </row>
    <row r="462">
      <c r="A462" s="196" t="str">
        <f>IFERROR(__xludf.DUMMYFUNCTION("""COMPUTED_VALUE"""),"Ember")</f>
        <v>Ember</v>
      </c>
      <c r="B462" s="197" t="str">
        <f>IFERROR(__xludf.DUMMYFUNCTION("""COMPUTED_VALUE"""),"Catacombs")</f>
        <v>Catacombs</v>
      </c>
      <c r="C462" s="197">
        <f t="shared" si="1"/>
        <v>1</v>
      </c>
      <c r="D462" s="20" t="s">
        <v>2591</v>
      </c>
      <c r="E462" s="20">
        <v>1.0</v>
      </c>
    </row>
    <row r="463">
      <c r="A463" s="196" t="str">
        <f>IFERROR(__xludf.DUMMYFUNCTION("""COMPUTED_VALUE"""),"Whelp")</f>
        <v>Whelp</v>
      </c>
      <c r="B463" s="197" t="str">
        <f>IFERROR(__xludf.DUMMYFUNCTION("""COMPUTED_VALUE"""),"Aristocrat")</f>
        <v>Aristocrat</v>
      </c>
      <c r="C463" s="197">
        <f t="shared" si="1"/>
        <v>1</v>
      </c>
      <c r="D463" s="20" t="s">
        <v>2592</v>
      </c>
      <c r="E463" s="20">
        <v>1.0</v>
      </c>
    </row>
    <row r="464">
      <c r="A464" s="196"/>
      <c r="B464" s="197" t="str">
        <f>IFERROR(__xludf.DUMMYFUNCTION("""COMPUTED_VALUE"""),"Roar")</f>
        <v>Roar</v>
      </c>
      <c r="C464" s="197">
        <f t="shared" si="1"/>
        <v>1</v>
      </c>
      <c r="D464" s="20" t="s">
        <v>2593</v>
      </c>
      <c r="E464" s="20">
        <v>1.0</v>
      </c>
    </row>
    <row r="465">
      <c r="A465" s="196"/>
      <c r="B465" s="197" t="str">
        <f>IFERROR(__xludf.DUMMYFUNCTION("""COMPUTED_VALUE"""),"from")</f>
        <v>from</v>
      </c>
      <c r="C465" s="197">
        <f t="shared" si="1"/>
        <v>2</v>
      </c>
      <c r="D465" s="20" t="s">
        <v>2594</v>
      </c>
      <c r="E465" s="20">
        <v>1.0</v>
      </c>
    </row>
    <row r="466">
      <c r="A466" s="196"/>
      <c r="B466" s="197" t="str">
        <f>IFERROR(__xludf.DUMMYFUNCTION("""COMPUTED_VALUE"""),"Past")</f>
        <v>Past</v>
      </c>
      <c r="C466" s="197">
        <f t="shared" si="1"/>
        <v>1</v>
      </c>
      <c r="D466" s="20" t="s">
        <v>2595</v>
      </c>
      <c r="E466" s="20">
        <v>1.0</v>
      </c>
    </row>
    <row r="467">
      <c r="A467" s="196" t="str">
        <f>IFERROR(__xludf.DUMMYFUNCTION("""COMPUTED_VALUE"""),"Floating")</f>
        <v>Floating</v>
      </c>
      <c r="B467" s="197" t="str">
        <f>IFERROR(__xludf.DUMMYFUNCTION("""COMPUTED_VALUE"""),"Rootseed")</f>
        <v>Rootseed</v>
      </c>
      <c r="C467" s="197">
        <f t="shared" si="1"/>
        <v>1</v>
      </c>
      <c r="D467" s="20" t="s">
        <v>2596</v>
      </c>
      <c r="E467" s="20">
        <v>1.0</v>
      </c>
    </row>
    <row r="468">
      <c r="A468" s="196" t="str">
        <f>IFERROR(__xludf.DUMMYFUNCTION("""COMPUTED_VALUE"""),"Djinn")</f>
        <v>Djinn</v>
      </c>
      <c r="B468" s="197" t="str">
        <f>IFERROR(__xludf.DUMMYFUNCTION("""COMPUTED_VALUE"""),"Snapscale")</f>
        <v>Snapscale</v>
      </c>
      <c r="C468" s="197">
        <f t="shared" si="1"/>
        <v>1</v>
      </c>
      <c r="D468" s="20" t="s">
        <v>2597</v>
      </c>
      <c r="E468" s="20">
        <v>1.0</v>
      </c>
    </row>
    <row r="469">
      <c r="A469" s="196"/>
      <c r="B469" s="197" t="str">
        <f>IFERROR(__xludf.DUMMYFUNCTION("""COMPUTED_VALUE"""),"Alpha")</f>
        <v>Alpha</v>
      </c>
      <c r="C469" s="197">
        <f t="shared" si="1"/>
        <v>1</v>
      </c>
      <c r="D469" s="20" t="s">
        <v>2598</v>
      </c>
      <c r="E469" s="20">
        <v>1.0</v>
      </c>
    </row>
    <row r="470">
      <c r="A470" s="196"/>
      <c r="B470" s="197" t="str">
        <f>IFERROR(__xludf.DUMMYFUNCTION("""COMPUTED_VALUE"""),"Stampede")</f>
        <v>Stampede</v>
      </c>
      <c r="C470" s="197">
        <f t="shared" si="1"/>
        <v>1</v>
      </c>
      <c r="D470" s="20" t="s">
        <v>2599</v>
      </c>
      <c r="E470" s="20">
        <v>1.0</v>
      </c>
    </row>
    <row r="471">
      <c r="A471" s="196"/>
      <c r="B471" s="197" t="str">
        <f>IFERROR(__xludf.DUMMYFUNCTION("""COMPUTED_VALUE"""),"Amethyst")</f>
        <v>Amethyst</v>
      </c>
      <c r="C471" s="197">
        <f t="shared" si="1"/>
        <v>1</v>
      </c>
      <c r="D471" s="20" t="s">
        <v>2600</v>
      </c>
      <c r="E471" s="20">
        <v>1.0</v>
      </c>
    </row>
    <row r="472">
      <c r="A472" s="196" t="str">
        <f>IFERROR(__xludf.DUMMYFUNCTION("""COMPUTED_VALUE"""),"Dewdrop")</f>
        <v>Dewdrop</v>
      </c>
      <c r="B472" s="197" t="str">
        <f>IFERROR(__xludf.DUMMYFUNCTION("""COMPUTED_VALUE"""),"Argosaurus")</f>
        <v>Argosaurus</v>
      </c>
      <c r="C472" s="197">
        <f t="shared" si="1"/>
        <v>1</v>
      </c>
      <c r="D472" s="20" t="s">
        <v>2601</v>
      </c>
      <c r="E472" s="20">
        <v>1.0</v>
      </c>
    </row>
    <row r="473">
      <c r="A473" s="196" t="str">
        <f>IFERROR(__xludf.DUMMYFUNCTION("""COMPUTED_VALUE"""),"Sprite")</f>
        <v>Sprite</v>
      </c>
      <c r="B473" s="197" t="str">
        <f>IFERROR(__xludf.DUMMYFUNCTION("""COMPUTED_VALUE"""),"Astral")</f>
        <v>Astral</v>
      </c>
      <c r="C473" s="197">
        <f t="shared" si="1"/>
        <v>1</v>
      </c>
      <c r="D473" s="20" t="s">
        <v>2602</v>
      </c>
      <c r="E473" s="20">
        <v>1.0</v>
      </c>
    </row>
    <row r="474">
      <c r="A474" s="196"/>
      <c r="B474" s="197" t="str">
        <f>IFERROR(__xludf.DUMMYFUNCTION("""COMPUTED_VALUE"""),"Unicorn")</f>
        <v>Unicorn</v>
      </c>
      <c r="C474" s="197">
        <f t="shared" si="1"/>
        <v>1</v>
      </c>
      <c r="D474" s="20" t="s">
        <v>2603</v>
      </c>
      <c r="E474" s="20">
        <v>1.0</v>
      </c>
    </row>
    <row r="475">
      <c r="A475" s="196"/>
      <c r="B475" s="197" t="str">
        <f>IFERROR(__xludf.DUMMYFUNCTION("""COMPUTED_VALUE"""),"Spectra")</f>
        <v>Spectra</v>
      </c>
      <c r="C475" s="197">
        <f t="shared" si="1"/>
        <v>1</v>
      </c>
      <c r="D475" s="20" t="s">
        <v>1593</v>
      </c>
      <c r="E475" s="20">
        <v>1.0</v>
      </c>
    </row>
    <row r="476">
      <c r="A476" s="196"/>
      <c r="B476" s="197" t="str">
        <f>IFERROR(__xludf.DUMMYFUNCTION("""COMPUTED_VALUE"""),"Stick")</f>
        <v>Stick</v>
      </c>
      <c r="C476" s="197">
        <f t="shared" si="1"/>
        <v>1</v>
      </c>
      <c r="D476" s="20" t="s">
        <v>2604</v>
      </c>
      <c r="E476" s="20">
        <v>1.0</v>
      </c>
    </row>
    <row r="477">
      <c r="A477" s="196" t="str">
        <f>IFERROR(__xludf.DUMMYFUNCTION("""COMPUTED_VALUE"""),"Dragon")</f>
        <v>Dragon</v>
      </c>
      <c r="B477" s="197" t="str">
        <f>IFERROR(__xludf.DUMMYFUNCTION("""COMPUTED_VALUE"""),"Calming")</f>
        <v>Calming</v>
      </c>
      <c r="C477" s="197">
        <f t="shared" si="1"/>
        <v>1</v>
      </c>
      <c r="D477" s="20" t="s">
        <v>2605</v>
      </c>
      <c r="E477" s="20">
        <v>1.0</v>
      </c>
    </row>
    <row r="478">
      <c r="A478" s="196" t="str">
        <f>IFERROR(__xludf.DUMMYFUNCTION("""COMPUTED_VALUE"""),"Egg")</f>
        <v>Egg</v>
      </c>
      <c r="B478" s="197" t="str">
        <f>IFERROR(__xludf.DUMMYFUNCTION("""COMPUTED_VALUE"""),"Apparition")</f>
        <v>Apparition</v>
      </c>
      <c r="C478" s="197">
        <f t="shared" si="1"/>
        <v>1</v>
      </c>
      <c r="D478" s="20" t="s">
        <v>2606</v>
      </c>
      <c r="E478" s="20">
        <v>1.0</v>
      </c>
    </row>
    <row r="479">
      <c r="A479" s="196"/>
      <c r="B479" s="197" t="str">
        <f>IFERROR(__xludf.DUMMYFUNCTION("""COMPUTED_VALUE"""),"Sylvan")</f>
        <v>Sylvan</v>
      </c>
      <c r="C479" s="197">
        <f t="shared" si="1"/>
        <v>1</v>
      </c>
      <c r="D479" s="20" t="s">
        <v>2607</v>
      </c>
      <c r="E479" s="20">
        <v>1.0</v>
      </c>
    </row>
    <row r="480">
      <c r="A480" s="196"/>
      <c r="B480" s="197" t="str">
        <f>IFERROR(__xludf.DUMMYFUNCTION("""COMPUTED_VALUE"""),"Gamekeeper")</f>
        <v>Gamekeeper</v>
      </c>
      <c r="C480" s="197">
        <f t="shared" si="1"/>
        <v>1</v>
      </c>
      <c r="D480" s="20" t="s">
        <v>2608</v>
      </c>
      <c r="E480" s="20">
        <v>1.0</v>
      </c>
    </row>
    <row r="481">
      <c r="A481" s="196"/>
      <c r="B481" s="197" t="str">
        <f>IFERROR(__xludf.DUMMYFUNCTION("""COMPUTED_VALUE"""),"Tainted")</f>
        <v>Tainted</v>
      </c>
      <c r="C481" s="197">
        <f t="shared" si="1"/>
        <v>3</v>
      </c>
      <c r="D481" s="20" t="s">
        <v>2609</v>
      </c>
      <c r="E481" s="20">
        <v>1.0</v>
      </c>
    </row>
    <row r="482">
      <c r="A482" s="196" t="str">
        <f>IFERROR(__xludf.DUMMYFUNCTION("""COMPUTED_VALUE"""),"Dustdance")</f>
        <v>Dustdance</v>
      </c>
      <c r="B482" s="197" t="str">
        <f>IFERROR(__xludf.DUMMYFUNCTION("""COMPUTED_VALUE"""),"Jade")</f>
        <v>Jade</v>
      </c>
      <c r="C482" s="197">
        <f t="shared" si="1"/>
        <v>3</v>
      </c>
      <c r="D482" s="20" t="s">
        <v>2610</v>
      </c>
      <c r="E482" s="20">
        <v>1.0</v>
      </c>
    </row>
    <row r="483">
      <c r="A483" s="196" t="str">
        <f>IFERROR(__xludf.DUMMYFUNCTION("""COMPUTED_VALUE"""),"Efreet")</f>
        <v>Efreet</v>
      </c>
      <c r="B483" s="197" t="str">
        <f>IFERROR(__xludf.DUMMYFUNCTION("""COMPUTED_VALUE"""),"Monstrosity")</f>
        <v>Monstrosity</v>
      </c>
      <c r="C483" s="197">
        <f t="shared" si="1"/>
        <v>1</v>
      </c>
      <c r="D483" s="20" t="s">
        <v>2611</v>
      </c>
      <c r="E483" s="20">
        <v>1.0</v>
      </c>
    </row>
    <row r="484">
      <c r="A484" s="196"/>
      <c r="B484" s="197" t="str">
        <f>IFERROR(__xludf.DUMMYFUNCTION("""COMPUTED_VALUE"""),"Mycomancer")</f>
        <v>Mycomancer</v>
      </c>
      <c r="C484" s="197">
        <f t="shared" si="1"/>
        <v>1</v>
      </c>
      <c r="D484" s="20" t="s">
        <v>2612</v>
      </c>
      <c r="E484" s="20">
        <v>1.0</v>
      </c>
    </row>
    <row r="485">
      <c r="A485" s="196"/>
      <c r="B485" s="197" t="str">
        <f>IFERROR(__xludf.DUMMYFUNCTION("""COMPUTED_VALUE"""),"Matriarch")</f>
        <v>Matriarch</v>
      </c>
      <c r="C485" s="197">
        <f t="shared" si="1"/>
        <v>2</v>
      </c>
      <c r="D485" s="20" t="s">
        <v>2613</v>
      </c>
      <c r="E485" s="20">
        <v>1.0</v>
      </c>
    </row>
    <row r="486">
      <c r="A486" s="196"/>
      <c r="B486" s="197" t="str">
        <f>IFERROR(__xludf.DUMMYFUNCTION("""COMPUTED_VALUE"""),"Trickster")</f>
        <v>Trickster</v>
      </c>
      <c r="C486" s="197">
        <f t="shared" si="1"/>
        <v>2</v>
      </c>
      <c r="D486" s="20" t="s">
        <v>2614</v>
      </c>
      <c r="E486" s="20">
        <v>1.0</v>
      </c>
    </row>
    <row r="487">
      <c r="A487" s="196" t="str">
        <f>IFERROR(__xludf.DUMMYFUNCTION("""COMPUTED_VALUE"""),"Hermit")</f>
        <v>Hermit</v>
      </c>
      <c r="B487" s="197" t="str">
        <f>IFERROR(__xludf.DUMMYFUNCTION("""COMPUTED_VALUE"""),"Venomleaf")</f>
        <v>Venomleaf</v>
      </c>
      <c r="C487" s="197">
        <f t="shared" si="1"/>
        <v>1</v>
      </c>
      <c r="D487" s="20" t="s">
        <v>2615</v>
      </c>
      <c r="E487" s="20">
        <v>1.0</v>
      </c>
    </row>
    <row r="488">
      <c r="A488" s="196" t="str">
        <f>IFERROR(__xludf.DUMMYFUNCTION("""COMPUTED_VALUE"""),"of")</f>
        <v>of</v>
      </c>
      <c r="B488" s="197" t="str">
        <f>IFERROR(__xludf.DUMMYFUNCTION("""COMPUTED_VALUE"""),"Croaker")</f>
        <v>Croaker</v>
      </c>
      <c r="C488" s="197">
        <f t="shared" si="1"/>
        <v>1</v>
      </c>
      <c r="D488" s="20" t="s">
        <v>2616</v>
      </c>
      <c r="E488" s="20">
        <v>1.0</v>
      </c>
    </row>
    <row r="489">
      <c r="A489" s="196" t="str">
        <f>IFERROR(__xludf.DUMMYFUNCTION("""COMPUTED_VALUE"""),"the")</f>
        <v>the</v>
      </c>
      <c r="B489" s="197" t="str">
        <f>IFERROR(__xludf.DUMMYFUNCTION("""COMPUTED_VALUE"""),"Darkwood")</f>
        <v>Darkwood</v>
      </c>
      <c r="C489" s="197">
        <f t="shared" si="1"/>
        <v>1</v>
      </c>
      <c r="D489" s="20" t="s">
        <v>2617</v>
      </c>
      <c r="E489" s="20">
        <v>1.0</v>
      </c>
    </row>
    <row r="490">
      <c r="A490" s="196" t="str">
        <f>IFERROR(__xludf.DUMMYFUNCTION("""COMPUTED_VALUE"""),"Horizon")</f>
        <v>Horizon</v>
      </c>
      <c r="B490" s="197" t="str">
        <f>IFERROR(__xludf.DUMMYFUNCTION("""COMPUTED_VALUE"""),"Tracker")</f>
        <v>Tracker</v>
      </c>
      <c r="C490" s="197">
        <f t="shared" si="1"/>
        <v>1</v>
      </c>
      <c r="D490" s="20" t="s">
        <v>2618</v>
      </c>
      <c r="E490" s="20">
        <v>1.0</v>
      </c>
    </row>
    <row r="491">
      <c r="A491" s="196"/>
      <c r="B491" s="197" t="str">
        <f>IFERROR(__xludf.DUMMYFUNCTION("""COMPUTED_VALUE"""),"Verdant")</f>
        <v>Verdant</v>
      </c>
      <c r="C491" s="197">
        <f t="shared" si="1"/>
        <v>1</v>
      </c>
      <c r="D491" s="20" t="s">
        <v>2619</v>
      </c>
      <c r="E491" s="20">
        <v>1.0</v>
      </c>
    </row>
    <row r="492">
      <c r="A492" s="196" t="str">
        <f>IFERROR(__xludf.DUMMYFUNCTION("""COMPUTED_VALUE"""),"Roughlands")</f>
        <v>Roughlands</v>
      </c>
      <c r="B492" s="197" t="str">
        <f>IFERROR(__xludf.DUMMYFUNCTION("""COMPUTED_VALUE"""),"Sakura")</f>
        <v>Sakura</v>
      </c>
      <c r="C492" s="197">
        <f t="shared" si="1"/>
        <v>1</v>
      </c>
      <c r="D492" s="20" t="s">
        <v>2620</v>
      </c>
      <c r="E492" s="20">
        <v>1.0</v>
      </c>
    </row>
    <row r="493">
      <c r="A493" s="196" t="str">
        <f>IFERROR(__xludf.DUMMYFUNCTION("""COMPUTED_VALUE"""),"Scourge")</f>
        <v>Scourge</v>
      </c>
      <c r="B493" s="197" t="str">
        <f>IFERROR(__xludf.DUMMYFUNCTION("""COMPUTED_VALUE"""),"Forgotten")</f>
        <v>Forgotten</v>
      </c>
      <c r="C493" s="197">
        <f t="shared" si="1"/>
        <v>1</v>
      </c>
      <c r="D493" s="20" t="s">
        <v>2621</v>
      </c>
      <c r="E493" s="20">
        <v>1.0</v>
      </c>
    </row>
    <row r="494">
      <c r="A494" s="196"/>
      <c r="B494" s="197" t="str">
        <f>IFERROR(__xludf.DUMMYFUNCTION("""COMPUTED_VALUE"""),"Locust")</f>
        <v>Locust</v>
      </c>
      <c r="C494" s="197">
        <f t="shared" si="1"/>
        <v>1</v>
      </c>
      <c r="D494" s="20" t="s">
        <v>2622</v>
      </c>
      <c r="E494" s="20">
        <v>1.0</v>
      </c>
    </row>
    <row r="495">
      <c r="A495" s="196"/>
      <c r="B495" s="197" t="str">
        <f>IFERROR(__xludf.DUMMYFUNCTION("""COMPUTED_VALUE"""),"Swarm")</f>
        <v>Swarm</v>
      </c>
      <c r="C495" s="197">
        <f t="shared" si="1"/>
        <v>1</v>
      </c>
      <c r="D495" s="20" t="s">
        <v>2623</v>
      </c>
      <c r="E495" s="20">
        <v>1.0</v>
      </c>
    </row>
    <row r="496">
      <c r="A496" s="196"/>
      <c r="B496" s="197" t="str">
        <f>IFERROR(__xludf.DUMMYFUNCTION("""COMPUTED_VALUE"""),"Emerald")</f>
        <v>Emerald</v>
      </c>
      <c r="C496" s="197">
        <f t="shared" si="1"/>
        <v>1</v>
      </c>
      <c r="D496" s="20" t="s">
        <v>2624</v>
      </c>
      <c r="E496" s="20">
        <v>1.0</v>
      </c>
    </row>
    <row r="497">
      <c r="A497" s="196" t="str">
        <f>IFERROR(__xludf.DUMMYFUNCTION("""COMPUTED_VALUE"""),"Mirrorworld")</f>
        <v>Mirrorworld</v>
      </c>
      <c r="B497" s="197" t="str">
        <f>IFERROR(__xludf.DUMMYFUNCTION("""COMPUTED_VALUE"""),"Fang")</f>
        <v>Fang</v>
      </c>
      <c r="C497" s="197">
        <f t="shared" si="1"/>
        <v>1</v>
      </c>
      <c r="D497" s="20" t="s">
        <v>2625</v>
      </c>
      <c r="E497" s="20">
        <v>1.0</v>
      </c>
    </row>
    <row r="498">
      <c r="A498" s="196" t="str">
        <f>IFERROR(__xludf.DUMMYFUNCTION("""COMPUTED_VALUE"""),"Bloodseeker")</f>
        <v>Bloodseeker</v>
      </c>
      <c r="B498" s="197" t="str">
        <f>IFERROR(__xludf.DUMMYFUNCTION("""COMPUTED_VALUE"""),"Cobra")</f>
        <v>Cobra</v>
      </c>
      <c r="C498" s="197">
        <f t="shared" si="1"/>
        <v>1</v>
      </c>
      <c r="D498" s="20" t="s">
        <v>2626</v>
      </c>
      <c r="E498" s="20">
        <v>1.0</v>
      </c>
    </row>
    <row r="499">
      <c r="A499" s="196"/>
      <c r="B499" s="197" t="str">
        <f>IFERROR(__xludf.DUMMYFUNCTION("""COMPUTED_VALUE"""),"Entwining")</f>
        <v>Entwining</v>
      </c>
      <c r="C499" s="197">
        <f t="shared" si="1"/>
        <v>1</v>
      </c>
      <c r="D499" s="20" t="s">
        <v>2627</v>
      </c>
      <c r="E499" s="20">
        <v>1.0</v>
      </c>
    </row>
    <row r="500">
      <c r="A500" s="196"/>
      <c r="B500" s="197" t="str">
        <f>IFERROR(__xludf.DUMMYFUNCTION("""COMPUTED_VALUE"""),"Creeper")</f>
        <v>Creeper</v>
      </c>
      <c r="C500" s="197">
        <f t="shared" si="1"/>
        <v>2</v>
      </c>
      <c r="D500" s="20" t="s">
        <v>2628</v>
      </c>
      <c r="E500" s="20">
        <v>1.0</v>
      </c>
    </row>
    <row r="501">
      <c r="A501" s="196"/>
      <c r="B501" s="197" t="str">
        <f>IFERROR(__xludf.DUMMYFUNCTION("""COMPUTED_VALUE"""),"Jeweled")</f>
        <v>Jeweled</v>
      </c>
      <c r="C501" s="197">
        <f t="shared" si="1"/>
        <v>1</v>
      </c>
      <c r="D501" s="20" t="s">
        <v>2629</v>
      </c>
      <c r="E501" s="20">
        <v>1.0</v>
      </c>
    </row>
    <row r="502">
      <c r="A502" s="196" t="str">
        <f>IFERROR(__xludf.DUMMYFUNCTION("""COMPUTED_VALUE"""),"Mountain")</f>
        <v>Mountain</v>
      </c>
      <c r="B502" s="197" t="str">
        <f>IFERROR(__xludf.DUMMYFUNCTION("""COMPUTED_VALUE"""),"Triceratops")</f>
        <v>Triceratops</v>
      </c>
      <c r="C502" s="197">
        <f t="shared" si="1"/>
        <v>1</v>
      </c>
      <c r="D502" s="20" t="s">
        <v>2630</v>
      </c>
      <c r="E502" s="20">
        <v>1.0</v>
      </c>
    </row>
    <row r="503">
      <c r="A503" s="196" t="str">
        <f>IFERROR(__xludf.DUMMYFUNCTION("""COMPUTED_VALUE"""),"Sage")</f>
        <v>Sage</v>
      </c>
      <c r="B503" s="197" t="str">
        <f>IFERROR(__xludf.DUMMYFUNCTION("""COMPUTED_VALUE"""),"Jolly")</f>
        <v>Jolly</v>
      </c>
      <c r="C503" s="197">
        <f t="shared" si="1"/>
        <v>1</v>
      </c>
      <c r="D503" s="20" t="s">
        <v>2631</v>
      </c>
      <c r="E503" s="20">
        <v>1.0</v>
      </c>
    </row>
    <row r="504">
      <c r="A504" s="196"/>
      <c r="B504" s="197" t="str">
        <f>IFERROR(__xludf.DUMMYFUNCTION("""COMPUTED_VALUE"""),"Tamarin")</f>
        <v>Tamarin</v>
      </c>
      <c r="C504" s="197">
        <f t="shared" si="1"/>
        <v>1</v>
      </c>
      <c r="D504" s="20" t="s">
        <v>2632</v>
      </c>
      <c r="E504" s="20">
        <v>1.0</v>
      </c>
    </row>
    <row r="505">
      <c r="A505" s="196"/>
      <c r="B505" s="197" t="str">
        <f>IFERROR(__xludf.DUMMYFUNCTION("""COMPUTED_VALUE"""),"Leech")</f>
        <v>Leech</v>
      </c>
      <c r="C505" s="197">
        <f t="shared" si="1"/>
        <v>1</v>
      </c>
      <c r="D505" s="20" t="s">
        <v>2633</v>
      </c>
      <c r="E505" s="20">
        <v>1.0</v>
      </c>
    </row>
    <row r="506">
      <c r="A506" s="196"/>
      <c r="B506" s="197" t="str">
        <f>IFERROR(__xludf.DUMMYFUNCTION("""COMPUTED_VALUE"""),"Dragonfly")</f>
        <v>Dragonfly</v>
      </c>
      <c r="C506" s="197">
        <f t="shared" si="1"/>
        <v>1</v>
      </c>
      <c r="D506" s="20" t="s">
        <v>2634</v>
      </c>
      <c r="E506" s="20">
        <v>1.0</v>
      </c>
    </row>
    <row r="507">
      <c r="A507" s="196" t="str">
        <f>IFERROR(__xludf.DUMMYFUNCTION("""COMPUTED_VALUE"""),"Nimbus")</f>
        <v>Nimbus</v>
      </c>
      <c r="B507" s="197" t="str">
        <f>IFERROR(__xludf.DUMMYFUNCTION("""COMPUTED_VALUE"""),"Nurseplant")</f>
        <v>Nurseplant</v>
      </c>
      <c r="C507" s="197">
        <f t="shared" si="1"/>
        <v>1</v>
      </c>
      <c r="D507" s="20" t="s">
        <v>2635</v>
      </c>
      <c r="E507" s="20">
        <v>1.0</v>
      </c>
    </row>
    <row r="508">
      <c r="A508" s="196" t="str">
        <f>IFERROR(__xludf.DUMMYFUNCTION("""COMPUTED_VALUE"""),"Claw")</f>
        <v>Claw</v>
      </c>
      <c r="B508" s="197" t="str">
        <f>IFERROR(__xludf.DUMMYFUNCTION("""COMPUTED_VALUE"""),"Bloodthrone")</f>
        <v>Bloodthrone</v>
      </c>
      <c r="C508" s="197">
        <f t="shared" si="1"/>
        <v>3</v>
      </c>
      <c r="D508" s="20" t="s">
        <v>2636</v>
      </c>
      <c r="E508" s="20">
        <v>1.0</v>
      </c>
    </row>
    <row r="509">
      <c r="A509" s="196"/>
      <c r="B509" s="197" t="str">
        <f>IFERROR(__xludf.DUMMYFUNCTION("""COMPUTED_VALUE"""),"Nurturing")</f>
        <v>Nurturing</v>
      </c>
      <c r="C509" s="197">
        <f t="shared" si="1"/>
        <v>1</v>
      </c>
      <c r="D509" s="20" t="s">
        <v>2637</v>
      </c>
      <c r="E509" s="20">
        <v>1.0</v>
      </c>
    </row>
    <row r="510">
      <c r="A510" s="196"/>
      <c r="B510" s="197" t="str">
        <f>IFERROR(__xludf.DUMMYFUNCTION("""COMPUTED_VALUE"""),"Rootsaurus")</f>
        <v>Rootsaurus</v>
      </c>
      <c r="C510" s="197">
        <f t="shared" si="1"/>
        <v>1</v>
      </c>
      <c r="D510" s="20" t="s">
        <v>2638</v>
      </c>
      <c r="E510" s="20">
        <v>1.0</v>
      </c>
    </row>
    <row r="511">
      <c r="A511" s="196"/>
      <c r="B511" s="197" t="str">
        <f>IFERROR(__xludf.DUMMYFUNCTION("""COMPUTED_VALUE"""),"Carnage")</f>
        <v>Carnage</v>
      </c>
      <c r="C511" s="197">
        <f t="shared" si="1"/>
        <v>1</v>
      </c>
      <c r="D511" s="20" t="s">
        <v>2639</v>
      </c>
      <c r="E511" s="20">
        <v>1.0</v>
      </c>
    </row>
    <row r="512">
      <c r="A512" s="196" t="str">
        <f>IFERROR(__xludf.DUMMYFUNCTION("""COMPUTED_VALUE"""),"Omen")</f>
        <v>Omen</v>
      </c>
      <c r="B512" s="197" t="str">
        <f>IFERROR(__xludf.DUMMYFUNCTION("""COMPUTED_VALUE"""),"Hornet")</f>
        <v>Hornet</v>
      </c>
      <c r="C512" s="197">
        <f t="shared" si="1"/>
        <v>1</v>
      </c>
      <c r="D512" s="20" t="s">
        <v>2640</v>
      </c>
      <c r="E512" s="20">
        <v>1.0</v>
      </c>
    </row>
    <row r="513">
      <c r="A513" s="196" t="str">
        <f>IFERROR(__xludf.DUMMYFUNCTION("""COMPUTED_VALUE"""),"Firefly")</f>
        <v>Firefly</v>
      </c>
      <c r="B513" s="197" t="str">
        <f>IFERROR(__xludf.DUMMYFUNCTION("""COMPUTED_VALUE"""),"Champion")</f>
        <v>Champion</v>
      </c>
      <c r="C513" s="197">
        <f t="shared" si="1"/>
        <v>1</v>
      </c>
      <c r="D513" s="20" t="s">
        <v>2641</v>
      </c>
      <c r="E513" s="20">
        <v>1.0</v>
      </c>
    </row>
    <row r="514">
      <c r="A514" s="196"/>
      <c r="B514" s="197" t="str">
        <f>IFERROR(__xludf.DUMMYFUNCTION("""COMPUTED_VALUE"""),"Hell")</f>
        <v>Hell</v>
      </c>
      <c r="C514" s="197">
        <f t="shared" si="1"/>
        <v>1</v>
      </c>
      <c r="D514" s="20" t="s">
        <v>2642</v>
      </c>
      <c r="E514" s="20">
        <v>1.0</v>
      </c>
    </row>
    <row r="515">
      <c r="A515" s="196"/>
      <c r="B515" s="197" t="str">
        <f>IFERROR(__xludf.DUMMYFUNCTION("""COMPUTED_VALUE"""),"Colorgorger")</f>
        <v>Colorgorger</v>
      </c>
      <c r="C515" s="197">
        <f t="shared" si="1"/>
        <v>1</v>
      </c>
      <c r="D515" s="20" t="s">
        <v>2643</v>
      </c>
      <c r="E515" s="20">
        <v>1.0</v>
      </c>
    </row>
    <row r="516">
      <c r="A516" s="196"/>
      <c r="B516" s="197" t="str">
        <f>IFERROR(__xludf.DUMMYFUNCTION("""COMPUTED_VALUE"""),"Dark")</f>
        <v>Dark</v>
      </c>
      <c r="C516" s="197">
        <f t="shared" si="1"/>
        <v>1</v>
      </c>
      <c r="D516" s="20" t="s">
        <v>2644</v>
      </c>
      <c r="E516" s="20">
        <v>1.0</v>
      </c>
    </row>
    <row r="517">
      <c r="A517" s="196" t="str">
        <f>IFERROR(__xludf.DUMMYFUNCTION("""COMPUTED_VALUE"""),"Pixie")</f>
        <v>Pixie</v>
      </c>
      <c r="B517" s="197" t="str">
        <f>IFERROR(__xludf.DUMMYFUNCTION("""COMPUTED_VALUE"""),"Spoon")</f>
        <v>Spoon</v>
      </c>
      <c r="C517" s="197">
        <f t="shared" si="1"/>
        <v>1</v>
      </c>
      <c r="D517" s="20" t="s">
        <v>2645</v>
      </c>
      <c r="E517" s="20">
        <v>1.0</v>
      </c>
    </row>
    <row r="518">
      <c r="A518" s="196" t="str">
        <f>IFERROR(__xludf.DUMMYFUNCTION("""COMPUTED_VALUE"""),"Summoner")</f>
        <v>Summoner</v>
      </c>
      <c r="B518" s="197" t="str">
        <f>IFERROR(__xludf.DUMMYFUNCTION("""COMPUTED_VALUE"""),"Dawnbreak")</f>
        <v>Dawnbreak</v>
      </c>
      <c r="C518" s="197">
        <f t="shared" si="1"/>
        <v>1</v>
      </c>
      <c r="D518" s="20" t="s">
        <v>2646</v>
      </c>
      <c r="E518" s="20">
        <v>1.0</v>
      </c>
    </row>
    <row r="519">
      <c r="A519" s="196"/>
      <c r="B519" s="197" t="str">
        <f>IFERROR(__xludf.DUMMYFUNCTION("""COMPUTED_VALUE"""),"Wendigo")</f>
        <v>Wendigo</v>
      </c>
      <c r="C519" s="197">
        <f t="shared" si="1"/>
        <v>1</v>
      </c>
      <c r="D519" s="20" t="s">
        <v>2647</v>
      </c>
      <c r="E519" s="20">
        <v>1.0</v>
      </c>
    </row>
    <row r="520">
      <c r="A520" s="196"/>
      <c r="B520" s="197" t="str">
        <f>IFERROR(__xludf.DUMMYFUNCTION("""COMPUTED_VALUE"""),"Depthdragger")</f>
        <v>Depthdragger</v>
      </c>
      <c r="C520" s="197">
        <f t="shared" si="1"/>
        <v>1</v>
      </c>
      <c r="D520" s="20" t="s">
        <v>2648</v>
      </c>
      <c r="E520" s="20">
        <v>1.0</v>
      </c>
    </row>
    <row r="521">
      <c r="A521" s="196"/>
      <c r="B521" s="197" t="str">
        <f>IFERROR(__xludf.DUMMYFUNCTION("""COMPUTED_VALUE"""),"Discarded")</f>
        <v>Discarded</v>
      </c>
      <c r="C521" s="197">
        <f t="shared" si="1"/>
        <v>1</v>
      </c>
      <c r="D521" s="20" t="s">
        <v>1686</v>
      </c>
      <c r="E521" s="20">
        <v>1.0</v>
      </c>
    </row>
    <row r="522">
      <c r="A522" s="196" t="str">
        <f>IFERROR(__xludf.DUMMYFUNCTION("""COMPUTED_VALUE"""),"Pyretic")</f>
        <v>Pyretic</v>
      </c>
      <c r="B522" s="197" t="str">
        <f>IFERROR(__xludf.DUMMYFUNCTION("""COMPUTED_VALUE"""),"Abomination")</f>
        <v>Abomination</v>
      </c>
      <c r="C522" s="197">
        <f t="shared" si="1"/>
        <v>2</v>
      </c>
      <c r="D522" s="20" t="s">
        <v>2649</v>
      </c>
      <c r="E522" s="20">
        <v>1.0</v>
      </c>
    </row>
    <row r="523">
      <c r="A523" s="196" t="str">
        <f>IFERROR(__xludf.DUMMYFUNCTION("""COMPUTED_VALUE"""),"Pet")</f>
        <v>Pet</v>
      </c>
      <c r="B523" s="197" t="str">
        <f>IFERROR(__xludf.DUMMYFUNCTION("""COMPUTED_VALUE"""),"Doomgaze")</f>
        <v>Doomgaze</v>
      </c>
      <c r="C523" s="197">
        <f t="shared" si="1"/>
        <v>1</v>
      </c>
      <c r="D523" s="20" t="s">
        <v>2650</v>
      </c>
      <c r="E523" s="20">
        <v>1.0</v>
      </c>
    </row>
    <row r="524">
      <c r="A524" s="196"/>
      <c r="B524" s="197" t="str">
        <f>IFERROR(__xludf.DUMMYFUNCTION("""COMPUTED_VALUE"""),"Dread")</f>
        <v>Dread</v>
      </c>
      <c r="C524" s="197">
        <f t="shared" si="1"/>
        <v>2</v>
      </c>
      <c r="D524" s="20" t="s">
        <v>2651</v>
      </c>
      <c r="E524" s="20">
        <v>1.0</v>
      </c>
    </row>
    <row r="525">
      <c r="A525" s="196"/>
      <c r="B525" s="197" t="str">
        <f>IFERROR(__xludf.DUMMYFUNCTION("""COMPUTED_VALUE"""),"Cryptlord")</f>
        <v>Cryptlord</v>
      </c>
      <c r="C525" s="197">
        <f t="shared" si="1"/>
        <v>1</v>
      </c>
      <c r="D525" s="20" t="s">
        <v>2652</v>
      </c>
      <c r="E525" s="20">
        <v>1.0</v>
      </c>
    </row>
    <row r="526">
      <c r="A526" s="196"/>
      <c r="B526" s="197" t="str">
        <f>IFERROR(__xludf.DUMMYFUNCTION("""COMPUTED_VALUE"""),"Nutrient")</f>
        <v>Nutrient</v>
      </c>
      <c r="C526" s="197">
        <f t="shared" si="1"/>
        <v>1</v>
      </c>
      <c r="D526" s="20" t="s">
        <v>2653</v>
      </c>
      <c r="E526" s="20">
        <v>1.0</v>
      </c>
    </row>
    <row r="527">
      <c r="A527" s="196" t="str">
        <f>IFERROR(__xludf.DUMMYFUNCTION("""COMPUTED_VALUE"""),"Shifting")</f>
        <v>Shifting</v>
      </c>
      <c r="B527" s="197" t="str">
        <f>IFERROR(__xludf.DUMMYFUNCTION("""COMPUTED_VALUE"""),"Nexus")</f>
        <v>Nexus</v>
      </c>
      <c r="C527" s="197">
        <f t="shared" si="1"/>
        <v>2</v>
      </c>
      <c r="D527" s="20" t="s">
        <v>2654</v>
      </c>
      <c r="E527" s="20">
        <v>1.0</v>
      </c>
    </row>
    <row r="528">
      <c r="A528" s="196" t="str">
        <f>IFERROR(__xludf.DUMMYFUNCTION("""COMPUTED_VALUE"""),"Sands")</f>
        <v>Sands</v>
      </c>
      <c r="B528" s="197" t="str">
        <f>IFERROR(__xludf.DUMMYFUNCTION("""COMPUTED_VALUE"""),"Fatepeek")</f>
        <v>Fatepeek</v>
      </c>
      <c r="C528" s="197">
        <f t="shared" si="1"/>
        <v>1</v>
      </c>
      <c r="D528" s="20" t="s">
        <v>1707</v>
      </c>
      <c r="E528" s="20">
        <v>1.0</v>
      </c>
    </row>
    <row r="529">
      <c r="A529" s="196"/>
      <c r="B529" s="197" t="str">
        <f>IFERROR(__xludf.DUMMYFUNCTION("""COMPUTED_VALUE"""),"Imp")</f>
        <v>Imp</v>
      </c>
      <c r="C529" s="197">
        <f t="shared" si="1"/>
        <v>2</v>
      </c>
      <c r="D529" s="20" t="s">
        <v>2655</v>
      </c>
      <c r="E529" s="20">
        <v>1.0</v>
      </c>
    </row>
    <row r="530">
      <c r="A530" s="196"/>
      <c r="B530" s="197" t="str">
        <f>IFERROR(__xludf.DUMMYFUNCTION("""COMPUTED_VALUE"""),"Eyed")</f>
        <v>Eyed</v>
      </c>
      <c r="C530" s="197">
        <f t="shared" si="1"/>
        <v>1</v>
      </c>
      <c r="D530" s="20" t="s">
        <v>2656</v>
      </c>
      <c r="E530" s="20">
        <v>1.0</v>
      </c>
    </row>
    <row r="531">
      <c r="A531" s="196"/>
      <c r="B531" s="197" t="str">
        <f>IFERROR(__xludf.DUMMYFUNCTION("""COMPUTED_VALUE"""),"Plunderpillar")</f>
        <v>Plunderpillar</v>
      </c>
      <c r="C531" s="197">
        <f t="shared" si="1"/>
        <v>1</v>
      </c>
      <c r="D531" s="20" t="s">
        <v>2657</v>
      </c>
      <c r="E531" s="20">
        <v>1.0</v>
      </c>
    </row>
    <row r="532">
      <c r="A532" s="196" t="str">
        <f>IFERROR(__xludf.DUMMYFUNCTION("""COMPUTED_VALUE"""),"Torii")</f>
        <v>Torii</v>
      </c>
      <c r="B532" s="197" t="str">
        <f>IFERROR(__xludf.DUMMYFUNCTION("""COMPUTED_VALUE"""),"Raptor")</f>
        <v>Raptor</v>
      </c>
      <c r="C532" s="197">
        <f t="shared" si="1"/>
        <v>1</v>
      </c>
      <c r="D532" s="20" t="s">
        <v>2658</v>
      </c>
      <c r="E532" s="20">
        <v>1.0</v>
      </c>
    </row>
    <row r="533">
      <c r="A533" s="196" t="str">
        <f>IFERROR(__xludf.DUMMYFUNCTION("""COMPUTED_VALUE"""),"Spirit")</f>
        <v>Spirit</v>
      </c>
      <c r="B533" s="197" t="str">
        <f>IFERROR(__xludf.DUMMYFUNCTION("""COMPUTED_VALUE"""),"Pack")</f>
        <v>Pack</v>
      </c>
      <c r="C533" s="197">
        <f t="shared" si="1"/>
        <v>1</v>
      </c>
      <c r="D533" s="20" t="s">
        <v>1719</v>
      </c>
      <c r="E533" s="20">
        <v>1.0</v>
      </c>
    </row>
    <row r="534">
      <c r="A534" s="196"/>
      <c r="B534" s="197" t="str">
        <f>IFERROR(__xludf.DUMMYFUNCTION("""COMPUTED_VALUE"""),"Saurian")</f>
        <v>Saurian</v>
      </c>
      <c r="C534" s="197">
        <f t="shared" si="1"/>
        <v>1</v>
      </c>
      <c r="D534" s="20" t="s">
        <v>2659</v>
      </c>
      <c r="E534" s="20">
        <v>1.0</v>
      </c>
    </row>
    <row r="535">
      <c r="A535" s="196"/>
      <c r="B535" s="197" t="str">
        <f>IFERROR(__xludf.DUMMYFUNCTION("""COMPUTED_VALUE"""),"Wraith")</f>
        <v>Wraith</v>
      </c>
      <c r="C535" s="197">
        <f t="shared" si="1"/>
        <v>1</v>
      </c>
      <c r="D535" s="20" t="s">
        <v>2660</v>
      </c>
      <c r="E535" s="20">
        <v>1.0</v>
      </c>
    </row>
    <row r="536">
      <c r="A536" s="196"/>
      <c r="B536" s="197" t="str">
        <f>IFERROR(__xludf.DUMMYFUNCTION("""COMPUTED_VALUE"""),"Gravebound")</f>
        <v>Gravebound</v>
      </c>
      <c r="C536" s="197">
        <f t="shared" si="1"/>
        <v>1</v>
      </c>
      <c r="D536" s="20" t="s">
        <v>2661</v>
      </c>
      <c r="E536" s="20">
        <v>1.0</v>
      </c>
    </row>
    <row r="537">
      <c r="A537" s="196" t="str">
        <f>IFERROR(__xludf.DUMMYFUNCTION("""COMPUTED_VALUE"""),"Red")</f>
        <v>Red</v>
      </c>
      <c r="B537" s="197" t="str">
        <f>IFERROR(__xludf.DUMMYFUNCTION("""COMPUTED_VALUE"""),"Ghoul")</f>
        <v>Ghoul</v>
      </c>
      <c r="C537" s="197">
        <f t="shared" si="1"/>
        <v>1</v>
      </c>
      <c r="D537" s="20" t="s">
        <v>2662</v>
      </c>
      <c r="E537" s="20">
        <v>1.0</v>
      </c>
    </row>
    <row r="538">
      <c r="A538" s="196" t="str">
        <f>IFERROR(__xludf.DUMMYFUNCTION("""COMPUTED_VALUE"""),"Crusader")</f>
        <v>Crusader</v>
      </c>
      <c r="B538" s="197" t="str">
        <f>IFERROR(__xludf.DUMMYFUNCTION("""COMPUTED_VALUE"""),"Graverobber")</f>
        <v>Graverobber</v>
      </c>
      <c r="C538" s="197">
        <f t="shared" si="1"/>
        <v>1</v>
      </c>
      <c r="D538" s="20" t="s">
        <v>2663</v>
      </c>
      <c r="E538" s="20">
        <v>1.0</v>
      </c>
    </row>
    <row r="539">
      <c r="A539" s="196"/>
      <c r="B539" s="197" t="str">
        <f>IFERROR(__xludf.DUMMYFUNCTION("""COMPUTED_VALUE"""),"Greedspawn")</f>
        <v>Greedspawn</v>
      </c>
      <c r="C539" s="197">
        <f t="shared" si="1"/>
        <v>1</v>
      </c>
      <c r="D539" s="20" t="s">
        <v>2664</v>
      </c>
      <c r="E539" s="20">
        <v>1.0</v>
      </c>
    </row>
    <row r="540">
      <c r="A540" s="196"/>
      <c r="B540" s="197" t="str">
        <f>IFERROR(__xludf.DUMMYFUNCTION("""COMPUTED_VALUE"""),"Grim")</f>
        <v>Grim</v>
      </c>
      <c r="C540" s="197">
        <f t="shared" si="1"/>
        <v>1</v>
      </c>
      <c r="D540" s="20" t="s">
        <v>1740</v>
      </c>
      <c r="E540" s="20">
        <v>1.0</v>
      </c>
    </row>
    <row r="541">
      <c r="A541" s="196"/>
      <c r="B541" s="197" t="str">
        <f>IFERROR(__xludf.DUMMYFUNCTION("""COMPUTED_VALUE"""),"Shadowpounce")</f>
        <v>Shadowpounce</v>
      </c>
      <c r="C541" s="197">
        <f t="shared" si="1"/>
        <v>1</v>
      </c>
      <c r="D541" s="20" t="s">
        <v>2665</v>
      </c>
      <c r="E541" s="20">
        <v>1.0</v>
      </c>
    </row>
    <row r="542">
      <c r="A542" s="196" t="str">
        <f>IFERROR(__xludf.DUMMYFUNCTION("""COMPUTED_VALUE"""),"Windkite")</f>
        <v>Windkite</v>
      </c>
      <c r="B542" s="197" t="str">
        <f>IFERROR(__xludf.DUMMYFUNCTION("""COMPUTED_VALUE"""),"Panther")</f>
        <v>Panther</v>
      </c>
      <c r="C542" s="197">
        <f t="shared" si="1"/>
        <v>1</v>
      </c>
      <c r="D542" s="20" t="s">
        <v>2666</v>
      </c>
      <c r="E542" s="20">
        <v>1.0</v>
      </c>
    </row>
    <row r="543">
      <c r="A543" s="196" t="str">
        <f>IFERROR(__xludf.DUMMYFUNCTION("""COMPUTED_VALUE"""),"Acolyte")</f>
        <v>Acolyte</v>
      </c>
      <c r="B543" s="197" t="str">
        <f>IFERROR(__xludf.DUMMYFUNCTION("""COMPUTED_VALUE"""),"Shardtooth")</f>
        <v>Shardtooth</v>
      </c>
      <c r="C543" s="197">
        <f t="shared" si="1"/>
        <v>1</v>
      </c>
      <c r="D543" s="20" t="s">
        <v>2667</v>
      </c>
      <c r="E543" s="20">
        <v>1.0</v>
      </c>
    </row>
    <row r="544">
      <c r="A544" s="196"/>
      <c r="B544" s="197" t="str">
        <f>IFERROR(__xludf.DUMMYFUNCTION("""COMPUTED_VALUE"""),"Hungry")</f>
        <v>Hungry</v>
      </c>
      <c r="C544" s="197">
        <f t="shared" si="1"/>
        <v>1</v>
      </c>
      <c r="D544" s="20" t="s">
        <v>2668</v>
      </c>
      <c r="E544" s="20">
        <v>1.0</v>
      </c>
    </row>
    <row r="545">
      <c r="A545" s="196"/>
      <c r="B545" s="197" t="str">
        <f>IFERROR(__xludf.DUMMYFUNCTION("""COMPUTED_VALUE"""),"Shambler")</f>
        <v>Shambler</v>
      </c>
      <c r="C545" s="197">
        <f t="shared" si="1"/>
        <v>1</v>
      </c>
      <c r="D545" s="20" t="s">
        <v>2669</v>
      </c>
      <c r="E545" s="20">
        <v>1.0</v>
      </c>
    </row>
    <row r="546">
      <c r="A546" s="196"/>
      <c r="B546" s="197" t="str">
        <f>IFERROR(__xludf.DUMMYFUNCTION("""COMPUTED_VALUE"""),"Sunflower")</f>
        <v>Sunflower</v>
      </c>
      <c r="C546" s="197">
        <f t="shared" si="1"/>
        <v>1</v>
      </c>
      <c r="D546" s="20" t="s">
        <v>2670</v>
      </c>
      <c r="E546" s="20">
        <v>1.0</v>
      </c>
    </row>
    <row r="547">
      <c r="A547" s="196" t="str">
        <f>IFERROR(__xludf.DUMMYFUNCTION("""COMPUTED_VALUE"""),"Blood")</f>
        <v>Blood</v>
      </c>
      <c r="B547" s="197" t="str">
        <f>IFERROR(__xludf.DUMMYFUNCTION("""COMPUTED_VALUE"""),"Tiger")</f>
        <v>Tiger</v>
      </c>
      <c r="C547" s="197">
        <f t="shared" si="1"/>
        <v>1</v>
      </c>
      <c r="D547" s="20" t="s">
        <v>1752</v>
      </c>
      <c r="E547" s="20">
        <v>1.0</v>
      </c>
    </row>
    <row r="548">
      <c r="A548" s="196" t="str">
        <f>IFERROR(__xludf.DUMMYFUNCTION("""COMPUTED_VALUE"""),"Moon")</f>
        <v>Moon</v>
      </c>
      <c r="B548" s="197" t="str">
        <f>IFERROR(__xludf.DUMMYFUNCTION("""COMPUTED_VALUE"""),"Meekbone")</f>
        <v>Meekbone</v>
      </c>
      <c r="C548" s="197">
        <f t="shared" si="1"/>
        <v>1</v>
      </c>
      <c r="D548" s="20" t="s">
        <v>1756</v>
      </c>
      <c r="E548" s="20">
        <v>1.0</v>
      </c>
    </row>
    <row r="549">
      <c r="A549" s="196" t="str">
        <f>IFERROR(__xludf.DUMMYFUNCTION("""COMPUTED_VALUE"""),"Scarab")</f>
        <v>Scarab</v>
      </c>
      <c r="B549" s="197" t="str">
        <f>IFERROR(__xludf.DUMMYFUNCTION("""COMPUTED_VALUE"""),"Soldier")</f>
        <v>Soldier</v>
      </c>
      <c r="C549" s="197">
        <f t="shared" si="1"/>
        <v>1</v>
      </c>
      <c r="D549" s="20" t="s">
        <v>2671</v>
      </c>
      <c r="E549" s="20">
        <v>1.0</v>
      </c>
    </row>
    <row r="550">
      <c r="A550" s="196"/>
      <c r="B550" s="197" t="str">
        <f>IFERROR(__xludf.DUMMYFUNCTION("""COMPUTED_VALUE"""),"Monarch")</f>
        <v>Monarch</v>
      </c>
      <c r="C550" s="197">
        <f t="shared" si="1"/>
        <v>1</v>
      </c>
      <c r="D550" s="20" t="s">
        <v>2672</v>
      </c>
      <c r="E550" s="20">
        <v>1.0</v>
      </c>
    </row>
    <row r="551">
      <c r="A551" s="196"/>
      <c r="B551" s="197" t="str">
        <f>IFERROR(__xludf.DUMMYFUNCTION("""COMPUTED_VALUE"""),"Shadows")</f>
        <v>Shadows</v>
      </c>
      <c r="C551" s="197">
        <f t="shared" si="1"/>
        <v>1</v>
      </c>
      <c r="D551" s="20" t="s">
        <v>2673</v>
      </c>
      <c r="E551" s="20">
        <v>1.0</v>
      </c>
    </row>
    <row r="552">
      <c r="A552" s="196" t="str">
        <f>IFERROR(__xludf.DUMMYFUNCTION("""COMPUTED_VALUE"""),"Sand")</f>
        <v>Sand</v>
      </c>
      <c r="B552" s="197" t="str">
        <f>IFERROR(__xludf.DUMMYFUNCTION("""COMPUTED_VALUE"""),"Venus")</f>
        <v>Venus</v>
      </c>
      <c r="C552" s="197">
        <f t="shared" si="1"/>
        <v>1</v>
      </c>
      <c r="D552" s="20" t="s">
        <v>1765</v>
      </c>
      <c r="E552" s="20">
        <v>1.0</v>
      </c>
    </row>
    <row r="553">
      <c r="A553" s="196" t="str">
        <f>IFERROR(__xludf.DUMMYFUNCTION("""COMPUTED_VALUE"""),"Witch")</f>
        <v>Witch</v>
      </c>
      <c r="B553" s="197" t="str">
        <f>IFERROR(__xludf.DUMMYFUNCTION("""COMPUTED_VALUE"""),"Flytrap")</f>
        <v>Flytrap</v>
      </c>
      <c r="C553" s="197">
        <f t="shared" si="1"/>
        <v>1</v>
      </c>
      <c r="D553" s="20" t="s">
        <v>2674</v>
      </c>
      <c r="E553" s="20">
        <v>1.0</v>
      </c>
    </row>
    <row r="554">
      <c r="A554" s="196"/>
      <c r="B554" s="197" t="str">
        <f>IFERROR(__xludf.DUMMYFUNCTION("""COMPUTED_VALUE"""),"Arcane")</f>
        <v>Arcane</v>
      </c>
      <c r="C554" s="197">
        <f t="shared" si="1"/>
        <v>1</v>
      </c>
      <c r="D554" s="20" t="s">
        <v>2675</v>
      </c>
      <c r="E554" s="20">
        <v>1.0</v>
      </c>
    </row>
    <row r="555">
      <c r="A555" s="196"/>
      <c r="B555" s="197" t="str">
        <f>IFERROR(__xludf.DUMMYFUNCTION("""COMPUTED_VALUE"""),"Gorgosaur")</f>
        <v>Gorgosaur</v>
      </c>
      <c r="C555" s="197">
        <f t="shared" si="1"/>
        <v>1</v>
      </c>
      <c r="D555" s="20" t="s">
        <v>2676</v>
      </c>
      <c r="E555" s="20">
        <v>1.0</v>
      </c>
    </row>
    <row r="556">
      <c r="A556" s="196"/>
      <c r="B556" s="197" t="str">
        <f>IFERROR(__xludf.DUMMYFUNCTION("""COMPUTED_VALUE"""),"Bloodclaw")</f>
        <v>Bloodclaw</v>
      </c>
      <c r="C556" s="197">
        <f t="shared" si="1"/>
        <v>1</v>
      </c>
      <c r="D556" s="20" t="s">
        <v>2677</v>
      </c>
      <c r="E556" s="20">
        <v>1.0</v>
      </c>
    </row>
    <row r="557">
      <c r="A557" s="196" t="str">
        <f>IFERROR(__xludf.DUMMYFUNCTION("""COMPUTED_VALUE"""),"Shardhorde")</f>
        <v>Shardhorde</v>
      </c>
      <c r="B557" s="197" t="str">
        <f>IFERROR(__xludf.DUMMYFUNCTION("""COMPUTED_VALUE"""),"Duke")</f>
        <v>Duke</v>
      </c>
      <c r="C557" s="197">
        <f t="shared" si="1"/>
        <v>1</v>
      </c>
      <c r="D557" s="20" t="s">
        <v>2678</v>
      </c>
      <c r="E557" s="20">
        <v>1.0</v>
      </c>
    </row>
    <row r="558">
      <c r="A558" s="196" t="str">
        <f>IFERROR(__xludf.DUMMYFUNCTION("""COMPUTED_VALUE"""),"Galewhelp")</f>
        <v>Galewhelp</v>
      </c>
      <c r="B558" s="197" t="str">
        <f>IFERROR(__xludf.DUMMYFUNCTION("""COMPUTED_VALUE"""),"Grove")</f>
        <v>Grove</v>
      </c>
      <c r="C558" s="197">
        <f t="shared" si="1"/>
        <v>2</v>
      </c>
      <c r="D558" s="20" t="s">
        <v>2679</v>
      </c>
      <c r="E558" s="20">
        <v>1.0</v>
      </c>
    </row>
    <row r="559">
      <c r="A559" s="196"/>
      <c r="B559" s="197" t="str">
        <f>IFERROR(__xludf.DUMMYFUNCTION("""COMPUTED_VALUE"""),"Omenshadow")</f>
        <v>Omenshadow</v>
      </c>
      <c r="C559" s="197">
        <f t="shared" si="1"/>
        <v>1</v>
      </c>
      <c r="D559" s="20" t="s">
        <v>2680</v>
      </c>
      <c r="E559" s="20">
        <v>1.0</v>
      </c>
    </row>
    <row r="560">
      <c r="A560" s="196"/>
      <c r="B560" s="197" t="str">
        <f>IFERROR(__xludf.DUMMYFUNCTION("""COMPUTED_VALUE"""),"Mantis")</f>
        <v>Mantis</v>
      </c>
      <c r="C560" s="197">
        <f t="shared" si="1"/>
        <v>1</v>
      </c>
      <c r="D560" s="20" t="s">
        <v>2681</v>
      </c>
      <c r="E560" s="20">
        <v>1.0</v>
      </c>
    </row>
    <row r="561">
      <c r="A561" s="196"/>
      <c r="B561" s="197" t="str">
        <f>IFERROR(__xludf.DUMMYFUNCTION("""COMPUTED_VALUE"""),"Queen")</f>
        <v>Queen</v>
      </c>
      <c r="C561" s="197">
        <f t="shared" si="1"/>
        <v>2</v>
      </c>
      <c r="D561" s="20" t="s">
        <v>2682</v>
      </c>
      <c r="E561" s="20">
        <v>1.0</v>
      </c>
    </row>
    <row r="562">
      <c r="A562" s="196" t="str">
        <f>IFERROR(__xludf.DUMMYFUNCTION("""COMPUTED_VALUE"""),"Amberlock")</f>
        <v>Amberlock</v>
      </c>
      <c r="B562" s="197" t="str">
        <f>IFERROR(__xludf.DUMMYFUNCTION("""COMPUTED_VALUE"""),"Purple")</f>
        <v>Purple</v>
      </c>
      <c r="C562" s="197">
        <f t="shared" si="1"/>
        <v>2</v>
      </c>
      <c r="D562" s="20" t="s">
        <v>2683</v>
      </c>
      <c r="E562" s="20">
        <v>1.0</v>
      </c>
    </row>
    <row r="563">
      <c r="A563" s="196" t="str">
        <f>IFERROR(__xludf.DUMMYFUNCTION("""COMPUTED_VALUE"""),"Dragonling")</f>
        <v>Dragonling</v>
      </c>
      <c r="B563" s="197" t="str">
        <f>IFERROR(__xludf.DUMMYFUNCTION("""COMPUTED_VALUE"""),"Reborn")</f>
        <v>Reborn</v>
      </c>
      <c r="C563" s="197">
        <f t="shared" si="1"/>
        <v>1</v>
      </c>
      <c r="D563" s="20" t="s">
        <v>2684</v>
      </c>
      <c r="E563" s="20">
        <v>1.0</v>
      </c>
    </row>
    <row r="564">
      <c r="A564" s="196"/>
      <c r="B564" s="197" t="str">
        <f>IFERROR(__xludf.DUMMYFUNCTION("""COMPUTED_VALUE"""),"Stargazer")</f>
        <v>Stargazer</v>
      </c>
      <c r="C564" s="197">
        <f t="shared" si="1"/>
        <v>1</v>
      </c>
      <c r="D564" s="20" t="s">
        <v>2685</v>
      </c>
      <c r="E564" s="20">
        <v>1.0</v>
      </c>
    </row>
    <row r="565">
      <c r="A565" s="196"/>
      <c r="B565" s="197" t="str">
        <f>IFERROR(__xludf.DUMMYFUNCTION("""COMPUTED_VALUE"""),"Relentless")</f>
        <v>Relentless</v>
      </c>
      <c r="C565" s="197">
        <f t="shared" si="1"/>
        <v>1</v>
      </c>
      <c r="D565" s="20" t="s">
        <v>1791</v>
      </c>
      <c r="E565" s="20">
        <v>1.0</v>
      </c>
    </row>
    <row r="566">
      <c r="A566" s="196"/>
      <c r="B566" s="197" t="str">
        <f>IFERROR(__xludf.DUMMYFUNCTION("""COMPUTED_VALUE"""),"Runic")</f>
        <v>Runic</v>
      </c>
      <c r="C566" s="197">
        <f t="shared" si="1"/>
        <v>1</v>
      </c>
      <c r="D566" s="20" t="s">
        <v>2686</v>
      </c>
      <c r="E566" s="20">
        <v>1.0</v>
      </c>
    </row>
    <row r="567">
      <c r="A567" s="196" t="str">
        <f>IFERROR(__xludf.DUMMYFUNCTION("""COMPUTED_VALUE"""),"Dragonfire")</f>
        <v>Dragonfire</v>
      </c>
      <c r="B567" s="197" t="str">
        <f>IFERROR(__xludf.DUMMYFUNCTION("""COMPUTED_VALUE"""),"Arachnid")</f>
        <v>Arachnid</v>
      </c>
      <c r="C567" s="197">
        <f t="shared" si="1"/>
        <v>1</v>
      </c>
      <c r="D567" s="20" t="s">
        <v>1797</v>
      </c>
      <c r="E567" s="20">
        <v>1.0</v>
      </c>
    </row>
    <row r="568">
      <c r="A568" s="196" t="str">
        <f>IFERROR(__xludf.DUMMYFUNCTION("""COMPUTED_VALUE"""),"Warlock")</f>
        <v>Warlock</v>
      </c>
      <c r="B568" s="197" t="str">
        <f>IFERROR(__xludf.DUMMYFUNCTION("""COMPUTED_VALUE"""),"Teapot")</f>
        <v>Teapot</v>
      </c>
      <c r="C568" s="197">
        <f t="shared" si="1"/>
        <v>1</v>
      </c>
      <c r="D568" s="20" t="s">
        <v>2687</v>
      </c>
      <c r="E568" s="20">
        <v>1.0</v>
      </c>
    </row>
    <row r="569">
      <c r="A569" s="196"/>
      <c r="B569" s="197" t="str">
        <f>IFERROR(__xludf.DUMMYFUNCTION("""COMPUTED_VALUE"""),"Sun")</f>
        <v>Sun</v>
      </c>
      <c r="C569" s="197">
        <f t="shared" si="1"/>
        <v>1</v>
      </c>
      <c r="D569" s="20" t="s">
        <v>2688</v>
      </c>
      <c r="E569" s="20">
        <v>1.0</v>
      </c>
    </row>
    <row r="570">
      <c r="A570" s="196"/>
      <c r="B570" s="197" t="str">
        <f>IFERROR(__xludf.DUMMYFUNCTION("""COMPUTED_VALUE"""),"Saurus")</f>
        <v>Saurus</v>
      </c>
      <c r="C570" s="197">
        <f t="shared" si="1"/>
        <v>1</v>
      </c>
      <c r="D570" s="20" t="s">
        <v>2689</v>
      </c>
      <c r="E570" s="20">
        <v>1.0</v>
      </c>
    </row>
    <row r="571">
      <c r="A571" s="196"/>
      <c r="B571" s="197" t="str">
        <f>IFERROR(__xludf.DUMMYFUNCTION("""COMPUTED_VALUE"""),"Sandsilk")</f>
        <v>Sandsilk</v>
      </c>
      <c r="C571" s="197">
        <f t="shared" si="1"/>
        <v>1</v>
      </c>
      <c r="D571" s="20" t="s">
        <v>2690</v>
      </c>
      <c r="E571" s="20">
        <v>1.0</v>
      </c>
    </row>
    <row r="572">
      <c r="A572" s="196" t="str">
        <f>IFERROR(__xludf.DUMMYFUNCTION("""COMPUTED_VALUE"""),"Dragonwind")</f>
        <v>Dragonwind</v>
      </c>
      <c r="B572" s="197" t="str">
        <f>IFERROR(__xludf.DUMMYFUNCTION("""COMPUTED_VALUE"""),"Fox")</f>
        <v>Fox</v>
      </c>
      <c r="C572" s="197">
        <f t="shared" si="1"/>
        <v>1</v>
      </c>
      <c r="D572" s="20" t="s">
        <v>2691</v>
      </c>
      <c r="E572" s="20">
        <v>1.0</v>
      </c>
    </row>
    <row r="573">
      <c r="A573" s="196" t="str">
        <f>IFERROR(__xludf.DUMMYFUNCTION("""COMPUTED_VALUE"""),"Harbinger")</f>
        <v>Harbinger</v>
      </c>
      <c r="B573" s="197" t="str">
        <f>IFERROR(__xludf.DUMMYFUNCTION("""COMPUTED_VALUE"""),"Living")</f>
        <v>Living</v>
      </c>
      <c r="C573" s="197">
        <f t="shared" si="1"/>
        <v>1</v>
      </c>
      <c r="D573" s="20" t="s">
        <v>2692</v>
      </c>
      <c r="E573" s="20">
        <v>1.0</v>
      </c>
    </row>
    <row r="574">
      <c r="A574" s="196"/>
      <c r="B574" s="197" t="str">
        <f>IFERROR(__xludf.DUMMYFUNCTION("""COMPUTED_VALUE"""),"Thicket")</f>
        <v>Thicket</v>
      </c>
      <c r="C574" s="197">
        <f t="shared" si="1"/>
        <v>1</v>
      </c>
      <c r="D574" s="20" t="s">
        <v>2693</v>
      </c>
      <c r="E574" s="20">
        <v>1.0</v>
      </c>
    </row>
    <row r="575">
      <c r="A575" s="196"/>
      <c r="B575" s="197" t="str">
        <f>IFERROR(__xludf.DUMMYFUNCTION("""COMPUTED_VALUE"""),"Shrouded")</f>
        <v>Shrouded</v>
      </c>
      <c r="C575" s="197">
        <f t="shared" si="1"/>
        <v>1</v>
      </c>
      <c r="D575" s="20" t="s">
        <v>2694</v>
      </c>
      <c r="E575" s="20">
        <v>1.0</v>
      </c>
    </row>
    <row r="576">
      <c r="A576" s="196"/>
      <c r="B576" s="197" t="str">
        <f>IFERROR(__xludf.DUMMYFUNCTION("""COMPUTED_VALUE"""),"Advocate")</f>
        <v>Advocate</v>
      </c>
      <c r="C576" s="197">
        <f t="shared" si="1"/>
        <v>1</v>
      </c>
      <c r="D576" s="20" t="s">
        <v>2695</v>
      </c>
      <c r="E576" s="20">
        <v>1.0</v>
      </c>
    </row>
    <row r="577">
      <c r="A577" s="196" t="str">
        <f>IFERROR(__xludf.DUMMYFUNCTION("""COMPUTED_VALUE"""),"Sparkwielder")</f>
        <v>Sparkwielder</v>
      </c>
      <c r="B577" s="197" t="str">
        <f>IFERROR(__xludf.DUMMYFUNCTION("""COMPUTED_VALUE"""),"Fiend")</f>
        <v>Fiend</v>
      </c>
      <c r="C577" s="197">
        <f t="shared" si="1"/>
        <v>1</v>
      </c>
      <c r="D577" s="20" t="s">
        <v>2696</v>
      </c>
      <c r="E577" s="20">
        <v>1.0</v>
      </c>
    </row>
    <row r="578">
      <c r="A578" s="196"/>
      <c r="B578" s="197" t="str">
        <f>IFERROR(__xludf.DUMMYFUNCTION("""COMPUTED_VALUE"""),"Invigorating")</f>
        <v>Invigorating</v>
      </c>
      <c r="C578" s="197">
        <f t="shared" si="1"/>
        <v>1</v>
      </c>
      <c r="D578" s="20" t="s">
        <v>2697</v>
      </c>
      <c r="E578" s="20">
        <v>1.0</v>
      </c>
    </row>
    <row r="579">
      <c r="A579" s="196"/>
      <c r="B579" s="197" t="str">
        <f>IFERROR(__xludf.DUMMYFUNCTION("""COMPUTED_VALUE"""),"Lotus")</f>
        <v>Lotus</v>
      </c>
      <c r="C579" s="197">
        <f t="shared" si="1"/>
        <v>1</v>
      </c>
      <c r="D579" s="20" t="s">
        <v>2698</v>
      </c>
      <c r="E579" s="20">
        <v>1.0</v>
      </c>
    </row>
    <row r="580">
      <c r="A580" s="196"/>
      <c r="B580" s="197" t="str">
        <f>IFERROR(__xludf.DUMMYFUNCTION("""COMPUTED_VALUE"""),"Bloom")</f>
        <v>Bloom</v>
      </c>
      <c r="C580" s="197">
        <f t="shared" si="1"/>
        <v>1</v>
      </c>
      <c r="D580" s="20" t="s">
        <v>2699</v>
      </c>
      <c r="E580" s="20">
        <v>1.0</v>
      </c>
    </row>
    <row r="581">
      <c r="A581" s="196"/>
      <c r="B581" s="197" t="str">
        <f>IFERROR(__xludf.DUMMYFUNCTION("""COMPUTED_VALUE"""),"Photosynthaurus")</f>
        <v>Photosynthaurus</v>
      </c>
      <c r="C581" s="197">
        <f t="shared" si="1"/>
        <v>1</v>
      </c>
      <c r="D581" s="20" t="s">
        <v>2700</v>
      </c>
      <c r="E581" s="20">
        <v>1.0</v>
      </c>
    </row>
    <row r="582">
      <c r="A582" s="196" t="str">
        <f>IFERROR(__xludf.DUMMYFUNCTION("""COMPUTED_VALUE"""),"Gashopper")</f>
        <v>Gashopper</v>
      </c>
      <c r="B582" s="197" t="str">
        <f>IFERROR(__xludf.DUMMYFUNCTION("""COMPUTED_VALUE"""),"Southern")</f>
        <v>Southern</v>
      </c>
      <c r="C582" s="197">
        <f t="shared" si="1"/>
        <v>1</v>
      </c>
      <c r="D582" s="20" t="s">
        <v>2701</v>
      </c>
      <c r="E582" s="20">
        <v>1.0</v>
      </c>
    </row>
    <row r="583">
      <c r="A583" s="196"/>
      <c r="B583" s="197" t="str">
        <f>IFERROR(__xludf.DUMMYFUNCTION("""COMPUTED_VALUE"""),"Reach")</f>
        <v>Reach</v>
      </c>
      <c r="C583" s="197">
        <f t="shared" si="1"/>
        <v>1</v>
      </c>
      <c r="D583" s="20" t="s">
        <v>2702</v>
      </c>
      <c r="E583" s="20">
        <v>1.0</v>
      </c>
    </row>
    <row r="584">
      <c r="A584" s="196"/>
      <c r="B584" s="197" t="str">
        <f>IFERROR(__xludf.DUMMYFUNCTION("""COMPUTED_VALUE"""),"Bulwark")</f>
        <v>Bulwark</v>
      </c>
      <c r="C584" s="197">
        <f t="shared" si="1"/>
        <v>1</v>
      </c>
      <c r="D584" s="20" t="s">
        <v>2703</v>
      </c>
      <c r="E584" s="20">
        <v>1.0</v>
      </c>
    </row>
    <row r="585">
      <c r="A585" s="196"/>
      <c r="B585" s="197" t="str">
        <f>IFERROR(__xludf.DUMMYFUNCTION("""COMPUTED_VALUE"""),"Thoughtfeaster")</f>
        <v>Thoughtfeaster</v>
      </c>
      <c r="C585" s="197">
        <f t="shared" si="1"/>
        <v>1</v>
      </c>
      <c r="D585" s="20" t="s">
        <v>2704</v>
      </c>
      <c r="E585" s="20">
        <v>1.0</v>
      </c>
    </row>
    <row r="586">
      <c r="A586" s="196"/>
      <c r="B586" s="197" t="str">
        <f>IFERROR(__xludf.DUMMYFUNCTION("""COMPUTED_VALUE"""),"Tombstone")</f>
        <v>Tombstone</v>
      </c>
      <c r="C586" s="197">
        <f t="shared" si="1"/>
        <v>1</v>
      </c>
      <c r="D586" s="20" t="s">
        <v>2705</v>
      </c>
      <c r="E586" s="20">
        <v>1.0</v>
      </c>
    </row>
    <row r="587">
      <c r="A587" s="196" t="str">
        <f>IFERROR(__xludf.DUMMYFUNCTION("""COMPUTED_VALUE"""),"Hailbringer")</f>
        <v>Hailbringer</v>
      </c>
      <c r="B587" s="197" t="str">
        <f>IFERROR(__xludf.DUMMYFUNCTION("""COMPUTED_VALUE"""),"Umbral")</f>
        <v>Umbral</v>
      </c>
      <c r="C587" s="197">
        <f t="shared" si="1"/>
        <v>1</v>
      </c>
      <c r="D587" s="20" t="s">
        <v>1840</v>
      </c>
      <c r="E587" s="20">
        <v>1.0</v>
      </c>
    </row>
    <row r="588">
      <c r="A588" s="196"/>
      <c r="B588" s="197" t="str">
        <f>IFERROR(__xludf.DUMMYFUNCTION("""COMPUTED_VALUE"""),"Voidkiss")</f>
        <v>Voidkiss</v>
      </c>
      <c r="C588" s="197">
        <f t="shared" si="1"/>
        <v>1</v>
      </c>
      <c r="D588" s="20" t="s">
        <v>2706</v>
      </c>
      <c r="E588" s="20">
        <v>1.0</v>
      </c>
    </row>
    <row r="589">
      <c r="A589" s="196"/>
      <c r="B589" s="197" t="str">
        <f>IFERROR(__xludf.DUMMYFUNCTION("""COMPUTED_VALUE"""),"Siren")</f>
        <v>Siren</v>
      </c>
      <c r="C589" s="197">
        <f t="shared" si="1"/>
        <v>1</v>
      </c>
      <c r="D589" s="20" t="s">
        <v>2707</v>
      </c>
      <c r="E589" s="20">
        <v>1.0</v>
      </c>
    </row>
    <row r="590">
      <c r="A590" s="196"/>
      <c r="B590" s="197" t="str">
        <f>IFERROR(__xludf.DUMMYFUNCTION("""COMPUTED_VALUE"""),"Rootstrosity")</f>
        <v>Rootstrosity</v>
      </c>
      <c r="C590" s="197">
        <f t="shared" si="1"/>
        <v>1</v>
      </c>
      <c r="D590" s="20" t="s">
        <v>2708</v>
      </c>
      <c r="E590" s="20">
        <v>1.0</v>
      </c>
    </row>
    <row r="591">
      <c r="A591" s="196"/>
      <c r="B591" s="197" t="str">
        <f>IFERROR(__xludf.DUMMYFUNCTION("""COMPUTED_VALUE"""),"Voodoo")</f>
        <v>Voodoo</v>
      </c>
      <c r="C591" s="197">
        <f t="shared" si="1"/>
        <v>1</v>
      </c>
      <c r="D591" s="20" t="s">
        <v>1844</v>
      </c>
      <c r="E591" s="20">
        <v>1.0</v>
      </c>
    </row>
    <row r="592">
      <c r="A592" s="196" t="str">
        <f>IFERROR(__xludf.DUMMYFUNCTION("""COMPUTED_VALUE"""),"Stormlash")</f>
        <v>Stormlash</v>
      </c>
      <c r="B592" s="197" t="str">
        <f>IFERROR(__xludf.DUMMYFUNCTION("""COMPUTED_VALUE"""),"Doctor")</f>
        <v>Doctor</v>
      </c>
      <c r="C592" s="197">
        <f t="shared" si="1"/>
        <v>1</v>
      </c>
      <c r="D592" s="20" t="s">
        <v>2709</v>
      </c>
      <c r="E592" s="20">
        <v>1.0</v>
      </c>
    </row>
    <row r="593">
      <c r="A593" s="196"/>
      <c r="B593" s="197" t="str">
        <f>IFERROR(__xludf.DUMMYFUNCTION("""COMPUTED_VALUE"""),"Whispering")</f>
        <v>Whispering</v>
      </c>
      <c r="C593" s="197">
        <f t="shared" si="1"/>
        <v>1</v>
      </c>
      <c r="D593" s="20" t="s">
        <v>2710</v>
      </c>
      <c r="E593" s="20">
        <v>1.0</v>
      </c>
    </row>
    <row r="594">
      <c r="A594" s="196"/>
      <c r="B594" s="197" t="str">
        <f>IFERROR(__xludf.DUMMYFUNCTION("""COMPUTED_VALUE"""),"Tome")</f>
        <v>Tome</v>
      </c>
      <c r="C594" s="197">
        <f t="shared" si="1"/>
        <v>1</v>
      </c>
      <c r="D594" s="20" t="s">
        <v>2711</v>
      </c>
      <c r="E594" s="20">
        <v>1.0</v>
      </c>
    </row>
    <row r="595">
      <c r="A595" s="196"/>
      <c r="B595" s="197" t="str">
        <f>IFERROR(__xludf.DUMMYFUNCTION("""COMPUTED_VALUE"""),"Choking")</f>
        <v>Choking</v>
      </c>
      <c r="C595" s="197">
        <f t="shared" si="1"/>
        <v>1</v>
      </c>
      <c r="D595" s="20" t="s">
        <v>2712</v>
      </c>
      <c r="E595" s="20">
        <v>1.0</v>
      </c>
    </row>
    <row r="596">
      <c r="A596" s="196"/>
      <c r="B596" s="197" t="str">
        <f>IFERROR(__xludf.DUMMYFUNCTION("""COMPUTED_VALUE"""),"Vines")</f>
        <v>Vines</v>
      </c>
      <c r="C596" s="197">
        <f t="shared" si="1"/>
        <v>1</v>
      </c>
      <c r="D596" s="20" t="s">
        <v>1858</v>
      </c>
      <c r="E596" s="20">
        <v>1.0</v>
      </c>
    </row>
    <row r="597">
      <c r="A597" s="196" t="str">
        <f>IFERROR(__xludf.DUMMYFUNCTION("""COMPUTED_VALUE"""),"Stormworn")</f>
        <v>Stormworn</v>
      </c>
      <c r="B597" s="197" t="str">
        <f>IFERROR(__xludf.DUMMYFUNCTION("""COMPUTED_VALUE"""),"Heathborn")</f>
        <v>Heathborn</v>
      </c>
      <c r="C597" s="197">
        <f t="shared" si="1"/>
        <v>1</v>
      </c>
      <c r="D597" s="20" t="s">
        <v>2713</v>
      </c>
      <c r="E597" s="20">
        <v>1.0</v>
      </c>
    </row>
    <row r="598">
      <c r="A598" s="196" t="str">
        <f>IFERROR(__xludf.DUMMYFUNCTION("""COMPUTED_VALUE"""),"Horn")</f>
        <v>Horn</v>
      </c>
      <c r="B598" s="197" t="str">
        <f>IFERROR(__xludf.DUMMYFUNCTION("""COMPUTED_VALUE"""),"Protector")</f>
        <v>Protector</v>
      </c>
      <c r="C598" s="197">
        <f t="shared" si="1"/>
        <v>1</v>
      </c>
      <c r="D598" s="20" t="s">
        <v>2714</v>
      </c>
      <c r="E598" s="20">
        <v>1.0</v>
      </c>
    </row>
    <row r="599">
      <c r="A599" s="196"/>
      <c r="B599" s="197" t="str">
        <f>IFERROR(__xludf.DUMMYFUNCTION("""COMPUTED_VALUE"""),"Wastelands")</f>
        <v>Wastelands</v>
      </c>
      <c r="C599" s="197">
        <f t="shared" si="1"/>
        <v>1</v>
      </c>
      <c r="D599" s="20" t="s">
        <v>2715</v>
      </c>
      <c r="E599" s="20">
        <v>1.0</v>
      </c>
    </row>
    <row r="600">
      <c r="A600" s="196"/>
      <c r="B600" s="197" t="str">
        <f>IFERROR(__xludf.DUMMYFUNCTION("""COMPUTED_VALUE"""),"Crystalbane")</f>
        <v>Crystalbane</v>
      </c>
      <c r="C600" s="197">
        <f t="shared" si="1"/>
        <v>1</v>
      </c>
      <c r="D600" s="20" t="s">
        <v>2716</v>
      </c>
      <c r="E600" s="20">
        <v>1.0</v>
      </c>
    </row>
    <row r="601">
      <c r="A601" s="196"/>
      <c r="B601" s="197" t="str">
        <f>IFERROR(__xludf.DUMMYFUNCTION("""COMPUTED_VALUE"""),"Glutton")</f>
        <v>Glutton</v>
      </c>
      <c r="C601" s="197">
        <f t="shared" si="1"/>
        <v>1</v>
      </c>
      <c r="D601" s="20" t="s">
        <v>2717</v>
      </c>
      <c r="E601" s="20">
        <v>1.0</v>
      </c>
    </row>
    <row r="602">
      <c r="A602" s="196" t="str">
        <f>IFERROR(__xludf.DUMMYFUNCTION("""COMPUTED_VALUE"""),"Glinteye")</f>
        <v>Glinteye</v>
      </c>
      <c r="B602" s="197" t="str">
        <f>IFERROR(__xludf.DUMMYFUNCTION("""COMPUTED_VALUE"""),"Crystalline")</f>
        <v>Crystalline</v>
      </c>
      <c r="C602" s="197">
        <f t="shared" si="1"/>
        <v>1</v>
      </c>
      <c r="D602" s="20" t="s">
        <v>2718</v>
      </c>
      <c r="E602" s="20">
        <v>1.0</v>
      </c>
    </row>
    <row r="603">
      <c r="A603" s="196" t="str">
        <f>IFERROR(__xludf.DUMMYFUNCTION("""COMPUTED_VALUE"""),"Hoarder")</f>
        <v>Hoarder</v>
      </c>
      <c r="B603" s="197" t="str">
        <f>IFERROR(__xludf.DUMMYFUNCTION("""COMPUTED_VALUE"""),"Parasite")</f>
        <v>Parasite</v>
      </c>
      <c r="C603" s="197">
        <f t="shared" si="1"/>
        <v>1</v>
      </c>
      <c r="D603" s="20" t="s">
        <v>2719</v>
      </c>
      <c r="E603" s="20">
        <v>1.0</v>
      </c>
    </row>
    <row r="604">
      <c r="A604" s="196"/>
      <c r="B604" s="197" t="str">
        <f>IFERROR(__xludf.DUMMYFUNCTION("""COMPUTED_VALUE"""),"Fortune's")</f>
        <v>Fortune's</v>
      </c>
      <c r="C604" s="197">
        <f t="shared" si="1"/>
        <v>1</v>
      </c>
      <c r="D604" s="20" t="s">
        <v>2720</v>
      </c>
      <c r="E604" s="20">
        <v>1.0</v>
      </c>
    </row>
    <row r="605">
      <c r="A605" s="196"/>
      <c r="B605" s="197" t="str">
        <f>IFERROR(__xludf.DUMMYFUNCTION("""COMPUTED_VALUE"""),"Favorite")</f>
        <v>Favorite</v>
      </c>
      <c r="C605" s="197">
        <f t="shared" si="1"/>
        <v>1</v>
      </c>
      <c r="D605" s="20" t="s">
        <v>2721</v>
      </c>
      <c r="E605" s="20">
        <v>1.0</v>
      </c>
    </row>
    <row r="606">
      <c r="A606" s="196"/>
      <c r="B606" s="197" t="str">
        <f>IFERROR(__xludf.DUMMYFUNCTION("""COMPUTED_VALUE"""),"Gigantic")</f>
        <v>Gigantic</v>
      </c>
      <c r="C606" s="197">
        <f t="shared" si="1"/>
        <v>1</v>
      </c>
      <c r="D606" s="20" t="s">
        <v>2722</v>
      </c>
      <c r="E606" s="20">
        <v>1.0</v>
      </c>
    </row>
    <row r="607">
      <c r="A607" s="196" t="str">
        <f>IFERROR(__xludf.DUMMYFUNCTION("""COMPUTED_VALUE"""),"The")</f>
        <v>The</v>
      </c>
      <c r="B607" s="197" t="str">
        <f>IFERROR(__xludf.DUMMYFUNCTION("""COMPUTED_VALUE"""),"Terrormaw")</f>
        <v>Terrormaw</v>
      </c>
      <c r="C607" s="197">
        <f t="shared" si="1"/>
        <v>1</v>
      </c>
      <c r="D607" s="20" t="s">
        <v>2723</v>
      </c>
      <c r="E607" s="20">
        <v>1.0</v>
      </c>
    </row>
    <row r="608">
      <c r="A608" s="196" t="str">
        <f>IFERROR(__xludf.DUMMYFUNCTION("""COMPUTED_VALUE"""),"Culling")</f>
        <v>Culling</v>
      </c>
      <c r="B608" s="197" t="str">
        <f>IFERROR(__xludf.DUMMYFUNCTION("""COMPUTED_VALUE"""),"Null")</f>
        <v>Null</v>
      </c>
      <c r="C608" s="197">
        <f t="shared" si="1"/>
        <v>1</v>
      </c>
      <c r="D608" s="20" t="s">
        <v>2724</v>
      </c>
      <c r="E608" s="20">
        <v>1.0</v>
      </c>
    </row>
    <row r="609">
      <c r="A609" s="196" t="str">
        <f>IFERROR(__xludf.DUMMYFUNCTION("""COMPUTED_VALUE"""),"Claw")</f>
        <v>Claw</v>
      </c>
      <c r="B609" s="197" t="str">
        <f>IFERROR(__xludf.DUMMYFUNCTION("""COMPUTED_VALUE"""),"Ghost")</f>
        <v>Ghost</v>
      </c>
      <c r="C609" s="197">
        <f t="shared" si="1"/>
        <v>1</v>
      </c>
      <c r="D609" s="20" t="s">
        <v>2725</v>
      </c>
      <c r="E609" s="20">
        <v>1.0</v>
      </c>
    </row>
    <row r="610">
      <c r="A610" s="196"/>
      <c r="B610" s="197" t="str">
        <f>IFERROR(__xludf.DUMMYFUNCTION("""COMPUTED_VALUE"""),"Bear")</f>
        <v>Bear</v>
      </c>
      <c r="C610" s="197">
        <f t="shared" si="1"/>
        <v>1</v>
      </c>
      <c r="D610" s="20" t="s">
        <v>2726</v>
      </c>
      <c r="E610" s="20">
        <v>1.0</v>
      </c>
    </row>
    <row r="611">
      <c r="A611" s="196"/>
      <c r="B611" s="197" t="str">
        <f>IFERROR(__xludf.DUMMYFUNCTION("""COMPUTED_VALUE"""),"Cub")</f>
        <v>Cub</v>
      </c>
      <c r="C611" s="197">
        <f t="shared" si="1"/>
        <v>1</v>
      </c>
      <c r="D611" s="20" t="s">
        <v>2727</v>
      </c>
      <c r="E611" s="20">
        <v>1.0</v>
      </c>
    </row>
    <row r="612">
      <c r="A612" s="196" t="str">
        <f>IFERROR(__xludf.DUMMYFUNCTION("""COMPUTED_VALUE"""),"Thunderfox")</f>
        <v>Thunderfox</v>
      </c>
      <c r="B612" s="197" t="str">
        <f>IFERROR(__xludf.DUMMYFUNCTION("""COMPUTED_VALUE"""),"Necroconut")</f>
        <v>Necroconut</v>
      </c>
      <c r="C612" s="197">
        <f t="shared" si="1"/>
        <v>1</v>
      </c>
      <c r="D612" s="20" t="s">
        <v>2728</v>
      </c>
      <c r="E612" s="20">
        <v>1.0</v>
      </c>
    </row>
    <row r="613">
      <c r="A613" s="196"/>
      <c r="B613" s="197" t="str">
        <f>IFERROR(__xludf.DUMMYFUNCTION("""COMPUTED_VALUE"""),"Crab")</f>
        <v>Crab</v>
      </c>
      <c r="C613" s="197">
        <f t="shared" si="1"/>
        <v>1</v>
      </c>
      <c r="D613" s="20" t="s">
        <v>2729</v>
      </c>
      <c r="E613" s="20">
        <v>1.0</v>
      </c>
    </row>
    <row r="614">
      <c r="A614" s="196"/>
      <c r="B614" s="197" t="str">
        <f>IFERROR(__xludf.DUMMYFUNCTION("""COMPUTED_VALUE"""),"Rotting")</f>
        <v>Rotting</v>
      </c>
      <c r="C614" s="197">
        <f t="shared" si="1"/>
        <v>1</v>
      </c>
      <c r="D614" s="20" t="s">
        <v>2730</v>
      </c>
      <c r="E614" s="20">
        <v>1.0</v>
      </c>
    </row>
    <row r="615">
      <c r="A615" s="196"/>
      <c r="B615" s="197" t="str">
        <f>IFERROR(__xludf.DUMMYFUNCTION("""COMPUTED_VALUE"""),"Alicorn")</f>
        <v>Alicorn</v>
      </c>
      <c r="C615" s="197">
        <f t="shared" si="1"/>
        <v>1</v>
      </c>
      <c r="D615" s="20" t="s">
        <v>2731</v>
      </c>
      <c r="E615" s="20">
        <v>1.0</v>
      </c>
    </row>
    <row r="616">
      <c r="A616" s="196"/>
      <c r="B616" s="197" t="str">
        <f>IFERROR(__xludf.DUMMYFUNCTION("""COMPUTED_VALUE"""),"Initiate")</f>
        <v>Initiate</v>
      </c>
      <c r="C616" s="197">
        <f t="shared" si="1"/>
        <v>1</v>
      </c>
      <c r="D616" s="20" t="s">
        <v>2732</v>
      </c>
      <c r="E616" s="20">
        <v>1.0</v>
      </c>
    </row>
    <row r="617">
      <c r="A617" s="196" t="str">
        <f>IFERROR(__xludf.DUMMYFUNCTION("""COMPUTED_VALUE"""),"Raijin's")</f>
        <v>Raijin's</v>
      </c>
      <c r="B617" s="197" t="str">
        <f>IFERROR(__xludf.DUMMYFUNCTION("""COMPUTED_VALUE"""),"Cryptroach")</f>
        <v>Cryptroach</v>
      </c>
      <c r="C617" s="197">
        <f t="shared" si="1"/>
        <v>1</v>
      </c>
      <c r="D617" s="20" t="s">
        <v>2733</v>
      </c>
      <c r="E617" s="20">
        <v>1.0</v>
      </c>
    </row>
    <row r="618">
      <c r="A618" s="196" t="str">
        <f>IFERROR(__xludf.DUMMYFUNCTION("""COMPUTED_VALUE"""),"Familiar")</f>
        <v>Familiar</v>
      </c>
      <c r="B618" s="197" t="str">
        <f>IFERROR(__xludf.DUMMYFUNCTION("""COMPUTED_VALUE"""),"Abyssal")</f>
        <v>Abyssal</v>
      </c>
      <c r="C618" s="197">
        <f t="shared" si="1"/>
        <v>1</v>
      </c>
      <c r="D618" s="20" t="s">
        <v>2734</v>
      </c>
      <c r="E618" s="20">
        <v>1.0</v>
      </c>
    </row>
    <row r="619">
      <c r="A619" s="196"/>
      <c r="B619" s="197" t="str">
        <f>IFERROR(__xludf.DUMMYFUNCTION("""COMPUTED_VALUE"""),"Silencer")</f>
        <v>Silencer</v>
      </c>
      <c r="C619" s="197">
        <f t="shared" si="1"/>
        <v>1</v>
      </c>
      <c r="D619" s="20" t="s">
        <v>2735</v>
      </c>
      <c r="E619" s="20">
        <v>1.0</v>
      </c>
    </row>
    <row r="620">
      <c r="A620" s="196"/>
      <c r="B620" s="197" t="str">
        <f>IFERROR(__xludf.DUMMYFUNCTION("""COMPUTED_VALUE"""),"Blightcoven")</f>
        <v>Blightcoven</v>
      </c>
      <c r="C620" s="197">
        <f t="shared" si="1"/>
        <v>1</v>
      </c>
      <c r="D620" s="20" t="s">
        <v>2736</v>
      </c>
      <c r="E620" s="20">
        <v>1.0</v>
      </c>
    </row>
    <row r="621">
      <c r="A621" s="196"/>
      <c r="B621" s="197" t="str">
        <f>IFERROR(__xludf.DUMMYFUNCTION("""COMPUTED_VALUE"""),"Puppeteer")</f>
        <v>Puppeteer</v>
      </c>
      <c r="C621" s="197">
        <f t="shared" si="1"/>
        <v>1</v>
      </c>
      <c r="D621" s="20" t="s">
        <v>2737</v>
      </c>
      <c r="E621" s="20">
        <v>1.0</v>
      </c>
    </row>
    <row r="622">
      <c r="A622" s="196" t="str">
        <f>IFERROR(__xludf.DUMMYFUNCTION("""COMPUTED_VALUE"""),"Twin")</f>
        <v>Twin</v>
      </c>
      <c r="B622" s="197" t="str">
        <f>IFERROR(__xludf.DUMMYFUNCTION("""COMPUTED_VALUE"""),"Ambassador")</f>
        <v>Ambassador</v>
      </c>
      <c r="C622" s="197">
        <f t="shared" si="1"/>
        <v>1</v>
      </c>
      <c r="D622" s="20" t="s">
        <v>2738</v>
      </c>
      <c r="E622" s="20">
        <v>1.0</v>
      </c>
    </row>
    <row r="623">
      <c r="A623" s="196" t="str">
        <f>IFERROR(__xludf.DUMMYFUNCTION("""COMPUTED_VALUE"""),"Thundertail")</f>
        <v>Thundertail</v>
      </c>
      <c r="B623" s="197" t="str">
        <f>IFERROR(__xludf.DUMMYFUNCTION("""COMPUTED_VALUE"""),"Sovereign")</f>
        <v>Sovereign</v>
      </c>
      <c r="C623" s="197">
        <f t="shared" si="1"/>
        <v>2</v>
      </c>
      <c r="D623" s="20" t="s">
        <v>1908</v>
      </c>
      <c r="E623" s="20">
        <v>1.0</v>
      </c>
    </row>
    <row r="624">
      <c r="A624" s="196"/>
      <c r="B624" s="197" t="str">
        <f>IFERROR(__xludf.DUMMYFUNCTION("""COMPUTED_VALUE"""),"Emissary")</f>
        <v>Emissary</v>
      </c>
      <c r="C624" s="197">
        <f t="shared" si="1"/>
        <v>1</v>
      </c>
      <c r="D624" s="20" t="s">
        <v>2739</v>
      </c>
      <c r="E624" s="20">
        <v>1.0</v>
      </c>
    </row>
    <row r="625">
      <c r="A625" s="196"/>
      <c r="B625" s="197" t="str">
        <f>IFERROR(__xludf.DUMMYFUNCTION("""COMPUTED_VALUE"""),"Darkness")</f>
        <v>Darkness</v>
      </c>
      <c r="C625" s="197">
        <f t="shared" si="1"/>
        <v>1</v>
      </c>
      <c r="D625" s="20" t="s">
        <v>2740</v>
      </c>
      <c r="E625" s="20">
        <v>1.0</v>
      </c>
    </row>
    <row r="626">
      <c r="A626" s="196"/>
      <c r="B626" s="197" t="str">
        <f>IFERROR(__xludf.DUMMYFUNCTION("""COMPUTED_VALUE"""),"Chronicler")</f>
        <v>Chronicler</v>
      </c>
      <c r="C626" s="197">
        <f t="shared" si="1"/>
        <v>1</v>
      </c>
      <c r="D626" s="20" t="s">
        <v>2741</v>
      </c>
      <c r="E626" s="20">
        <v>1.0</v>
      </c>
    </row>
    <row r="627">
      <c r="A627" s="196" t="str">
        <f>IFERROR(__xludf.DUMMYFUNCTION("""COMPUTED_VALUE"""),"Vengeful")</f>
        <v>Vengeful</v>
      </c>
      <c r="B627" s="197" t="str">
        <f>IFERROR(__xludf.DUMMYFUNCTION("""COMPUTED_VALUE"""),"Serenader")</f>
        <v>Serenader</v>
      </c>
      <c r="C627" s="197">
        <f t="shared" si="1"/>
        <v>1</v>
      </c>
      <c r="D627" s="20" t="s">
        <v>2742</v>
      </c>
      <c r="E627" s="20">
        <v>1.0</v>
      </c>
    </row>
    <row r="628">
      <c r="A628" s="196" t="str">
        <f>IFERROR(__xludf.DUMMYFUNCTION("""COMPUTED_VALUE"""),"Gust")</f>
        <v>Gust</v>
      </c>
      <c r="B628" s="197" t="str">
        <f>IFERROR(__xludf.DUMMYFUNCTION("""COMPUTED_VALUE"""),"Foul")</f>
        <v>Foul</v>
      </c>
      <c r="C628" s="197">
        <f t="shared" si="1"/>
        <v>1</v>
      </c>
      <c r="D628" s="20" t="s">
        <v>2743</v>
      </c>
      <c r="E628" s="20">
        <v>1.0</v>
      </c>
    </row>
    <row r="629">
      <c r="A629" s="196"/>
      <c r="B629" s="197" t="str">
        <f>IFERROR(__xludf.DUMMYFUNCTION("""COMPUTED_VALUE"""),"Corruptor")</f>
        <v>Corruptor</v>
      </c>
      <c r="C629" s="197">
        <f t="shared" si="1"/>
        <v>1</v>
      </c>
      <c r="D629" s="20" t="s">
        <v>2744</v>
      </c>
      <c r="E629" s="20">
        <v>1.0</v>
      </c>
    </row>
    <row r="630">
      <c r="A630" s="196"/>
      <c r="B630" s="197" t="str">
        <f>IFERROR(__xludf.DUMMYFUNCTION("""COMPUTED_VALUE"""),"Ghoulflesh")</f>
        <v>Ghoulflesh</v>
      </c>
      <c r="C630" s="197">
        <f t="shared" si="1"/>
        <v>1</v>
      </c>
      <c r="D630" s="20" t="s">
        <v>2745</v>
      </c>
      <c r="E630" s="20">
        <v>1.0</v>
      </c>
    </row>
    <row r="631">
      <c r="A631" s="196"/>
      <c r="B631" s="197" t="str">
        <f>IFERROR(__xludf.DUMMYFUNCTION("""COMPUTED_VALUE"""),"Devourer")</f>
        <v>Devourer</v>
      </c>
      <c r="C631" s="197">
        <f t="shared" si="1"/>
        <v>1</v>
      </c>
      <c r="D631" s="20" t="s">
        <v>2746</v>
      </c>
      <c r="E631" s="20">
        <v>1.0</v>
      </c>
    </row>
    <row r="632">
      <c r="A632" s="196" t="str">
        <f>IFERROR(__xludf.DUMMYFUNCTION("""COMPUTED_VALUE"""),"Runecursed")</f>
        <v>Runecursed</v>
      </c>
      <c r="B632" s="197" t="str">
        <f>IFERROR(__xludf.DUMMYFUNCTION("""COMPUTED_VALUE"""),"Grinning")</f>
        <v>Grinning</v>
      </c>
      <c r="C632" s="197">
        <f t="shared" si="1"/>
        <v>1</v>
      </c>
      <c r="D632" s="20" t="s">
        <v>2747</v>
      </c>
      <c r="E632" s="20">
        <v>1.0</v>
      </c>
    </row>
    <row r="633">
      <c r="A633" s="196" t="str">
        <f>IFERROR(__xludf.DUMMYFUNCTION("""COMPUTED_VALUE"""),"Wyvern")</f>
        <v>Wyvern</v>
      </c>
      <c r="B633" s="197" t="str">
        <f>IFERROR(__xludf.DUMMYFUNCTION("""COMPUTED_VALUE"""),"Amphora")</f>
        <v>Amphora</v>
      </c>
      <c r="C633" s="197">
        <f t="shared" si="1"/>
        <v>1</v>
      </c>
      <c r="D633" s="20" t="s">
        <v>2748</v>
      </c>
      <c r="E633" s="20">
        <v>1.0</v>
      </c>
    </row>
    <row r="634">
      <c r="A634" s="196"/>
      <c r="B634" s="197" t="str">
        <f>IFERROR(__xludf.DUMMYFUNCTION("""COMPUTED_VALUE"""),"Intrusive")</f>
        <v>Intrusive</v>
      </c>
      <c r="C634" s="197">
        <f t="shared" si="1"/>
        <v>1</v>
      </c>
      <c r="D634" s="20" t="s">
        <v>2749</v>
      </c>
      <c r="E634" s="20">
        <v>1.0</v>
      </c>
    </row>
    <row r="635">
      <c r="A635" s="196"/>
      <c r="B635" s="197" t="str">
        <f>IFERROR(__xludf.DUMMYFUNCTION("""COMPUTED_VALUE"""),"Advisor")</f>
        <v>Advisor</v>
      </c>
      <c r="C635" s="197">
        <f t="shared" si="1"/>
        <v>1</v>
      </c>
      <c r="D635" s="20" t="s">
        <v>2750</v>
      </c>
      <c r="E635" s="20">
        <v>1.0</v>
      </c>
    </row>
    <row r="636">
      <c r="A636" s="196"/>
      <c r="B636" s="197" t="str">
        <f>IFERROR(__xludf.DUMMYFUNCTION("""COMPUTED_VALUE"""),"Heaven")</f>
        <v>Heaven</v>
      </c>
      <c r="C636" s="197">
        <f t="shared" si="1"/>
        <v>1</v>
      </c>
      <c r="D636" s="20" t="s">
        <v>2751</v>
      </c>
      <c r="E636" s="20">
        <v>1.0</v>
      </c>
    </row>
    <row r="637">
      <c r="A637" s="196" t="str">
        <f>IFERROR(__xludf.DUMMYFUNCTION("""COMPUTED_VALUE"""),"Skulloath")</f>
        <v>Skulloath</v>
      </c>
      <c r="B637" s="197" t="str">
        <f>IFERROR(__xludf.DUMMYFUNCTION("""COMPUTED_VALUE"""),"Pestilence")</f>
        <v>Pestilence</v>
      </c>
      <c r="C637" s="197">
        <f t="shared" si="1"/>
        <v>1</v>
      </c>
      <c r="D637" s="20" t="s">
        <v>2752</v>
      </c>
      <c r="E637" s="20">
        <v>1.0</v>
      </c>
    </row>
    <row r="638">
      <c r="A638" s="196" t="str">
        <f>IFERROR(__xludf.DUMMYFUNCTION("""COMPUTED_VALUE"""),"Lootclaimer")</f>
        <v>Lootclaimer</v>
      </c>
      <c r="B638" s="197" t="str">
        <f>IFERROR(__xludf.DUMMYFUNCTION("""COMPUTED_VALUE"""),"Haze")</f>
        <v>Haze</v>
      </c>
      <c r="C638" s="197">
        <f t="shared" si="1"/>
        <v>1</v>
      </c>
      <c r="D638" s="20" t="s">
        <v>2753</v>
      </c>
      <c r="E638" s="20">
        <v>1.0</v>
      </c>
    </row>
    <row r="639">
      <c r="A639" s="196"/>
      <c r="B639" s="197" t="str">
        <f>IFERROR(__xludf.DUMMYFUNCTION("""COMPUTED_VALUE"""),"Lamp")</f>
        <v>Lamp</v>
      </c>
      <c r="C639" s="197">
        <f t="shared" si="1"/>
        <v>1</v>
      </c>
      <c r="D639" s="20" t="s">
        <v>2754</v>
      </c>
      <c r="E639" s="20">
        <v>1.0</v>
      </c>
    </row>
    <row r="640">
      <c r="A640" s="196"/>
      <c r="B640" s="197" t="str">
        <f>IFERROR(__xludf.DUMMYFUNCTION("""COMPUTED_VALUE"""),"Oblivion")</f>
        <v>Oblivion</v>
      </c>
      <c r="C640" s="197">
        <f t="shared" si="1"/>
        <v>1</v>
      </c>
      <c r="D640" s="20" t="s">
        <v>2755</v>
      </c>
      <c r="E640" s="20">
        <v>1.0</v>
      </c>
    </row>
    <row r="641">
      <c r="A641" s="196"/>
      <c r="B641" s="197" t="str">
        <f>IFERROR(__xludf.DUMMYFUNCTION("""COMPUTED_VALUE"""),"Rejuvenating")</f>
        <v>Rejuvenating</v>
      </c>
      <c r="C641" s="197">
        <f t="shared" si="1"/>
        <v>1</v>
      </c>
      <c r="D641" s="20" t="s">
        <v>2756</v>
      </c>
      <c r="E641" s="20">
        <v>1.0</v>
      </c>
    </row>
    <row r="642">
      <c r="A642" s="196" t="str">
        <f>IFERROR(__xludf.DUMMYFUNCTION("""COMPUTED_VALUE"""),"Spell")</f>
        <v>Spell</v>
      </c>
      <c r="B642" s="197" t="str">
        <f>IFERROR(__xludf.DUMMYFUNCTION("""COMPUTED_VALUE"""),"Blinking")</f>
        <v>Blinking</v>
      </c>
      <c r="C642" s="197">
        <f t="shared" si="1"/>
        <v>1</v>
      </c>
      <c r="D642" s="20" t="s">
        <v>2757</v>
      </c>
      <c r="E642" s="20">
        <v>1.0</v>
      </c>
    </row>
    <row r="643">
      <c r="A643" s="196" t="str">
        <f>IFERROR(__xludf.DUMMYFUNCTION("""COMPUTED_VALUE"""),"Cat")</f>
        <v>Cat</v>
      </c>
      <c r="B643" s="197" t="str">
        <f>IFERROR(__xludf.DUMMYFUNCTION("""COMPUTED_VALUE"""),"Onyxion")</f>
        <v>Onyxion</v>
      </c>
      <c r="C643" s="197">
        <f t="shared" si="1"/>
        <v>1</v>
      </c>
      <c r="D643" s="20" t="s">
        <v>2758</v>
      </c>
      <c r="E643" s="20">
        <v>1.0</v>
      </c>
    </row>
    <row r="644">
      <c r="A644" s="196"/>
      <c r="B644" s="197" t="str">
        <f>IFERROR(__xludf.DUMMYFUNCTION("""COMPUTED_VALUE"""),"Thalis")</f>
        <v>Thalis</v>
      </c>
      <c r="C644" s="197">
        <f t="shared" si="1"/>
        <v>1</v>
      </c>
      <c r="D644" s="20" t="s">
        <v>2759</v>
      </c>
      <c r="E644" s="20">
        <v>1.0</v>
      </c>
    </row>
    <row r="645">
      <c r="A645" s="196"/>
      <c r="B645" s="197" t="str">
        <f>IFERROR(__xludf.DUMMYFUNCTION("""COMPUTED_VALUE"""),"Fuming")</f>
        <v>Fuming</v>
      </c>
      <c r="C645" s="197">
        <f t="shared" si="1"/>
        <v>1</v>
      </c>
      <c r="D645" s="20" t="s">
        <v>1963</v>
      </c>
      <c r="E645" s="20">
        <v>1.0</v>
      </c>
    </row>
    <row r="646">
      <c r="A646" s="196"/>
      <c r="B646" s="197" t="str">
        <f>IFERROR(__xludf.DUMMYFUNCTION("""COMPUTED_VALUE"""),"Fukuisaur")</f>
        <v>Fukuisaur</v>
      </c>
      <c r="C646" s="197">
        <f t="shared" si="1"/>
        <v>1</v>
      </c>
      <c r="D646" s="20" t="s">
        <v>2760</v>
      </c>
      <c r="E646" s="20">
        <v>1.0</v>
      </c>
    </row>
    <row r="647">
      <c r="A647" s="196" t="str">
        <f>IFERROR(__xludf.DUMMYFUNCTION("""COMPUTED_VALUE"""),"Vermillion")</f>
        <v>Vermillion</v>
      </c>
      <c r="B647" s="197" t="str">
        <f>IFERROR(__xludf.DUMMYFUNCTION("""COMPUTED_VALUE"""),"Spreading")</f>
        <v>Spreading</v>
      </c>
      <c r="C647" s="197">
        <f t="shared" si="1"/>
        <v>1</v>
      </c>
      <c r="D647" s="20" t="s">
        <v>2761</v>
      </c>
      <c r="E647" s="20">
        <v>1.0</v>
      </c>
    </row>
    <row r="648">
      <c r="A648" s="196" t="str">
        <f>IFERROR(__xludf.DUMMYFUNCTION("""COMPUTED_VALUE"""),"Firebird")</f>
        <v>Firebird</v>
      </c>
      <c r="B648" s="197" t="str">
        <f>IFERROR(__xludf.DUMMYFUNCTION("""COMPUTED_VALUE"""),"Spore")</f>
        <v>Spore</v>
      </c>
      <c r="C648" s="197">
        <f t="shared" si="1"/>
        <v>1</v>
      </c>
      <c r="D648" s="20" t="s">
        <v>2762</v>
      </c>
      <c r="E648" s="20">
        <v>1.0</v>
      </c>
    </row>
    <row r="649">
      <c r="A649" s="196"/>
      <c r="B649" s="197" t="str">
        <f>IFERROR(__xludf.DUMMYFUNCTION("""COMPUTED_VALUE"""),"Nightmare")</f>
        <v>Nightmare</v>
      </c>
      <c r="C649" s="197">
        <f t="shared" si="1"/>
        <v>2</v>
      </c>
      <c r="D649" s="20" t="s">
        <v>2763</v>
      </c>
      <c r="E649" s="20">
        <v>1.0</v>
      </c>
    </row>
    <row r="650">
      <c r="A650" s="196"/>
      <c r="B650" s="197" t="str">
        <f>IFERROR(__xludf.DUMMYFUNCTION("""COMPUTED_VALUE"""),"Chapel")</f>
        <v>Chapel</v>
      </c>
      <c r="C650" s="197">
        <f t="shared" si="1"/>
        <v>1</v>
      </c>
      <c r="D650" s="20" t="s">
        <v>2764</v>
      </c>
      <c r="E650" s="20">
        <v>1.0</v>
      </c>
    </row>
    <row r="651">
      <c r="A651" s="196"/>
      <c r="B651" s="197" t="str">
        <f>IFERROR(__xludf.DUMMYFUNCTION("""COMPUTED_VALUE"""),"Watcher")</f>
        <v>Watcher</v>
      </c>
      <c r="C651" s="197">
        <f t="shared" si="1"/>
        <v>1</v>
      </c>
      <c r="D651" s="20" t="s">
        <v>2765</v>
      </c>
      <c r="E651" s="20">
        <v>1.0</v>
      </c>
    </row>
    <row r="652">
      <c r="A652" s="196" t="str">
        <f>IFERROR(__xludf.DUMMYFUNCTION("""COMPUTED_VALUE"""),"Oasisdweller")</f>
        <v>Oasisdweller</v>
      </c>
      <c r="B652" s="197" t="str">
        <f>IFERROR(__xludf.DUMMYFUNCTION("""COMPUTED_VALUE"""),"Luring")</f>
        <v>Luring</v>
      </c>
      <c r="C652" s="197">
        <f t="shared" si="1"/>
        <v>1</v>
      </c>
      <c r="D652" s="20" t="s">
        <v>2766</v>
      </c>
      <c r="E652" s="20">
        <v>1.0</v>
      </c>
    </row>
    <row r="653">
      <c r="A653" s="196"/>
      <c r="B653" s="197" t="str">
        <f>IFERROR(__xludf.DUMMYFUNCTION("""COMPUTED_VALUE"""),"Flametooth")</f>
        <v>Flametooth</v>
      </c>
      <c r="C653" s="197">
        <f t="shared" si="1"/>
        <v>1</v>
      </c>
      <c r="D653" s="20" t="s">
        <v>2767</v>
      </c>
      <c r="E653" s="20">
        <v>1.0</v>
      </c>
    </row>
    <row r="654">
      <c r="A654" s="196"/>
      <c r="B654" s="197" t="str">
        <f>IFERROR(__xludf.DUMMYFUNCTION("""COMPUTED_VALUE"""),"Shardsplosion")</f>
        <v>Shardsplosion</v>
      </c>
      <c r="C654" s="197">
        <f t="shared" si="1"/>
        <v>1</v>
      </c>
      <c r="D654" s="20" t="s">
        <v>2768</v>
      </c>
      <c r="E654" s="20">
        <v>1.0</v>
      </c>
    </row>
    <row r="655">
      <c r="A655" s="196"/>
      <c r="B655" s="197" t="str">
        <f>IFERROR(__xludf.DUMMYFUNCTION("""COMPUTED_VALUE"""),"Dragoncaller")</f>
        <v>Dragoncaller</v>
      </c>
      <c r="C655" s="197">
        <f t="shared" si="1"/>
        <v>1</v>
      </c>
      <c r="D655" s="20" t="s">
        <v>2769</v>
      </c>
      <c r="E655" s="20">
        <v>1.0</v>
      </c>
    </row>
    <row r="656">
      <c r="A656" s="196"/>
      <c r="B656" s="197" t="str">
        <f>IFERROR(__xludf.DUMMYFUNCTION("""COMPUTED_VALUE"""),"Stalagmite")</f>
        <v>Stalagmite</v>
      </c>
      <c r="C656" s="197">
        <f t="shared" si="1"/>
        <v>1</v>
      </c>
      <c r="D656" s="20" t="s">
        <v>2770</v>
      </c>
      <c r="E656" s="20">
        <v>1.0</v>
      </c>
    </row>
    <row r="657">
      <c r="A657" s="196" t="str">
        <f>IFERROR(__xludf.DUMMYFUNCTION("""COMPUTED_VALUE"""),"Portalrunner")</f>
        <v>Portalrunner</v>
      </c>
      <c r="B657" s="197" t="str">
        <f>IFERROR(__xludf.DUMMYFUNCTION("""COMPUTED_VALUE"""),"Mirage")</f>
        <v>Mirage</v>
      </c>
      <c r="C657" s="197">
        <f t="shared" si="1"/>
        <v>1</v>
      </c>
      <c r="D657" s="20" t="s">
        <v>2771</v>
      </c>
      <c r="E657" s="20">
        <v>1.0</v>
      </c>
    </row>
    <row r="658">
      <c r="A658" s="196"/>
      <c r="B658" s="197" t="str">
        <f>IFERROR(__xludf.DUMMYFUNCTION("""COMPUTED_VALUE"""),"Heavenbound")</f>
        <v>Heavenbound</v>
      </c>
      <c r="C658" s="197">
        <f t="shared" si="1"/>
        <v>1</v>
      </c>
      <c r="D658" s="20" t="s">
        <v>1994</v>
      </c>
      <c r="E658" s="20">
        <v>1.0</v>
      </c>
    </row>
    <row r="659">
      <c r="A659" s="196"/>
      <c r="B659" s="197" t="str">
        <f>IFERROR(__xludf.DUMMYFUNCTION("""COMPUTED_VALUE"""),"Heka-Mage")</f>
        <v>Heka-Mage</v>
      </c>
      <c r="C659" s="197">
        <f t="shared" si="1"/>
        <v>1</v>
      </c>
      <c r="D659" s="20" t="s">
        <v>1996</v>
      </c>
      <c r="E659" s="20">
        <v>1.0</v>
      </c>
    </row>
    <row r="660">
      <c r="A660" s="196"/>
      <c r="B660" s="197" t="str">
        <f>IFERROR(__xludf.DUMMYFUNCTION("""COMPUTED_VALUE"""),"Twilight")</f>
        <v>Twilight</v>
      </c>
      <c r="C660" s="197">
        <f t="shared" si="1"/>
        <v>2</v>
      </c>
      <c r="D660" s="20" t="s">
        <v>2772</v>
      </c>
      <c r="E660" s="20">
        <v>1.0</v>
      </c>
    </row>
    <row r="661">
      <c r="A661" s="196"/>
      <c r="B661" s="197" t="str">
        <f>IFERROR(__xludf.DUMMYFUNCTION("""COMPUTED_VALUE"""),"Sorceress")</f>
        <v>Sorceress</v>
      </c>
      <c r="C661" s="197">
        <f t="shared" si="1"/>
        <v>1</v>
      </c>
      <c r="D661" s="20" t="s">
        <v>2773</v>
      </c>
      <c r="E661" s="20">
        <v>1.0</v>
      </c>
    </row>
    <row r="662">
      <c r="A662" s="196" t="str">
        <f>IFERROR(__xludf.DUMMYFUNCTION("""COMPUTED_VALUE"""),"Cinderguard")</f>
        <v>Cinderguard</v>
      </c>
      <c r="B662" s="197" t="str">
        <f>IFERROR(__xludf.DUMMYFUNCTION("""COMPUTED_VALUE"""),"Twinfang")</f>
        <v>Twinfang</v>
      </c>
      <c r="C662" s="197">
        <f t="shared" si="1"/>
        <v>1</v>
      </c>
      <c r="D662" s="20" t="s">
        <v>2774</v>
      </c>
      <c r="E662" s="20">
        <v>1.0</v>
      </c>
    </row>
    <row r="663">
      <c r="A663" s="196" t="str">
        <f>IFERROR(__xludf.DUMMYFUNCTION("""COMPUTED_VALUE"""),"Irregulars")</f>
        <v>Irregulars</v>
      </c>
      <c r="B663" s="197" t="str">
        <f>IFERROR(__xludf.DUMMYFUNCTION("""COMPUTED_VALUE"""),"Huntcaller")</f>
        <v>Huntcaller</v>
      </c>
      <c r="C663" s="197">
        <f t="shared" si="1"/>
        <v>1</v>
      </c>
      <c r="D663" s="20" t="s">
        <v>2775</v>
      </c>
      <c r="E663" s="20">
        <v>1.0</v>
      </c>
    </row>
    <row r="664">
      <c r="A664" s="196"/>
      <c r="B664" s="197" t="str">
        <f>IFERROR(__xludf.DUMMYFUNCTION("""COMPUTED_VALUE"""),"Vanguard")</f>
        <v>Vanguard</v>
      </c>
      <c r="C664" s="197">
        <f t="shared" si="1"/>
        <v>1</v>
      </c>
      <c r="D664" s="20" t="s">
        <v>2776</v>
      </c>
      <c r="E664" s="20">
        <v>1.0</v>
      </c>
    </row>
    <row r="665">
      <c r="A665" s="196"/>
      <c r="B665" s="197" t="str">
        <f>IFERROR(__xludf.DUMMYFUNCTION("""COMPUTED_VALUE"""),"#VALUE!")</f>
        <v>#VALUE!</v>
      </c>
      <c r="C665" s="197">
        <f t="shared" si="1"/>
        <v>1</v>
      </c>
      <c r="D665" s="20" t="s">
        <v>2777</v>
      </c>
      <c r="E665" s="20">
        <v>1.0</v>
      </c>
    </row>
    <row r="666">
      <c r="A666" s="196"/>
      <c r="B666" s="197" t="str">
        <f>IFERROR(__xludf.DUMMYFUNCTION("""COMPUTED_VALUE"""),"Behemoth")</f>
        <v>Behemoth</v>
      </c>
      <c r="C666" s="197">
        <f t="shared" si="1"/>
        <v>2</v>
      </c>
      <c r="D666" s="20" t="s">
        <v>2778</v>
      </c>
      <c r="E666" s="20">
        <v>1.0</v>
      </c>
    </row>
    <row r="667">
      <c r="A667" s="196" t="str">
        <f>IFERROR(__xludf.DUMMYFUNCTION("""COMPUTED_VALUE"""),"Steelclaw")</f>
        <v>Steelclaw</v>
      </c>
      <c r="B667" s="197" t="str">
        <f>IFERROR(__xludf.DUMMYFUNCTION("""COMPUTED_VALUE"""),"Guider")</f>
        <v>Guider</v>
      </c>
      <c r="C667" s="197">
        <f t="shared" si="1"/>
        <v>1</v>
      </c>
      <c r="D667" s="20" t="s">
        <v>2779</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2780</v>
      </c>
      <c r="E669" s="20">
        <v>1.0</v>
      </c>
    </row>
    <row r="670">
      <c r="A670" s="196"/>
      <c r="B670" s="197" t="str">
        <f>IFERROR(__xludf.DUMMYFUNCTION("""COMPUTED_VALUE"""),"Mirrorkin")</f>
        <v>Mirrorkin</v>
      </c>
      <c r="C670" s="197">
        <f t="shared" si="1"/>
        <v>1</v>
      </c>
      <c r="D670" s="20" t="s">
        <v>2781</v>
      </c>
      <c r="E670" s="20">
        <v>1.0</v>
      </c>
    </row>
    <row r="671">
      <c r="A671" s="196"/>
      <c r="B671" s="197" t="str">
        <f>IFERROR(__xludf.DUMMYFUNCTION("""COMPUTED_VALUE"""),"Ticking")</f>
        <v>Ticking</v>
      </c>
      <c r="C671" s="197">
        <f t="shared" si="1"/>
        <v>1</v>
      </c>
      <c r="D671" s="20" t="s">
        <v>2782</v>
      </c>
      <c r="E671" s="20">
        <v>1.0</v>
      </c>
    </row>
    <row r="672">
      <c r="A672" s="196" t="str">
        <f>IFERROR(__xludf.DUMMYFUNCTION("""COMPUTED_VALUE"""),"Crazed")</f>
        <v>Crazed</v>
      </c>
      <c r="B672" s="197" t="str">
        <f>IFERROR(__xludf.DUMMYFUNCTION("""COMPUTED_VALUE"""),"Tick")</f>
        <v>Tick</v>
      </c>
      <c r="C672" s="197">
        <f t="shared" si="1"/>
        <v>1</v>
      </c>
      <c r="D672" s="20" t="s">
        <v>2021</v>
      </c>
      <c r="E672" s="20">
        <v>1.0</v>
      </c>
    </row>
    <row r="673">
      <c r="A673" s="196" t="str">
        <f>IFERROR(__xludf.DUMMYFUNCTION("""COMPUTED_VALUE"""),"Hermit")</f>
        <v>Hermit</v>
      </c>
      <c r="B673" s="197" t="str">
        <f>IFERROR(__xludf.DUMMYFUNCTION("""COMPUTED_VALUE"""),"Sucker")</f>
        <v>Sucker</v>
      </c>
      <c r="C673" s="197">
        <f t="shared" si="1"/>
        <v>5</v>
      </c>
      <c r="D673" s="20" t="s">
        <v>2783</v>
      </c>
      <c r="E673" s="20">
        <v>1.0</v>
      </c>
    </row>
    <row r="674">
      <c r="A674" s="196"/>
      <c r="B674" s="197" t="str">
        <f>IFERROR(__xludf.DUMMYFUNCTION("""COMPUTED_VALUE"""),"Conduit")</f>
        <v>Conduit</v>
      </c>
      <c r="C674" s="197">
        <f t="shared" si="1"/>
        <v>1</v>
      </c>
      <c r="D674" s="20" t="s">
        <v>2784</v>
      </c>
      <c r="E674" s="20">
        <v>1.0</v>
      </c>
    </row>
    <row r="675">
      <c r="A675" s="196"/>
      <c r="B675" s="197" t="str">
        <f>IFERROR(__xludf.DUMMYFUNCTION("""COMPUTED_VALUE"""),"Scale")</f>
        <v>Scale</v>
      </c>
      <c r="C675" s="197">
        <f t="shared" si="1"/>
        <v>1</v>
      </c>
      <c r="D675" s="20" t="s">
        <v>2785</v>
      </c>
      <c r="E675" s="20">
        <v>1.0</v>
      </c>
    </row>
    <row r="676">
      <c r="A676" s="196"/>
      <c r="B676" s="197" t="str">
        <f>IFERROR(__xludf.DUMMYFUNCTION("""COMPUTED_VALUE"""),"Nethersilk")</f>
        <v>Nethersilk</v>
      </c>
      <c r="C676" s="197">
        <f t="shared" si="1"/>
        <v>1</v>
      </c>
      <c r="D676" s="20" t="s">
        <v>2786</v>
      </c>
      <c r="E676" s="20">
        <v>1.0</v>
      </c>
    </row>
    <row r="677">
      <c r="A677" s="196" t="str">
        <f>IFERROR(__xludf.DUMMYFUNCTION("""COMPUTED_VALUE"""),"Galeweaver")</f>
        <v>Galeweaver</v>
      </c>
      <c r="B677" s="197" t="str">
        <f>IFERROR(__xludf.DUMMYFUNCTION("""COMPUTED_VALUE"""),"Moth")</f>
        <v>Moth</v>
      </c>
      <c r="C677" s="197">
        <f t="shared" si="1"/>
        <v>1</v>
      </c>
      <c r="D677" s="20" t="s">
        <v>2787</v>
      </c>
      <c r="E677" s="20">
        <v>1.0</v>
      </c>
    </row>
    <row r="678">
      <c r="A678" s="196"/>
      <c r="B678" s="197" t="str">
        <f>IFERROR(__xludf.DUMMYFUNCTION("""COMPUTED_VALUE"""),"Penguin")</f>
        <v>Penguin</v>
      </c>
      <c r="C678" s="197">
        <f t="shared" si="1"/>
        <v>1</v>
      </c>
      <c r="D678" s="20" t="s">
        <v>2788</v>
      </c>
      <c r="E678" s="20">
        <v>1.0</v>
      </c>
    </row>
    <row r="679">
      <c r="A679" s="196"/>
      <c r="B679" s="197" t="str">
        <f>IFERROR(__xludf.DUMMYFUNCTION("""COMPUTED_VALUE"""),"Possessed")</f>
        <v>Possessed</v>
      </c>
      <c r="C679" s="197">
        <f t="shared" si="1"/>
        <v>1</v>
      </c>
      <c r="D679" s="20" t="s">
        <v>2789</v>
      </c>
      <c r="E679" s="20">
        <v>1.0</v>
      </c>
    </row>
    <row r="680">
      <c r="A680" s="196"/>
      <c r="B680" s="197" t="str">
        <f>IFERROR(__xludf.DUMMYFUNCTION("""COMPUTED_VALUE"""),"Vermin")</f>
        <v>Vermin</v>
      </c>
      <c r="C680" s="197">
        <f t="shared" si="1"/>
        <v>1</v>
      </c>
      <c r="D680" s="20" t="s">
        <v>2790</v>
      </c>
      <c r="E680" s="20">
        <v>1.0</v>
      </c>
    </row>
    <row r="681">
      <c r="A681" s="196"/>
      <c r="B681" s="197" t="str">
        <f>IFERROR(__xludf.DUMMYFUNCTION("""COMPUTED_VALUE"""),"Brood")</f>
        <v>Brood</v>
      </c>
      <c r="C681" s="197">
        <f t="shared" si="1"/>
        <v>1</v>
      </c>
      <c r="D681" s="20" t="s">
        <v>2791</v>
      </c>
      <c r="E681" s="20">
        <v>1.0</v>
      </c>
    </row>
    <row r="682">
      <c r="A682" s="196" t="str">
        <f>IFERROR(__xludf.DUMMYFUNCTION("""COMPUTED_VALUE"""),"Lurking")</f>
        <v>Lurking</v>
      </c>
      <c r="B682" s="197" t="str">
        <f>IFERROR(__xludf.DUMMYFUNCTION("""COMPUTED_VALUE"""),"Shadowsting")</f>
        <v>Shadowsting</v>
      </c>
      <c r="C682" s="197">
        <f t="shared" si="1"/>
        <v>1</v>
      </c>
      <c r="D682" s="20" t="s">
        <v>2792</v>
      </c>
      <c r="E682" s="20">
        <v>1.0</v>
      </c>
    </row>
    <row r="683">
      <c r="A683" s="196" t="str">
        <f>IFERROR(__xludf.DUMMYFUNCTION("""COMPUTED_VALUE"""),"Canopystomper")</f>
        <v>Canopystomper</v>
      </c>
      <c r="B683" s="197" t="str">
        <f>IFERROR(__xludf.DUMMYFUNCTION("""COMPUTED_VALUE"""),"Shiverskull")</f>
        <v>Shiverskull</v>
      </c>
      <c r="C683" s="197">
        <f t="shared" si="1"/>
        <v>1</v>
      </c>
      <c r="D683" s="20" t="s">
        <v>2793</v>
      </c>
      <c r="E683" s="20">
        <v>1.0</v>
      </c>
    </row>
    <row r="684">
      <c r="A684" s="196"/>
      <c r="B684" s="197" t="str">
        <f>IFERROR(__xludf.DUMMYFUNCTION("""COMPUTED_VALUE"""),"Skull")</f>
        <v>Skull</v>
      </c>
      <c r="C684" s="197">
        <f t="shared" si="1"/>
        <v>1</v>
      </c>
      <c r="D684" s="20" t="s">
        <v>2057</v>
      </c>
      <c r="E684" s="20">
        <v>1.0</v>
      </c>
    </row>
    <row r="685">
      <c r="A685" s="196"/>
      <c r="B685" s="197" t="str">
        <f>IFERROR(__xludf.DUMMYFUNCTION("""COMPUTED_VALUE"""),"Crow")</f>
        <v>Crow</v>
      </c>
      <c r="C685" s="197">
        <f t="shared" si="1"/>
        <v>1</v>
      </c>
      <c r="D685" s="20" t="s">
        <v>2794</v>
      </c>
      <c r="E685" s="20">
        <v>1.0</v>
      </c>
    </row>
    <row r="686">
      <c r="A686" s="196"/>
      <c r="B686" s="197" t="str">
        <f>IFERROR(__xludf.DUMMYFUNCTION("""COMPUTED_VALUE"""),"Symbiotic")</f>
        <v>Symbiotic</v>
      </c>
      <c r="C686" s="197">
        <f t="shared" si="1"/>
        <v>1</v>
      </c>
      <c r="D686" s="20" t="s">
        <v>2795</v>
      </c>
      <c r="E686" s="20">
        <v>1.0</v>
      </c>
    </row>
    <row r="687">
      <c r="A687" s="196" t="str">
        <f>IFERROR(__xludf.DUMMYFUNCTION("""COMPUTED_VALUE"""),"Resourceful")</f>
        <v>Resourceful</v>
      </c>
      <c r="B687" s="197" t="str">
        <f>IFERROR(__xludf.DUMMYFUNCTION("""COMPUTED_VALUE"""),"Crawler")</f>
        <v>Crawler</v>
      </c>
      <c r="C687" s="197">
        <f t="shared" si="1"/>
        <v>1</v>
      </c>
      <c r="D687" s="20" t="s">
        <v>2796</v>
      </c>
      <c r="E687" s="20">
        <v>1.0</v>
      </c>
    </row>
    <row r="688">
      <c r="A688" s="196" t="str">
        <f>IFERROR(__xludf.DUMMYFUNCTION("""COMPUTED_VALUE"""),"Poacher")</f>
        <v>Poacher</v>
      </c>
      <c r="B688" s="197" t="str">
        <f>IFERROR(__xludf.DUMMYFUNCTION("""COMPUTED_VALUE"""),"Nightreaper")</f>
        <v>Nightreaper</v>
      </c>
      <c r="C688" s="197">
        <f t="shared" si="1"/>
        <v>1</v>
      </c>
      <c r="D688" s="20" t="s">
        <v>2797</v>
      </c>
      <c r="E688" s="20">
        <v>1.0</v>
      </c>
    </row>
    <row r="689">
      <c r="A689" s="196"/>
      <c r="B689" s="197" t="str">
        <f>IFERROR(__xludf.DUMMYFUNCTION("""COMPUTED_VALUE"""),"King")</f>
        <v>King</v>
      </c>
      <c r="C689" s="197">
        <f t="shared" si="1"/>
        <v>1</v>
      </c>
      <c r="D689" s="20" t="s">
        <v>2068</v>
      </c>
      <c r="E689" s="20">
        <v>1.0</v>
      </c>
    </row>
    <row r="690">
      <c r="A690" s="196"/>
      <c r="B690" s="197" t="str">
        <f>IFERROR(__xludf.DUMMYFUNCTION("""COMPUTED_VALUE"""),"Gorgon")</f>
        <v>Gorgon</v>
      </c>
      <c r="C690" s="197">
        <f t="shared" si="1"/>
        <v>1</v>
      </c>
      <c r="D690" s="20" t="s">
        <v>2798</v>
      </c>
      <c r="E690" s="20">
        <v>1.0</v>
      </c>
    </row>
    <row r="691">
      <c r="A691" s="196"/>
      <c r="B691" s="197" t="str">
        <f>IFERROR(__xludf.DUMMYFUNCTION("""COMPUTED_VALUE"""),"Serpentress")</f>
        <v>Serpentress</v>
      </c>
      <c r="C691" s="197">
        <f t="shared" si="1"/>
        <v>1</v>
      </c>
      <c r="D691" s="20" t="s">
        <v>2799</v>
      </c>
      <c r="E691" s="20">
        <v>1.0</v>
      </c>
    </row>
    <row r="692">
      <c r="A692" s="196" t="str">
        <f>IFERROR(__xludf.DUMMYFUNCTION("""COMPUTED_VALUE"""),"Infernoblight")</f>
        <v>Infernoblight</v>
      </c>
      <c r="B692" s="197" t="str">
        <f>IFERROR(__xludf.DUMMYFUNCTION("""COMPUTED_VALUE"""),"Ill-Tempered")</f>
        <v>Ill-Tempered</v>
      </c>
      <c r="C692" s="197">
        <f t="shared" si="1"/>
        <v>1</v>
      </c>
      <c r="D692" s="20" t="s">
        <v>2800</v>
      </c>
      <c r="E692" s="20">
        <v>1.0</v>
      </c>
    </row>
    <row r="693">
      <c r="A693" s="196"/>
      <c r="B693" s="197" t="str">
        <f>IFERROR(__xludf.DUMMYFUNCTION("""COMPUTED_VALUE"""),"Nightbloom")</f>
        <v>Nightbloom</v>
      </c>
      <c r="C693" s="197">
        <f t="shared" si="1"/>
        <v>1</v>
      </c>
      <c r="D693" s="20" t="s">
        <v>2801</v>
      </c>
      <c r="E693" s="20">
        <v>1.0</v>
      </c>
    </row>
    <row r="694">
      <c r="A694" s="196"/>
      <c r="B694" s="197" t="str">
        <f>IFERROR(__xludf.DUMMYFUNCTION("""COMPUTED_VALUE"""),"Owl")</f>
        <v>Owl</v>
      </c>
      <c r="C694" s="197">
        <f t="shared" si="1"/>
        <v>1</v>
      </c>
      <c r="D694" s="20" t="s">
        <v>2802</v>
      </c>
      <c r="E694" s="20">
        <v>1.0</v>
      </c>
    </row>
    <row r="695">
      <c r="A695" s="196"/>
      <c r="B695" s="197" t="str">
        <f>IFERROR(__xludf.DUMMYFUNCTION("""COMPUTED_VALUE"""),"Shroom")</f>
        <v>Shroom</v>
      </c>
      <c r="C695" s="197">
        <f t="shared" si="1"/>
        <v>1</v>
      </c>
      <c r="D695" s="20" t="s">
        <v>2803</v>
      </c>
      <c r="E695" s="20">
        <v>1.0</v>
      </c>
    </row>
    <row r="696">
      <c r="A696" s="196"/>
      <c r="B696" s="197" t="str">
        <f>IFERROR(__xludf.DUMMYFUNCTION("""COMPUTED_VALUE"""),"Hellblade")</f>
        <v>Hellblade</v>
      </c>
      <c r="C696" s="197">
        <f t="shared" si="1"/>
        <v>1</v>
      </c>
      <c r="D696" s="20" t="s">
        <v>2804</v>
      </c>
      <c r="E696" s="20">
        <v>1.0</v>
      </c>
    </row>
    <row r="697">
      <c r="A697" s="196" t="str">
        <f>IFERROR(__xludf.DUMMYFUNCTION("""COMPUTED_VALUE"""),"The")</f>
        <v>The</v>
      </c>
      <c r="B697" s="197" t="str">
        <f>IFERROR(__xludf.DUMMYFUNCTION("""COMPUTED_VALUE"""),"Eclipse")</f>
        <v>Eclipse</v>
      </c>
      <c r="C697" s="197">
        <f t="shared" si="1"/>
        <v>1</v>
      </c>
      <c r="D697" s="20" t="s">
        <v>2082</v>
      </c>
      <c r="E697" s="20">
        <v>1.0</v>
      </c>
    </row>
    <row r="698">
      <c r="A698" s="196" t="str">
        <f>IFERROR(__xludf.DUMMYFUNCTION("""COMPUTED_VALUE"""),"Skyshrieker")</f>
        <v>Skyshrieker</v>
      </c>
      <c r="B698" s="197" t="str">
        <f>IFERROR(__xludf.DUMMYFUNCTION("""COMPUTED_VALUE"""),"Scythe")</f>
        <v>Scythe</v>
      </c>
      <c r="C698" s="197">
        <f t="shared" si="1"/>
        <v>1</v>
      </c>
      <c r="D698" s="20" t="s">
        <v>2805</v>
      </c>
      <c r="E698" s="20">
        <v>1.0</v>
      </c>
    </row>
    <row r="699">
      <c r="A699" s="196"/>
      <c r="B699" s="197" t="str">
        <f>IFERROR(__xludf.DUMMYFUNCTION("""COMPUTED_VALUE"""),"Rotten")</f>
        <v>Rotten</v>
      </c>
      <c r="C699" s="197">
        <f t="shared" si="1"/>
        <v>1</v>
      </c>
      <c r="D699" s="20" t="s">
        <v>2806</v>
      </c>
      <c r="E699" s="20">
        <v>1.0</v>
      </c>
    </row>
    <row r="700">
      <c r="A700" s="196"/>
      <c r="B700" s="197" t="str">
        <f>IFERROR(__xludf.DUMMYFUNCTION("""COMPUTED_VALUE"""),"Stalker")</f>
        <v>Stalker</v>
      </c>
      <c r="C700" s="197">
        <f t="shared" si="1"/>
        <v>1</v>
      </c>
      <c r="D700" s="20" t="s">
        <v>2807</v>
      </c>
      <c r="E700" s="20">
        <v>1.0</v>
      </c>
    </row>
    <row r="701">
      <c r="A701" s="196"/>
      <c r="B701" s="197" t="str">
        <f>IFERROR(__xludf.DUMMYFUNCTION("""COMPUTED_VALUE"""),"Wringing")</f>
        <v>Wringing</v>
      </c>
      <c r="C701" s="197">
        <f t="shared" si="1"/>
        <v>1</v>
      </c>
      <c r="D701" s="20" t="s">
        <v>2808</v>
      </c>
      <c r="E701" s="20">
        <v>1.0</v>
      </c>
    </row>
    <row r="702">
      <c r="A702" s="196" t="str">
        <f>IFERROR(__xludf.DUMMYFUNCTION("""COMPUTED_VALUE"""),"Mistborn")</f>
        <v>Mistborn</v>
      </c>
      <c r="B702" s="197" t="str">
        <f>IFERROR(__xludf.DUMMYFUNCTION("""COMPUTED_VALUE"""),"Clawing")</f>
        <v>Clawing</v>
      </c>
      <c r="C702" s="197">
        <f t="shared" si="1"/>
        <v>1</v>
      </c>
      <c r="D702" s="20" t="s">
        <v>2809</v>
      </c>
      <c r="E702" s="20">
        <v>1.0</v>
      </c>
    </row>
    <row r="703">
      <c r="A703" s="196" t="str">
        <f>IFERROR(__xludf.DUMMYFUNCTION("""COMPUTED_VALUE"""),"Serpent")</f>
        <v>Serpent</v>
      </c>
      <c r="B703" s="197" t="str">
        <f>IFERROR(__xludf.DUMMYFUNCTION("""COMPUTED_VALUE"""),"Centipede")</f>
        <v>Centipede</v>
      </c>
      <c r="C703" s="197">
        <f t="shared" si="1"/>
        <v>1</v>
      </c>
      <c r="D703" s="20" t="s">
        <v>2810</v>
      </c>
      <c r="E703" s="20">
        <v>1.0</v>
      </c>
    </row>
    <row r="704">
      <c r="A704" s="196"/>
      <c r="B704" s="197" t="str">
        <f>IFERROR(__xludf.DUMMYFUNCTION("""COMPUTED_VALUE"""),"Voidsinger")</f>
        <v>Voidsinger</v>
      </c>
      <c r="C704" s="197">
        <f t="shared" si="1"/>
        <v>1</v>
      </c>
      <c r="D704" s="20" t="s">
        <v>2811</v>
      </c>
      <c r="E704" s="20">
        <v>1.0</v>
      </c>
    </row>
    <row r="705">
      <c r="A705" s="196"/>
      <c r="B705" s="197" t="str">
        <f>IFERROR(__xludf.DUMMYFUNCTION("""COMPUTED_VALUE"""),"Graverobbing")</f>
        <v>Graverobbing</v>
      </c>
      <c r="C705" s="197">
        <f t="shared" si="1"/>
        <v>1</v>
      </c>
      <c r="D705" s="20" t="s">
        <v>2094</v>
      </c>
      <c r="E705" s="20">
        <v>1.0</v>
      </c>
    </row>
    <row r="706">
      <c r="A706" s="196"/>
      <c r="B706" s="197" t="str">
        <f>IFERROR(__xludf.DUMMYFUNCTION("""COMPUTED_VALUE"""),"Robot")</f>
        <v>Robot</v>
      </c>
      <c r="C706" s="197">
        <f t="shared" si="1"/>
        <v>1</v>
      </c>
      <c r="D706" s="20" t="s">
        <v>2812</v>
      </c>
      <c r="E706" s="20">
        <v>1.0</v>
      </c>
    </row>
    <row r="707">
      <c r="A707" s="196" t="str">
        <f>IFERROR(__xludf.DUMMYFUNCTION("""COMPUTED_VALUE"""),"Bringer")</f>
        <v>Bringer</v>
      </c>
      <c r="B707" s="197" t="str">
        <f>IFERROR(__xludf.DUMMYFUNCTION("""COMPUTED_VALUE"""),"Bandage")</f>
        <v>Bandage</v>
      </c>
      <c r="C707" s="197">
        <f t="shared" si="1"/>
        <v>1</v>
      </c>
      <c r="D707" s="20" t="s">
        <v>2813</v>
      </c>
      <c r="E707" s="20">
        <v>1.0</v>
      </c>
    </row>
    <row r="708">
      <c r="A708" s="196" t="str">
        <f>IFERROR(__xludf.DUMMYFUNCTION("""COMPUTED_VALUE"""),"of")</f>
        <v>of</v>
      </c>
      <c r="B708" s="197" t="str">
        <f>IFERROR(__xludf.DUMMYFUNCTION("""COMPUTED_VALUE"""),"Deadfield")</f>
        <v>Deadfield</v>
      </c>
      <c r="C708" s="197">
        <f t="shared" si="1"/>
        <v>1</v>
      </c>
      <c r="D708" s="20" t="s">
        <v>2814</v>
      </c>
      <c r="E708" s="20">
        <v>1.0</v>
      </c>
    </row>
    <row r="709">
      <c r="A709" s="196" t="str">
        <f>IFERROR(__xludf.DUMMYFUNCTION("""COMPUTED_VALUE"""),"Bad")</f>
        <v>Bad</v>
      </c>
      <c r="B709" s="197" t="str">
        <f>IFERROR(__xludf.DUMMYFUNCTION("""COMPUTED_VALUE"""),"Tiller")</f>
        <v>Tiller</v>
      </c>
      <c r="C709" s="197">
        <f t="shared" si="1"/>
        <v>1</v>
      </c>
      <c r="D709" s="20" t="s">
        <v>2815</v>
      </c>
      <c r="E709" s="20">
        <v>1.0</v>
      </c>
    </row>
    <row r="710">
      <c r="A710" s="196" t="str">
        <f>IFERROR(__xludf.DUMMYFUNCTION("""COMPUTED_VALUE"""),"Omens")</f>
        <v>Omens</v>
      </c>
      <c r="B710" s="197" t="str">
        <f>IFERROR(__xludf.DUMMYFUNCTION("""COMPUTED_VALUE"""),"Frightweaver")</f>
        <v>Frightweaver</v>
      </c>
      <c r="C710" s="197">
        <f t="shared" si="1"/>
        <v>1</v>
      </c>
      <c r="D710" s="20" t="s">
        <v>2816</v>
      </c>
      <c r="E710" s="20">
        <v>1.0</v>
      </c>
    </row>
    <row r="711">
      <c r="A711" s="196"/>
      <c r="B711" s="197" t="str">
        <f>IFERROR(__xludf.DUMMYFUNCTION("""COMPUTED_VALUE"""),"Mini")</f>
        <v>Mini</v>
      </c>
      <c r="C711" s="197">
        <f t="shared" si="1"/>
        <v>1</v>
      </c>
      <c r="D711" s="20" t="s">
        <v>2105</v>
      </c>
      <c r="E711" s="20">
        <v>1.0</v>
      </c>
    </row>
    <row r="712">
      <c r="A712" s="196" t="str">
        <f>IFERROR(__xludf.DUMMYFUNCTION("""COMPUTED_VALUE"""),"Gaunt")</f>
        <v>Gaunt</v>
      </c>
      <c r="B712" s="197" t="str">
        <f>IFERROR(__xludf.DUMMYFUNCTION("""COMPUTED_VALUE"""),"Clocktower")</f>
        <v>Clocktower</v>
      </c>
      <c r="C712" s="197">
        <f t="shared" si="1"/>
        <v>1</v>
      </c>
      <c r="D712" s="20" t="s">
        <v>2817</v>
      </c>
      <c r="E712" s="20">
        <v>1.0</v>
      </c>
    </row>
    <row r="713">
      <c r="A713" s="196" t="str">
        <f>IFERROR(__xludf.DUMMYFUNCTION("""COMPUTED_VALUE"""),"Visitation")</f>
        <v>Visitation</v>
      </c>
      <c r="B713" s="197" t="str">
        <f>IFERROR(__xludf.DUMMYFUNCTION("""COMPUTED_VALUE"""),"Drake")</f>
        <v>Drake</v>
      </c>
      <c r="C713" s="197">
        <f t="shared" si="1"/>
        <v>1</v>
      </c>
      <c r="D713" s="20" t="s">
        <v>2818</v>
      </c>
      <c r="E713" s="20">
        <v>1.0</v>
      </c>
    </row>
    <row r="714">
      <c r="A714" s="196"/>
      <c r="B714" s="197" t="str">
        <f>IFERROR(__xludf.DUMMYFUNCTION("""COMPUTED_VALUE"""),"Roaming")</f>
        <v>Roaming</v>
      </c>
      <c r="C714" s="197">
        <f t="shared" si="1"/>
        <v>1</v>
      </c>
      <c r="D714" s="20" t="s">
        <v>2819</v>
      </c>
      <c r="E714" s="20">
        <v>1.0</v>
      </c>
    </row>
    <row r="715">
      <c r="A715" s="196"/>
      <c r="B715" s="197" t="str">
        <f>IFERROR(__xludf.DUMMYFUNCTION("""COMPUTED_VALUE"""),"Cherub")</f>
        <v>Cherub</v>
      </c>
      <c r="C715" s="197">
        <f t="shared" si="1"/>
        <v>1</v>
      </c>
      <c r="D715" s="20" t="s">
        <v>2820</v>
      </c>
      <c r="E715" s="20">
        <v>1.0</v>
      </c>
    </row>
    <row r="716">
      <c r="A716" s="196"/>
      <c r="B716" s="197" t="str">
        <f>IFERROR(__xludf.DUMMYFUNCTION("""COMPUTED_VALUE"""),"Bessy")</f>
        <v>Bessy</v>
      </c>
      <c r="C716" s="197">
        <f t="shared" si="1"/>
        <v>1</v>
      </c>
      <c r="D716" s="20" t="s">
        <v>2821</v>
      </c>
      <c r="E716" s="20">
        <v>1.0</v>
      </c>
    </row>
    <row r="717">
      <c r="A717" s="196" t="str">
        <f>IFERROR(__xludf.DUMMYFUNCTION("""COMPUTED_VALUE"""),"Lightning")</f>
        <v>Lightning</v>
      </c>
      <c r="B717" s="197" t="str">
        <f>IFERROR(__xludf.DUMMYFUNCTION("""COMPUTED_VALUE"""),"Realmshifter")</f>
        <v>Realmshifter</v>
      </c>
      <c r="C717" s="197">
        <f t="shared" si="1"/>
        <v>1</v>
      </c>
      <c r="D717" s="20" t="s">
        <v>2822</v>
      </c>
      <c r="E717" s="20">
        <v>1.0</v>
      </c>
    </row>
    <row r="718">
      <c r="A718" s="196" t="str">
        <f>IFERROR(__xludf.DUMMYFUNCTION("""COMPUTED_VALUE"""),"Manticore")</f>
        <v>Manticore</v>
      </c>
      <c r="B718" s="197" t="str">
        <f>IFERROR(__xludf.DUMMYFUNCTION("""COMPUTED_VALUE"""),"Shapeshifter")</f>
        <v>Shapeshifter</v>
      </c>
      <c r="C718" s="197">
        <f t="shared" si="1"/>
        <v>1</v>
      </c>
      <c r="D718" s="20" t="s">
        <v>2118</v>
      </c>
      <c r="E718" s="20">
        <v>1.0</v>
      </c>
    </row>
    <row r="719">
      <c r="A719" s="196"/>
      <c r="B719" s="197" t="str">
        <f>IFERROR(__xludf.DUMMYFUNCTION("""COMPUTED_VALUE"""),"Big")</f>
        <v>Big</v>
      </c>
      <c r="C719" s="197">
        <f t="shared" si="1"/>
        <v>1</v>
      </c>
      <c r="D719" s="20" t="s">
        <v>2122</v>
      </c>
      <c r="E719" s="20">
        <v>1.0</v>
      </c>
    </row>
    <row r="720">
      <c r="A720" s="196"/>
      <c r="B720" s="197" t="str">
        <f>IFERROR(__xludf.DUMMYFUNCTION("""COMPUTED_VALUE"""),"Dino")</f>
        <v>Dino</v>
      </c>
      <c r="C720" s="197">
        <f t="shared" si="1"/>
        <v>2</v>
      </c>
      <c r="D720" s="20" t="s">
        <v>2823</v>
      </c>
      <c r="E720" s="20">
        <v>1.0</v>
      </c>
    </row>
    <row r="721">
      <c r="A721" s="196"/>
      <c r="B721" s="197" t="str">
        <f>IFERROR(__xludf.DUMMYFUNCTION("""COMPUTED_VALUE"""),"Boy")</f>
        <v>Boy</v>
      </c>
      <c r="C721" s="197">
        <f t="shared" si="1"/>
        <v>2</v>
      </c>
      <c r="D721" s="20" t="s">
        <v>2824</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2825</v>
      </c>
      <c r="K1" s="198" t="s">
        <v>2826</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319</v>
      </c>
      <c r="E58" s="33" t="s">
        <v>320</v>
      </c>
      <c r="F58" s="33"/>
      <c r="G58" s="33">
        <v>2.0</v>
      </c>
      <c r="H58" s="33" t="s">
        <v>321</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323</v>
      </c>
      <c r="E59" s="33" t="s">
        <v>324</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326</v>
      </c>
      <c r="F60" s="33" t="s">
        <v>327</v>
      </c>
      <c r="G60" s="33">
        <v>3.0</v>
      </c>
      <c r="H60" s="33" t="s">
        <v>328</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330</v>
      </c>
      <c r="F61" s="33" t="s">
        <v>331</v>
      </c>
      <c r="G61" s="33">
        <v>3.0</v>
      </c>
      <c r="H61" s="33" t="s">
        <v>328</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334</v>
      </c>
      <c r="F62" s="33" t="s">
        <v>335</v>
      </c>
      <c r="G62" s="33">
        <v>3.0</v>
      </c>
      <c r="H62" s="33" t="s">
        <v>336</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338</v>
      </c>
      <c r="E63" s="33" t="s">
        <v>339</v>
      </c>
      <c r="F63" s="33" t="s">
        <v>340</v>
      </c>
      <c r="G63" s="33">
        <v>6.0</v>
      </c>
      <c r="H63" s="33" t="s">
        <v>341</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344</v>
      </c>
      <c r="E65" s="33" t="s">
        <v>345</v>
      </c>
      <c r="F65" s="33" t="s">
        <v>346</v>
      </c>
      <c r="G65" s="33">
        <v>4.0</v>
      </c>
      <c r="H65" s="33" t="s">
        <v>347</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349</v>
      </c>
      <c r="F66" s="33" t="s">
        <v>350</v>
      </c>
      <c r="G66" s="33">
        <v>2.0</v>
      </c>
      <c r="H66" s="33" t="s">
        <v>351</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355</v>
      </c>
      <c r="E67" s="33" t="s">
        <v>356</v>
      </c>
      <c r="F67" s="33" t="s">
        <v>24</v>
      </c>
      <c r="G67" s="33">
        <v>5.0</v>
      </c>
      <c r="H67" s="33" t="s">
        <v>357</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359</v>
      </c>
      <c r="E68" s="33" t="s">
        <v>360</v>
      </c>
      <c r="F68" s="33" t="s">
        <v>361</v>
      </c>
      <c r="G68" s="33">
        <v>3.0</v>
      </c>
      <c r="H68" s="33" t="s">
        <v>336</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364</v>
      </c>
      <c r="F69" s="33" t="s">
        <v>365</v>
      </c>
      <c r="G69" s="33">
        <v>4.0</v>
      </c>
      <c r="H69" s="33" t="s">
        <v>366</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368</v>
      </c>
      <c r="E70" s="33"/>
      <c r="F70" s="33" t="s">
        <v>369</v>
      </c>
      <c r="G70" s="33">
        <v>2.0</v>
      </c>
      <c r="H70" s="33" t="s">
        <v>351</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373</v>
      </c>
      <c r="E71" s="33" t="s">
        <v>374</v>
      </c>
      <c r="F71" s="33" t="s">
        <v>375</v>
      </c>
      <c r="G71" s="33">
        <v>5.0</v>
      </c>
      <c r="H71" s="33" t="s">
        <v>376</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380</v>
      </c>
      <c r="E72" s="33" t="s">
        <v>381</v>
      </c>
      <c r="F72" s="33" t="s">
        <v>382</v>
      </c>
      <c r="G72" s="33">
        <v>6.0</v>
      </c>
      <c r="H72" s="33" t="s">
        <v>383</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319</v>
      </c>
      <c r="E73" s="33" t="s">
        <v>385</v>
      </c>
      <c r="F73" s="33" t="s">
        <v>386</v>
      </c>
      <c r="G73" s="33">
        <v>3.0</v>
      </c>
      <c r="H73" s="33" t="s">
        <v>328</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391</v>
      </c>
      <c r="F74" s="33" t="s">
        <v>392</v>
      </c>
      <c r="G74" s="33">
        <v>2.0</v>
      </c>
      <c r="H74" s="33" t="s">
        <v>393</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395</v>
      </c>
      <c r="E75" s="33"/>
      <c r="F75" s="33" t="s">
        <v>396</v>
      </c>
      <c r="G75" s="33">
        <v>2.0</v>
      </c>
      <c r="H75" s="33" t="s">
        <v>397</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319</v>
      </c>
      <c r="E76" s="33" t="s">
        <v>401</v>
      </c>
      <c r="F76" s="33" t="s">
        <v>402</v>
      </c>
      <c r="G76" s="33">
        <v>4.0</v>
      </c>
      <c r="H76" s="33" t="s">
        <v>403</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405</v>
      </c>
      <c r="E77" s="33" t="s">
        <v>406</v>
      </c>
      <c r="F77" s="33" t="s">
        <v>407</v>
      </c>
      <c r="G77" s="33">
        <v>3.0</v>
      </c>
      <c r="H77" s="33" t="s">
        <v>393</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409</v>
      </c>
      <c r="F78" s="33" t="s">
        <v>410</v>
      </c>
      <c r="G78" s="33">
        <v>2.0</v>
      </c>
      <c r="H78" s="33" t="s">
        <v>411</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413</v>
      </c>
      <c r="F79" s="33" t="s">
        <v>414</v>
      </c>
      <c r="G79" s="33">
        <v>4.0</v>
      </c>
      <c r="H79" s="33" t="s">
        <v>415</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419</v>
      </c>
      <c r="E80" s="33" t="s">
        <v>420</v>
      </c>
      <c r="F80" s="33" t="s">
        <v>421</v>
      </c>
      <c r="G80" s="33">
        <v>3.0</v>
      </c>
      <c r="H80" s="33" t="s">
        <v>393</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423</v>
      </c>
      <c r="E81" s="33" t="s">
        <v>424</v>
      </c>
      <c r="F81" s="33" t="s">
        <v>425</v>
      </c>
      <c r="G81" s="33">
        <v>3.0</v>
      </c>
      <c r="H81" s="33" t="s">
        <v>426</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430</v>
      </c>
      <c r="E82" s="33"/>
      <c r="F82" s="33" t="s">
        <v>431</v>
      </c>
      <c r="G82" s="33">
        <v>2.0</v>
      </c>
      <c r="H82" s="33" t="s">
        <v>432</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438</v>
      </c>
      <c r="E83" s="33" t="s">
        <v>439</v>
      </c>
      <c r="F83" s="33" t="s">
        <v>440</v>
      </c>
      <c r="G83" s="33">
        <v>0.0</v>
      </c>
      <c r="H83" s="33" t="s">
        <v>441</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445</v>
      </c>
      <c r="F84" s="33" t="s">
        <v>446</v>
      </c>
      <c r="G84" s="33">
        <v>3.0</v>
      </c>
      <c r="H84" s="33" t="s">
        <v>447</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457</v>
      </c>
      <c r="E85" s="33"/>
      <c r="F85" s="33" t="s">
        <v>458</v>
      </c>
      <c r="G85" s="33">
        <v>2.0</v>
      </c>
      <c r="H85" s="33" t="s">
        <v>459</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472</v>
      </c>
      <c r="F86" s="33" t="s">
        <v>473</v>
      </c>
      <c r="G86" s="33">
        <v>4.0</v>
      </c>
      <c r="H86" s="33" t="s">
        <v>474</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487</v>
      </c>
      <c r="E87" s="33" t="s">
        <v>488</v>
      </c>
      <c r="F87" s="33" t="s">
        <v>489</v>
      </c>
      <c r="G87" s="33">
        <v>3.0</v>
      </c>
      <c r="H87" s="33" t="s">
        <v>490</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492</v>
      </c>
      <c r="E88" s="33" t="s">
        <v>493</v>
      </c>
      <c r="F88" s="33" t="s">
        <v>494</v>
      </c>
      <c r="G88" s="33">
        <v>3.0</v>
      </c>
      <c r="H88" s="33" t="s">
        <v>495</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405</v>
      </c>
      <c r="E89" s="33" t="s">
        <v>497</v>
      </c>
      <c r="F89" s="33" t="s">
        <v>498</v>
      </c>
      <c r="G89" s="33">
        <v>5.0</v>
      </c>
      <c r="H89" s="33" t="s">
        <v>499</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512</v>
      </c>
      <c r="E90" s="33" t="s">
        <v>513</v>
      </c>
      <c r="F90" s="33" t="s">
        <v>514</v>
      </c>
      <c r="G90" s="33">
        <v>1.0</v>
      </c>
      <c r="H90" s="33" t="s">
        <v>411</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527</v>
      </c>
      <c r="F91" s="33" t="s">
        <v>528</v>
      </c>
      <c r="G91" s="33">
        <v>1.0</v>
      </c>
      <c r="H91" s="33" t="s">
        <v>411</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541</v>
      </c>
      <c r="E92" s="33" t="s">
        <v>542</v>
      </c>
      <c r="F92" s="33" t="s">
        <v>543</v>
      </c>
      <c r="G92" s="33">
        <v>5.0</v>
      </c>
      <c r="H92" s="33" t="s">
        <v>544</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557</v>
      </c>
      <c r="F93" s="33" t="s">
        <v>558</v>
      </c>
      <c r="G93" s="33">
        <v>2.0</v>
      </c>
      <c r="H93" s="33" t="s">
        <v>559</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561</v>
      </c>
      <c r="E94" s="33" t="s">
        <v>562</v>
      </c>
      <c r="F94" s="33" t="s">
        <v>563</v>
      </c>
      <c r="G94" s="33">
        <v>1.0</v>
      </c>
      <c r="H94" s="33" t="s">
        <v>393</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380</v>
      </c>
      <c r="E95" s="33" t="s">
        <v>565</v>
      </c>
      <c r="F95" s="33" t="s">
        <v>566</v>
      </c>
      <c r="G95" s="33">
        <v>2.0</v>
      </c>
      <c r="H95" s="33" t="s">
        <v>559</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380</v>
      </c>
      <c r="E96" s="33" t="s">
        <v>568</v>
      </c>
      <c r="F96" s="33" t="s">
        <v>569</v>
      </c>
      <c r="G96" s="33">
        <v>1.0</v>
      </c>
      <c r="H96" s="33" t="s">
        <v>559</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405</v>
      </c>
      <c r="E97" s="33" t="s">
        <v>582</v>
      </c>
      <c r="F97" s="33" t="s">
        <v>583</v>
      </c>
      <c r="G97" s="33">
        <v>2.0</v>
      </c>
      <c r="H97" s="33" t="s">
        <v>411</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380</v>
      </c>
      <c r="E98" s="33" t="s">
        <v>590</v>
      </c>
      <c r="F98" s="33" t="s">
        <v>591</v>
      </c>
      <c r="G98" s="33">
        <v>3.0</v>
      </c>
      <c r="H98" s="33" t="s">
        <v>495</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604</v>
      </c>
      <c r="E99" s="33" t="s">
        <v>605</v>
      </c>
      <c r="F99" s="33" t="s">
        <v>606</v>
      </c>
      <c r="G99" s="33">
        <v>5.0</v>
      </c>
      <c r="H99" s="33" t="s">
        <v>607</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561</v>
      </c>
      <c r="E100" s="33" t="s">
        <v>609</v>
      </c>
      <c r="F100" s="33" t="s">
        <v>610</v>
      </c>
      <c r="G100" s="33">
        <v>4.0</v>
      </c>
      <c r="H100" s="33" t="s">
        <v>611</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624</v>
      </c>
      <c r="E101" s="33" t="s">
        <v>625</v>
      </c>
      <c r="F101" s="33" t="s">
        <v>361</v>
      </c>
      <c r="G101" s="33">
        <v>3.0</v>
      </c>
      <c r="H101" s="33" t="s">
        <v>393</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627</v>
      </c>
      <c r="E102" s="33" t="s">
        <v>628</v>
      </c>
      <c r="F102" s="33" t="s">
        <v>629</v>
      </c>
      <c r="G102" s="33">
        <v>2.0</v>
      </c>
      <c r="H102" s="33" t="s">
        <v>393</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631</v>
      </c>
      <c r="F103" s="33" t="s">
        <v>632</v>
      </c>
      <c r="G103" s="33">
        <v>2.0</v>
      </c>
      <c r="H103" s="33" t="s">
        <v>559</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634</v>
      </c>
      <c r="E104" s="33" t="s">
        <v>635</v>
      </c>
      <c r="F104" s="33" t="s">
        <v>636</v>
      </c>
      <c r="G104" s="33">
        <v>1.0</v>
      </c>
      <c r="H104" s="33" t="s">
        <v>411</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319</v>
      </c>
      <c r="E105" s="33" t="s">
        <v>638</v>
      </c>
      <c r="F105" s="33" t="s">
        <v>361</v>
      </c>
      <c r="G105" s="33">
        <v>4.0</v>
      </c>
      <c r="H105" s="33" t="s">
        <v>611</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492</v>
      </c>
      <c r="E106" s="33" t="s">
        <v>640</v>
      </c>
      <c r="F106" s="33" t="s">
        <v>641</v>
      </c>
      <c r="G106" s="33">
        <v>3.0</v>
      </c>
      <c r="H106" s="33" t="s">
        <v>490</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380</v>
      </c>
      <c r="E107" s="33" t="s">
        <v>643</v>
      </c>
      <c r="F107" s="33"/>
      <c r="G107" s="33">
        <v>3.0</v>
      </c>
      <c r="H107" s="33" t="s">
        <v>611</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656</v>
      </c>
      <c r="F108" s="33" t="s">
        <v>361</v>
      </c>
      <c r="G108" s="33">
        <v>3.0</v>
      </c>
      <c r="H108" s="33" t="s">
        <v>393</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669</v>
      </c>
      <c r="E109" s="33" t="s">
        <v>270</v>
      </c>
      <c r="F109" s="33" t="s">
        <v>670</v>
      </c>
      <c r="G109" s="33">
        <v>2.0</v>
      </c>
      <c r="H109" s="33" t="s">
        <v>559</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319</v>
      </c>
      <c r="E110" s="33" t="s">
        <v>672</v>
      </c>
      <c r="F110" s="33" t="s">
        <v>673</v>
      </c>
      <c r="G110" s="33">
        <v>2.0</v>
      </c>
      <c r="H110" s="33" t="s">
        <v>611</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634</v>
      </c>
      <c r="E111" s="33" t="s">
        <v>686</v>
      </c>
      <c r="F111" s="33"/>
      <c r="G111" s="33">
        <v>2.0</v>
      </c>
      <c r="H111" s="33" t="s">
        <v>490</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319</v>
      </c>
      <c r="E112" s="33" t="s">
        <v>699</v>
      </c>
      <c r="F112" s="33" t="s">
        <v>24</v>
      </c>
      <c r="G112" s="33">
        <v>1.0</v>
      </c>
      <c r="H112" s="33" t="s">
        <v>411</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405</v>
      </c>
      <c r="E113" s="33" t="s">
        <v>701</v>
      </c>
      <c r="F113" s="33" t="s">
        <v>702</v>
      </c>
      <c r="G113" s="33">
        <v>3.0</v>
      </c>
      <c r="H113" s="33" t="s">
        <v>393</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405</v>
      </c>
      <c r="E114" s="33" t="s">
        <v>704</v>
      </c>
      <c r="F114" s="33" t="s">
        <v>705</v>
      </c>
      <c r="G114" s="33">
        <v>2.0</v>
      </c>
      <c r="H114" s="33" t="s">
        <v>559</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319</v>
      </c>
      <c r="E115" s="33" t="s">
        <v>718</v>
      </c>
      <c r="F115" s="33" t="s">
        <v>719</v>
      </c>
      <c r="G115" s="33">
        <v>2.0</v>
      </c>
      <c r="H115" s="33" t="s">
        <v>393</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512</v>
      </c>
      <c r="E116" s="33" t="s">
        <v>732</v>
      </c>
      <c r="F116" s="33" t="s">
        <v>733</v>
      </c>
      <c r="G116" s="33">
        <v>3.0</v>
      </c>
      <c r="H116" s="33" t="s">
        <v>611</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492</v>
      </c>
      <c r="E117" s="33" t="s">
        <v>746</v>
      </c>
      <c r="F117" s="33" t="s">
        <v>361</v>
      </c>
      <c r="G117" s="33">
        <v>4.0</v>
      </c>
      <c r="H117" s="33" t="s">
        <v>499</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338</v>
      </c>
      <c r="E118" s="33" t="s">
        <v>748</v>
      </c>
      <c r="F118" s="33" t="s">
        <v>749</v>
      </c>
      <c r="G118" s="33">
        <v>4.0</v>
      </c>
      <c r="H118" s="33" t="s">
        <v>544</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380</v>
      </c>
      <c r="E119" s="33" t="s">
        <v>762</v>
      </c>
      <c r="F119" s="33" t="s">
        <v>763</v>
      </c>
      <c r="G119" s="33">
        <v>5.0</v>
      </c>
      <c r="H119" s="33" t="s">
        <v>544</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765</v>
      </c>
      <c r="E120" s="33" t="s">
        <v>766</v>
      </c>
      <c r="F120" s="33" t="s">
        <v>767</v>
      </c>
      <c r="G120" s="33">
        <v>4.0</v>
      </c>
      <c r="H120" s="33" t="s">
        <v>611</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359</v>
      </c>
      <c r="E121" s="33" t="s">
        <v>769</v>
      </c>
      <c r="F121" s="33" t="s">
        <v>770</v>
      </c>
      <c r="G121" s="33">
        <v>3.0</v>
      </c>
      <c r="H121" s="33" t="s">
        <v>611</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405</v>
      </c>
      <c r="E122" s="33" t="s">
        <v>772</v>
      </c>
      <c r="F122" s="33" t="s">
        <v>773</v>
      </c>
      <c r="G122" s="33">
        <v>5.0</v>
      </c>
      <c r="H122" s="33" t="s">
        <v>499</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786</v>
      </c>
      <c r="E123" s="33" t="s">
        <v>787</v>
      </c>
      <c r="F123" s="33"/>
      <c r="G123" s="33">
        <v>3.0</v>
      </c>
      <c r="H123" s="33" t="s">
        <v>495</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789</v>
      </c>
      <c r="F124" s="33" t="s">
        <v>790</v>
      </c>
      <c r="G124" s="33">
        <v>3.0</v>
      </c>
      <c r="H124" s="33" t="s">
        <v>393</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380</v>
      </c>
      <c r="E125" s="33" t="s">
        <v>792</v>
      </c>
      <c r="F125" s="33" t="s">
        <v>361</v>
      </c>
      <c r="G125" s="33">
        <v>3.0</v>
      </c>
      <c r="H125" s="33" t="s">
        <v>611</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561</v>
      </c>
      <c r="E126" s="33" t="s">
        <v>805</v>
      </c>
      <c r="F126" s="33" t="s">
        <v>361</v>
      </c>
      <c r="G126" s="33">
        <v>4.0</v>
      </c>
      <c r="H126" s="33" t="s">
        <v>403</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380</v>
      </c>
      <c r="E127" s="33" t="s">
        <v>807</v>
      </c>
      <c r="F127" s="33"/>
      <c r="G127" s="33">
        <v>5.0</v>
      </c>
      <c r="H127" s="33" t="s">
        <v>559</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809</v>
      </c>
      <c r="E128" s="33" t="s">
        <v>810</v>
      </c>
      <c r="F128" s="33" t="s">
        <v>811</v>
      </c>
      <c r="G128" s="33">
        <v>6.0</v>
      </c>
      <c r="H128" s="33" t="s">
        <v>495</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820</v>
      </c>
      <c r="F129" s="33" t="s">
        <v>811</v>
      </c>
      <c r="G129" s="33">
        <v>4.0</v>
      </c>
      <c r="H129" s="33" t="s">
        <v>499</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423</v>
      </c>
      <c r="E130" s="33" t="s">
        <v>833</v>
      </c>
      <c r="F130" s="33" t="s">
        <v>834</v>
      </c>
      <c r="G130" s="33">
        <v>2.0</v>
      </c>
      <c r="H130" s="33" t="s">
        <v>559</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843</v>
      </c>
      <c r="F131" s="33" t="s">
        <v>844</v>
      </c>
      <c r="G131" s="33">
        <v>6.0</v>
      </c>
      <c r="H131" s="33" t="s">
        <v>845</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561</v>
      </c>
      <c r="E132" s="33" t="s">
        <v>855</v>
      </c>
      <c r="F132" s="33"/>
      <c r="G132" s="33">
        <v>3.0</v>
      </c>
      <c r="H132" s="33" t="s">
        <v>611</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319</v>
      </c>
      <c r="E133" s="33" t="s">
        <v>869</v>
      </c>
      <c r="F133" s="33" t="s">
        <v>870</v>
      </c>
      <c r="G133" s="33">
        <v>3.0</v>
      </c>
      <c r="H133" s="33" t="s">
        <v>871</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419</v>
      </c>
      <c r="E134" s="33"/>
      <c r="F134" s="33" t="s">
        <v>873</v>
      </c>
      <c r="G134" s="33">
        <v>3.0</v>
      </c>
      <c r="H134" s="33" t="s">
        <v>559</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886</v>
      </c>
      <c r="E135" s="33" t="s">
        <v>887</v>
      </c>
      <c r="F135" s="33" t="s">
        <v>888</v>
      </c>
      <c r="G135" s="33">
        <v>6.0</v>
      </c>
      <c r="H135" s="33" t="s">
        <v>889</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892</v>
      </c>
      <c r="E136" s="33" t="s">
        <v>893</v>
      </c>
      <c r="F136" s="33" t="s">
        <v>894</v>
      </c>
      <c r="G136" s="33">
        <v>5.0</v>
      </c>
      <c r="H136" s="33" t="s">
        <v>895</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380</v>
      </c>
      <c r="E137" s="33" t="s">
        <v>897</v>
      </c>
      <c r="F137" s="33" t="s">
        <v>898</v>
      </c>
      <c r="G137" s="33">
        <v>5.0</v>
      </c>
      <c r="H137" s="33" t="s">
        <v>544</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911</v>
      </c>
      <c r="E138" s="33" t="s">
        <v>912</v>
      </c>
      <c r="F138" s="33"/>
      <c r="G138" s="33">
        <v>8.0</v>
      </c>
      <c r="H138" s="33" t="s">
        <v>913</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915</v>
      </c>
      <c r="F139" s="33" t="s">
        <v>916</v>
      </c>
      <c r="G139" s="33">
        <v>4.0</v>
      </c>
      <c r="H139" s="33" t="s">
        <v>917</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765</v>
      </c>
      <c r="E140" s="33" t="s">
        <v>919</v>
      </c>
      <c r="F140" s="33" t="s">
        <v>920</v>
      </c>
      <c r="G140" s="33">
        <v>4.0</v>
      </c>
      <c r="H140" s="33" t="s">
        <v>499</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911</v>
      </c>
      <c r="E141" s="33" t="s">
        <v>933</v>
      </c>
      <c r="F141" s="33" t="s">
        <v>934</v>
      </c>
      <c r="G141" s="33">
        <v>5.0</v>
      </c>
      <c r="H141" s="33" t="s">
        <v>917</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561</v>
      </c>
      <c r="E142" s="33"/>
      <c r="F142" s="33"/>
      <c r="G142" s="33">
        <v>3.0</v>
      </c>
      <c r="H142" s="33" t="s">
        <v>393</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512</v>
      </c>
      <c r="E143" s="33" t="s">
        <v>938</v>
      </c>
      <c r="F143" s="33" t="s">
        <v>636</v>
      </c>
      <c r="G143" s="33">
        <v>0.0</v>
      </c>
      <c r="H143" s="33" t="s">
        <v>939</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941</v>
      </c>
      <c r="E144" s="33" t="s">
        <v>942</v>
      </c>
      <c r="F144" s="33" t="s">
        <v>943</v>
      </c>
      <c r="G144" s="33">
        <v>3.0</v>
      </c>
      <c r="H144" s="33" t="s">
        <v>944</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624</v>
      </c>
      <c r="E145" s="33" t="s">
        <v>946</v>
      </c>
      <c r="F145" s="33" t="s">
        <v>947</v>
      </c>
      <c r="G145" s="33">
        <v>7.0</v>
      </c>
      <c r="H145" s="33" t="s">
        <v>948</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950</v>
      </c>
      <c r="E146" s="33"/>
      <c r="F146" s="33"/>
      <c r="G146" s="33">
        <v>4.0</v>
      </c>
      <c r="H146" s="33" t="s">
        <v>611</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952</v>
      </c>
      <c r="E147" s="33" t="s">
        <v>953</v>
      </c>
      <c r="F147" s="33" t="s">
        <v>954</v>
      </c>
      <c r="G147" s="33">
        <v>4.0</v>
      </c>
      <c r="H147" s="33" t="s">
        <v>944</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561</v>
      </c>
      <c r="E148" s="33" t="s">
        <v>956</v>
      </c>
      <c r="F148" s="33" t="s">
        <v>957</v>
      </c>
      <c r="G148" s="33">
        <v>7.0</v>
      </c>
      <c r="H148" s="33" t="s">
        <v>958</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971</v>
      </c>
      <c r="E149" s="33" t="s">
        <v>972</v>
      </c>
      <c r="F149" s="33" t="s">
        <v>973</v>
      </c>
      <c r="G149" s="33">
        <v>5.0</v>
      </c>
      <c r="H149" s="33" t="s">
        <v>944</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380</v>
      </c>
      <c r="E150" s="33"/>
      <c r="F150" s="33" t="s">
        <v>975</v>
      </c>
      <c r="G150" s="33">
        <v>5.0</v>
      </c>
      <c r="H150" s="33" t="s">
        <v>495</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405</v>
      </c>
      <c r="E151" s="33"/>
      <c r="F151" s="33" t="s">
        <v>988</v>
      </c>
      <c r="G151" s="33">
        <v>9.0</v>
      </c>
      <c r="H151" s="33" t="s">
        <v>989</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1002</v>
      </c>
      <c r="E152" s="33" t="s">
        <v>1003</v>
      </c>
      <c r="F152" s="33" t="s">
        <v>119</v>
      </c>
      <c r="G152" s="33">
        <v>3.0</v>
      </c>
      <c r="H152" s="33" t="s">
        <v>499</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1012</v>
      </c>
      <c r="F153" s="33" t="s">
        <v>1013</v>
      </c>
      <c r="G153" s="33">
        <v>2.0</v>
      </c>
      <c r="H153" s="33" t="s">
        <v>1014</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405</v>
      </c>
      <c r="E154" s="33" t="s">
        <v>1016</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405</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669</v>
      </c>
      <c r="E156" s="33" t="s">
        <v>1019</v>
      </c>
      <c r="F156" s="33" t="s">
        <v>670</v>
      </c>
      <c r="G156" s="33">
        <v>2.0</v>
      </c>
      <c r="H156" s="33" t="s">
        <v>1020</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1022</v>
      </c>
      <c r="E157" s="33" t="s">
        <v>1023</v>
      </c>
      <c r="F157" s="33"/>
      <c r="G157" s="33">
        <v>3.0</v>
      </c>
      <c r="H157" s="33" t="s">
        <v>393</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1025</v>
      </c>
      <c r="E158" s="33"/>
      <c r="F158" s="33"/>
      <c r="G158" s="33">
        <v>2.0</v>
      </c>
      <c r="H158" s="33" t="s">
        <v>411</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405</v>
      </c>
      <c r="E159" s="202" t="s">
        <v>1027</v>
      </c>
      <c r="F159" s="33"/>
      <c r="G159" s="33">
        <v>1.0</v>
      </c>
      <c r="H159" s="33" t="s">
        <v>1028</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1030</v>
      </c>
      <c r="E160" s="33" t="s">
        <v>1031</v>
      </c>
      <c r="F160" s="33" t="s">
        <v>1032</v>
      </c>
      <c r="G160" s="33">
        <v>4.0</v>
      </c>
      <c r="H160" s="33" t="s">
        <v>415</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1034</v>
      </c>
      <c r="E161" s="33" t="s">
        <v>1035</v>
      </c>
      <c r="F161" s="33" t="s">
        <v>1036</v>
      </c>
      <c r="G161" s="33">
        <v>2.0</v>
      </c>
      <c r="H161" s="33" t="s">
        <v>871</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319</v>
      </c>
      <c r="E162" s="33" t="s">
        <v>1049</v>
      </c>
      <c r="F162" s="33" t="s">
        <v>1050</v>
      </c>
      <c r="G162" s="33">
        <v>5.0</v>
      </c>
      <c r="H162" s="33" t="s">
        <v>1051</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1062</v>
      </c>
      <c r="F163" s="33" t="s">
        <v>213</v>
      </c>
      <c r="G163" s="33">
        <v>2.0</v>
      </c>
      <c r="H163" s="33" t="s">
        <v>1063</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1065</v>
      </c>
      <c r="F164" s="33" t="s">
        <v>1066</v>
      </c>
      <c r="G164" s="33">
        <v>4.0</v>
      </c>
      <c r="H164" s="33" t="s">
        <v>1063</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1068</v>
      </c>
      <c r="E165" s="33"/>
      <c r="F165" s="33" t="s">
        <v>1069</v>
      </c>
      <c r="G165" s="33">
        <v>2.0</v>
      </c>
      <c r="H165" s="33" t="s">
        <v>1070</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561</v>
      </c>
      <c r="E166" s="33" t="s">
        <v>1083</v>
      </c>
      <c r="F166" s="33" t="s">
        <v>1084</v>
      </c>
      <c r="G166" s="33">
        <v>5.0</v>
      </c>
      <c r="H166" s="33" t="s">
        <v>917</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1097</v>
      </c>
      <c r="F167" s="33" t="s">
        <v>632</v>
      </c>
      <c r="G167" s="33">
        <v>3.0</v>
      </c>
      <c r="H167" s="33" t="s">
        <v>1020</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1099</v>
      </c>
      <c r="F168" s="33" t="s">
        <v>1100</v>
      </c>
      <c r="G168" s="33">
        <v>6.0</v>
      </c>
      <c r="H168" s="33" t="s">
        <v>1101</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1114</v>
      </c>
      <c r="E169" s="33"/>
      <c r="F169" s="33" t="s">
        <v>1115</v>
      </c>
      <c r="G169" s="33">
        <v>2.0</v>
      </c>
      <c r="H169" s="33" t="s">
        <v>1116</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1127</v>
      </c>
      <c r="F170" s="33" t="s">
        <v>1128</v>
      </c>
      <c r="G170" s="33">
        <v>3.0</v>
      </c>
      <c r="H170" s="33" t="s">
        <v>1014</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419</v>
      </c>
      <c r="E171" s="33" t="s">
        <v>1130</v>
      </c>
      <c r="F171" s="33" t="s">
        <v>1131</v>
      </c>
      <c r="G171" s="33">
        <v>2.0</v>
      </c>
      <c r="H171" s="33" t="s">
        <v>1132</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1134</v>
      </c>
      <c r="F172" s="33" t="s">
        <v>636</v>
      </c>
      <c r="G172" s="33">
        <v>4.0</v>
      </c>
      <c r="H172" s="33" t="s">
        <v>1135</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1137</v>
      </c>
      <c r="F173" s="33" t="s">
        <v>1138</v>
      </c>
      <c r="G173" s="33">
        <v>4.0</v>
      </c>
      <c r="H173" s="33" t="s">
        <v>1135</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1140</v>
      </c>
      <c r="F174" s="33" t="s">
        <v>1141</v>
      </c>
      <c r="G174" s="33">
        <v>1.0</v>
      </c>
      <c r="H174" s="33" t="s">
        <v>1132</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1143</v>
      </c>
      <c r="E175" s="33" t="s">
        <v>1144</v>
      </c>
      <c r="F175" s="33" t="s">
        <v>1145</v>
      </c>
      <c r="G175" s="33">
        <v>5.0</v>
      </c>
      <c r="H175" s="33" t="s">
        <v>944</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1154</v>
      </c>
      <c r="F176" s="33" t="s">
        <v>1155</v>
      </c>
      <c r="G176" s="33">
        <v>3.0</v>
      </c>
      <c r="H176" s="33" t="s">
        <v>1135</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786</v>
      </c>
      <c r="E177" s="33" t="s">
        <v>1157</v>
      </c>
      <c r="F177" s="33" t="s">
        <v>1158</v>
      </c>
      <c r="G177" s="33">
        <v>5.0</v>
      </c>
      <c r="H177" s="33" t="s">
        <v>1159</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319</v>
      </c>
      <c r="E178" s="33" t="s">
        <v>1165</v>
      </c>
      <c r="F178" s="33" t="s">
        <v>1166</v>
      </c>
      <c r="G178" s="33">
        <v>3.0</v>
      </c>
      <c r="H178" s="33" t="s">
        <v>1063</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1168</v>
      </c>
      <c r="E179" s="33"/>
      <c r="F179" s="33" t="s">
        <v>1169</v>
      </c>
      <c r="G179" s="33">
        <v>2.0</v>
      </c>
      <c r="H179" s="33" t="s">
        <v>939</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627</v>
      </c>
      <c r="E180" s="33" t="s">
        <v>1182</v>
      </c>
      <c r="F180" s="33" t="s">
        <v>1183</v>
      </c>
      <c r="G180" s="33">
        <v>3.0</v>
      </c>
      <c r="H180" s="33" t="s">
        <v>1014</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1192</v>
      </c>
      <c r="F181" s="33" t="s">
        <v>1193</v>
      </c>
      <c r="G181" s="33">
        <v>3.0</v>
      </c>
      <c r="H181" s="33" t="s">
        <v>1063</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634</v>
      </c>
      <c r="E182" s="33" t="s">
        <v>1195</v>
      </c>
      <c r="F182" s="33" t="s">
        <v>1196</v>
      </c>
      <c r="G182" s="33">
        <v>1.0</v>
      </c>
      <c r="H182" s="33" t="s">
        <v>1020</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1206</v>
      </c>
      <c r="F183" s="33" t="s">
        <v>1207</v>
      </c>
      <c r="G183" s="33">
        <v>3.0</v>
      </c>
      <c r="H183" s="33" t="s">
        <v>1063</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1209</v>
      </c>
      <c r="F184" s="33" t="s">
        <v>1210</v>
      </c>
      <c r="G184" s="33">
        <v>4.0</v>
      </c>
      <c r="H184" s="33" t="s">
        <v>1135</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971</v>
      </c>
      <c r="E185" s="33" t="s">
        <v>1212</v>
      </c>
      <c r="F185" s="33" t="s">
        <v>632</v>
      </c>
      <c r="G185" s="33">
        <v>2.0</v>
      </c>
      <c r="H185" s="33" t="s">
        <v>1213</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1215</v>
      </c>
      <c r="G186" s="33">
        <v>1.0</v>
      </c>
      <c r="H186" s="33" t="s">
        <v>1132</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1227</v>
      </c>
      <c r="F187" s="33" t="s">
        <v>1228</v>
      </c>
      <c r="G187" s="33">
        <v>1.0</v>
      </c>
      <c r="H187" s="33" t="s">
        <v>1132</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1230</v>
      </c>
      <c r="F188" s="33" t="s">
        <v>1231</v>
      </c>
      <c r="G188" s="33">
        <v>3.0</v>
      </c>
      <c r="H188" s="33" t="s">
        <v>1232</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405</v>
      </c>
      <c r="E189" s="33" t="s">
        <v>1240</v>
      </c>
      <c r="F189" s="33" t="s">
        <v>1241</v>
      </c>
      <c r="G189" s="33">
        <v>2.0</v>
      </c>
      <c r="H189" s="33" t="s">
        <v>1063</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1251</v>
      </c>
      <c r="F190" s="33" t="s">
        <v>1252</v>
      </c>
      <c r="G190" s="33">
        <v>4.0</v>
      </c>
      <c r="H190" s="33" t="s">
        <v>1253</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971</v>
      </c>
      <c r="E191" s="33" t="s">
        <v>1261</v>
      </c>
      <c r="F191" s="33" t="s">
        <v>1262</v>
      </c>
      <c r="G191" s="33">
        <v>6.0</v>
      </c>
      <c r="H191" s="33" t="s">
        <v>1263</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1272</v>
      </c>
      <c r="F192" s="33" t="s">
        <v>1273</v>
      </c>
      <c r="G192" s="33">
        <v>1.0</v>
      </c>
      <c r="H192" s="33" t="s">
        <v>1020</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1275</v>
      </c>
      <c r="F193" s="33" t="s">
        <v>24</v>
      </c>
      <c r="G193" s="33">
        <v>6.0</v>
      </c>
      <c r="H193" s="33" t="s">
        <v>1232</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1277</v>
      </c>
      <c r="F194" s="33" t="s">
        <v>1278</v>
      </c>
      <c r="G194" s="33">
        <v>2.0</v>
      </c>
      <c r="H194" s="33" t="s">
        <v>1279</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971</v>
      </c>
      <c r="E195" s="33" t="s">
        <v>1287</v>
      </c>
      <c r="F195" s="33" t="s">
        <v>24</v>
      </c>
      <c r="G195" s="33">
        <v>1.0</v>
      </c>
      <c r="H195" s="33" t="s">
        <v>1132</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419</v>
      </c>
      <c r="E196" s="33" t="s">
        <v>1289</v>
      </c>
      <c r="F196" s="33" t="s">
        <v>1290</v>
      </c>
      <c r="G196" s="33">
        <v>1.0</v>
      </c>
      <c r="H196" s="33" t="s">
        <v>1020</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971</v>
      </c>
      <c r="E197" s="33" t="s">
        <v>1300</v>
      </c>
      <c r="F197" s="33" t="s">
        <v>1301</v>
      </c>
      <c r="G197" s="33">
        <v>0.0</v>
      </c>
      <c r="H197" s="33" t="s">
        <v>1253</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1309</v>
      </c>
      <c r="F198" s="33" t="s">
        <v>1310</v>
      </c>
      <c r="G198" s="33">
        <v>2.0</v>
      </c>
      <c r="H198" s="33" t="s">
        <v>1014</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1315</v>
      </c>
      <c r="F199" s="33" t="s">
        <v>1316</v>
      </c>
      <c r="G199" s="33">
        <v>4.0</v>
      </c>
      <c r="H199" s="33" t="s">
        <v>1063</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1326</v>
      </c>
      <c r="F200" s="33" t="s">
        <v>1327</v>
      </c>
      <c r="G200" s="33">
        <v>1.0</v>
      </c>
      <c r="H200" s="33" t="s">
        <v>1020</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1333</v>
      </c>
      <c r="E201" s="33" t="s">
        <v>1334</v>
      </c>
      <c r="F201" s="33" t="s">
        <v>1335</v>
      </c>
      <c r="G201" s="33">
        <v>5.0</v>
      </c>
      <c r="H201" s="33" t="s">
        <v>415</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1338</v>
      </c>
      <c r="E202" s="33" t="s">
        <v>1339</v>
      </c>
      <c r="F202" s="33" t="s">
        <v>24</v>
      </c>
      <c r="G202" s="33">
        <v>7.0</v>
      </c>
      <c r="H202" s="33" t="s">
        <v>1340</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1342</v>
      </c>
      <c r="F203" s="33" t="s">
        <v>1343</v>
      </c>
      <c r="G203" s="33">
        <v>2.0</v>
      </c>
      <c r="H203" s="33" t="s">
        <v>1014</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380</v>
      </c>
      <c r="E204" s="33" t="s">
        <v>1349</v>
      </c>
      <c r="F204" s="33" t="s">
        <v>1350</v>
      </c>
      <c r="G204" s="33">
        <v>3.0</v>
      </c>
      <c r="H204" s="33" t="s">
        <v>1351</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1353</v>
      </c>
      <c r="F205" s="33" t="s">
        <v>1354</v>
      </c>
      <c r="G205" s="33">
        <v>2.0</v>
      </c>
      <c r="H205" s="33" t="s">
        <v>1063</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1362</v>
      </c>
      <c r="F206" s="33" t="s">
        <v>168</v>
      </c>
      <c r="G206" s="33">
        <v>2.0</v>
      </c>
      <c r="H206" s="33" t="s">
        <v>1363</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1365</v>
      </c>
      <c r="E207" s="33" t="s">
        <v>1366</v>
      </c>
      <c r="F207" s="33"/>
      <c r="G207" s="33">
        <v>3.0</v>
      </c>
      <c r="H207" s="33" t="s">
        <v>1351</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911</v>
      </c>
      <c r="E208" s="33" t="s">
        <v>1368</v>
      </c>
      <c r="F208" s="33" t="s">
        <v>1369</v>
      </c>
      <c r="G208" s="33">
        <v>3.0</v>
      </c>
      <c r="H208" s="33" t="s">
        <v>1063</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419</v>
      </c>
      <c r="E209" s="33" t="s">
        <v>1380</v>
      </c>
      <c r="F209" s="33" t="s">
        <v>1381</v>
      </c>
      <c r="G209" s="33">
        <v>3.0</v>
      </c>
      <c r="H209" s="33" t="s">
        <v>1351</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1383</v>
      </c>
      <c r="F210" s="33" t="s">
        <v>1384</v>
      </c>
      <c r="G210" s="33">
        <v>3.0</v>
      </c>
      <c r="H210" s="33" t="s">
        <v>1253</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1398</v>
      </c>
      <c r="F211" s="33" t="s">
        <v>811</v>
      </c>
      <c r="G211" s="33">
        <v>3.0</v>
      </c>
      <c r="H211" s="33" t="s">
        <v>1399</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1401</v>
      </c>
      <c r="F212" s="33" t="s">
        <v>1402</v>
      </c>
      <c r="G212" s="33">
        <v>2.0</v>
      </c>
      <c r="H212" s="33" t="s">
        <v>1213</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1414</v>
      </c>
      <c r="E213" s="33" t="s">
        <v>1415</v>
      </c>
      <c r="F213" s="33" t="s">
        <v>811</v>
      </c>
      <c r="G213" s="33">
        <v>3.0</v>
      </c>
      <c r="H213" s="33" t="s">
        <v>1416</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1418</v>
      </c>
      <c r="F214" s="33"/>
      <c r="G214" s="33">
        <v>4.0</v>
      </c>
      <c r="H214" s="33" t="s">
        <v>415</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323</v>
      </c>
      <c r="E215" s="33" t="s">
        <v>1429</v>
      </c>
      <c r="F215" s="33" t="s">
        <v>1430</v>
      </c>
      <c r="G215" s="33">
        <v>2.0</v>
      </c>
      <c r="H215" s="33" t="s">
        <v>1399</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1432</v>
      </c>
      <c r="E216" s="33" t="s">
        <v>1433</v>
      </c>
      <c r="F216" s="33"/>
      <c r="G216" s="33">
        <v>3.0</v>
      </c>
      <c r="H216" s="33" t="s">
        <v>1434</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1143</v>
      </c>
      <c r="E217" s="33" t="s">
        <v>1436</v>
      </c>
      <c r="F217" s="33"/>
      <c r="G217" s="33">
        <v>7.0</v>
      </c>
      <c r="H217" s="33" t="s">
        <v>1437</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1439</v>
      </c>
      <c r="F218" s="33"/>
      <c r="G218" s="33">
        <v>1.0</v>
      </c>
      <c r="H218" s="33" t="s">
        <v>1440</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1442</v>
      </c>
      <c r="F219" s="33" t="s">
        <v>1443</v>
      </c>
      <c r="G219" s="33">
        <v>2.0</v>
      </c>
      <c r="H219" s="33" t="s">
        <v>415</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1451</v>
      </c>
      <c r="F220" s="33" t="s">
        <v>1452</v>
      </c>
      <c r="G220" s="33">
        <v>3.0</v>
      </c>
      <c r="H220" s="33" t="s">
        <v>1014</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1459</v>
      </c>
      <c r="F221" s="33" t="s">
        <v>1460</v>
      </c>
      <c r="G221" s="33">
        <v>4.0</v>
      </c>
      <c r="H221" s="33" t="s">
        <v>1063</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1470</v>
      </c>
      <c r="F222" s="33" t="s">
        <v>24</v>
      </c>
      <c r="G222" s="33">
        <v>0.0</v>
      </c>
      <c r="H222" s="33" t="s">
        <v>1471</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419</v>
      </c>
      <c r="E223" s="33" t="s">
        <v>1473</v>
      </c>
      <c r="F223" s="33" t="s">
        <v>632</v>
      </c>
      <c r="G223" s="33">
        <v>7.0</v>
      </c>
      <c r="H223" s="33" t="s">
        <v>1474</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359</v>
      </c>
      <c r="E224" s="33" t="s">
        <v>1484</v>
      </c>
      <c r="F224" s="33" t="s">
        <v>1485</v>
      </c>
      <c r="G224" s="33">
        <v>6.0</v>
      </c>
      <c r="H224" s="33" t="s">
        <v>1232</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1491</v>
      </c>
      <c r="E225" s="33" t="s">
        <v>1492</v>
      </c>
      <c r="F225" s="33" t="s">
        <v>240</v>
      </c>
      <c r="G225" s="33">
        <v>3.0</v>
      </c>
      <c r="H225" s="33" t="s">
        <v>1493</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1495</v>
      </c>
      <c r="F226" s="33" t="s">
        <v>1496</v>
      </c>
      <c r="G226" s="33">
        <v>2.0</v>
      </c>
      <c r="H226" s="33" t="s">
        <v>1497</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1499</v>
      </c>
      <c r="E227" s="33" t="s">
        <v>1500</v>
      </c>
      <c r="F227" s="33" t="s">
        <v>1501</v>
      </c>
      <c r="G227" s="33">
        <v>5.0</v>
      </c>
      <c r="H227" s="33" t="s">
        <v>1502</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1504</v>
      </c>
      <c r="E228" s="33" t="s">
        <v>1505</v>
      </c>
      <c r="F228" s="33" t="s">
        <v>213</v>
      </c>
      <c r="G228" s="33">
        <v>4.0</v>
      </c>
      <c r="H228" s="33" t="s">
        <v>1493</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419</v>
      </c>
      <c r="E229" s="33" t="s">
        <v>1507</v>
      </c>
      <c r="F229" s="33"/>
      <c r="G229" s="33">
        <v>7.0</v>
      </c>
      <c r="H229" s="33" t="s">
        <v>1474</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1509</v>
      </c>
      <c r="F230" s="33"/>
      <c r="G230" s="33">
        <v>3.0</v>
      </c>
      <c r="H230" s="33" t="s">
        <v>1020</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319</v>
      </c>
      <c r="E231" s="33" t="s">
        <v>1511</v>
      </c>
      <c r="F231" s="33"/>
      <c r="G231" s="33">
        <v>2.0</v>
      </c>
      <c r="H231" s="33" t="s">
        <v>1132</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419</v>
      </c>
      <c r="E232" s="33"/>
      <c r="F232" s="33" t="s">
        <v>1514</v>
      </c>
      <c r="G232" s="33">
        <v>5.0</v>
      </c>
      <c r="H232" s="33" t="s">
        <v>1135</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1524</v>
      </c>
      <c r="G233" s="33">
        <v>4.0</v>
      </c>
      <c r="H233" s="33" t="s">
        <v>1253</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1536</v>
      </c>
      <c r="E234" s="33"/>
      <c r="F234" s="33"/>
      <c r="G234" s="33">
        <v>3.0</v>
      </c>
      <c r="H234" s="33" t="s">
        <v>1014</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892</v>
      </c>
      <c r="E235" s="33" t="s">
        <v>1538</v>
      </c>
      <c r="F235" s="33" t="s">
        <v>24</v>
      </c>
      <c r="G235" s="33">
        <v>2.0</v>
      </c>
      <c r="H235" s="33" t="s">
        <v>1471</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1540</v>
      </c>
      <c r="E236" s="33" t="s">
        <v>1541</v>
      </c>
      <c r="F236" s="33" t="s">
        <v>1542</v>
      </c>
      <c r="G236" s="33">
        <v>4.0</v>
      </c>
      <c r="H236" s="33" t="s">
        <v>1493</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1020</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634</v>
      </c>
      <c r="E238" s="33"/>
      <c r="F238" s="33" t="s">
        <v>1545</v>
      </c>
      <c r="G238" s="33">
        <v>7.0</v>
      </c>
      <c r="H238" s="33" t="s">
        <v>1546</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1548</v>
      </c>
      <c r="E239" s="33" t="s">
        <v>270</v>
      </c>
      <c r="F239" s="33" t="s">
        <v>670</v>
      </c>
      <c r="G239" s="33">
        <v>2.0</v>
      </c>
      <c r="H239" s="33" t="s">
        <v>1471</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1550</v>
      </c>
      <c r="F240" s="33" t="s">
        <v>1551</v>
      </c>
      <c r="G240" s="33">
        <v>2.0</v>
      </c>
      <c r="H240" s="33" t="s">
        <v>1546</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1553</v>
      </c>
      <c r="E241" s="33" t="s">
        <v>1554</v>
      </c>
      <c r="F241" s="33"/>
      <c r="G241" s="33">
        <v>2.0</v>
      </c>
      <c r="H241" s="33" t="s">
        <v>1020</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344</v>
      </c>
      <c r="E242" s="33" t="s">
        <v>1556</v>
      </c>
      <c r="F242" s="33"/>
      <c r="G242" s="33">
        <v>1.0</v>
      </c>
      <c r="H242" s="33" t="s">
        <v>1132</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1279</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1559</v>
      </c>
      <c r="F244" s="33" t="s">
        <v>24</v>
      </c>
      <c r="G244" s="33">
        <v>1.0</v>
      </c>
      <c r="H244" s="33" t="s">
        <v>1471</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1338</v>
      </c>
      <c r="E245" s="33"/>
      <c r="F245" s="33" t="s">
        <v>1561</v>
      </c>
      <c r="G245" s="33"/>
      <c r="H245" s="33" t="s">
        <v>1562</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319</v>
      </c>
      <c r="E246" s="33" t="s">
        <v>1564</v>
      </c>
      <c r="F246" s="33"/>
      <c r="G246" s="33">
        <v>3.0</v>
      </c>
      <c r="H246" s="33" t="s">
        <v>415</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971</v>
      </c>
      <c r="E247" s="33" t="s">
        <v>1566</v>
      </c>
      <c r="F247" s="33" t="s">
        <v>1567</v>
      </c>
      <c r="G247" s="33">
        <v>3.0</v>
      </c>
      <c r="H247" s="33" t="s">
        <v>1568</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1570</v>
      </c>
      <c r="E248" s="33" t="s">
        <v>1571</v>
      </c>
      <c r="F248" s="33" t="s">
        <v>1572</v>
      </c>
      <c r="G248" s="33">
        <v>3.0</v>
      </c>
      <c r="H248" s="33" t="s">
        <v>1573</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1575</v>
      </c>
      <c r="E249" s="33"/>
      <c r="F249" s="33" t="s">
        <v>1576</v>
      </c>
      <c r="G249" s="33">
        <v>2.0</v>
      </c>
      <c r="H249" s="33" t="s">
        <v>1577</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1579</v>
      </c>
      <c r="E250" s="33" t="s">
        <v>1580</v>
      </c>
      <c r="F250" s="33" t="s">
        <v>1581</v>
      </c>
      <c r="G250" s="33">
        <v>1.0</v>
      </c>
      <c r="H250" s="33" t="s">
        <v>1582</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1584</v>
      </c>
      <c r="E251" s="33" t="s">
        <v>1585</v>
      </c>
      <c r="F251" s="33" t="s">
        <v>916</v>
      </c>
      <c r="G251" s="33">
        <v>4.0</v>
      </c>
      <c r="H251" s="33" t="s">
        <v>1586</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1491</v>
      </c>
      <c r="E252" s="33" t="s">
        <v>1588</v>
      </c>
      <c r="F252" s="33" t="s">
        <v>1589</v>
      </c>
      <c r="G252" s="33">
        <v>5.0</v>
      </c>
      <c r="H252" s="33" t="s">
        <v>1586</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634</v>
      </c>
      <c r="E253" s="33" t="s">
        <v>1591</v>
      </c>
      <c r="F253" s="33" t="s">
        <v>1592</v>
      </c>
      <c r="G253" s="33">
        <v>1.0</v>
      </c>
      <c r="H253" s="33" t="s">
        <v>1497</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1414</v>
      </c>
      <c r="E254" s="33" t="s">
        <v>1594</v>
      </c>
      <c r="F254" s="33" t="s">
        <v>1595</v>
      </c>
      <c r="G254" s="33">
        <v>2.0</v>
      </c>
      <c r="H254" s="33" t="s">
        <v>1596</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1598</v>
      </c>
      <c r="E255" s="33" t="s">
        <v>1599</v>
      </c>
      <c r="F255" s="33" t="s">
        <v>1600</v>
      </c>
      <c r="G255" s="33">
        <v>4.0</v>
      </c>
      <c r="H255" s="33" t="s">
        <v>1502</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1602</v>
      </c>
      <c r="F256" s="33" t="s">
        <v>1603</v>
      </c>
      <c r="G256" s="33">
        <v>6.0</v>
      </c>
      <c r="H256" s="33" t="s">
        <v>1604</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1606</v>
      </c>
      <c r="F257" s="33" t="s">
        <v>1141</v>
      </c>
      <c r="G257" s="33">
        <v>3.0</v>
      </c>
      <c r="H257" s="33" t="s">
        <v>1586</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1608</v>
      </c>
      <c r="F258" s="33" t="s">
        <v>1609</v>
      </c>
      <c r="G258" s="33">
        <v>3.0</v>
      </c>
      <c r="H258" s="33" t="s">
        <v>1610</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1612</v>
      </c>
      <c r="E259" s="33"/>
      <c r="F259" s="33" t="s">
        <v>1613</v>
      </c>
      <c r="G259" s="33">
        <v>2.0</v>
      </c>
      <c r="H259" s="33" t="s">
        <v>1440</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1615</v>
      </c>
      <c r="E260" s="33" t="s">
        <v>1616</v>
      </c>
      <c r="F260" s="33" t="s">
        <v>1617</v>
      </c>
      <c r="G260" s="33">
        <v>6.0</v>
      </c>
      <c r="H260" s="33" t="s">
        <v>1604</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1619</v>
      </c>
      <c r="F261" s="33" t="s">
        <v>1620</v>
      </c>
      <c r="G261" s="33">
        <v>3.0</v>
      </c>
      <c r="H261" s="33" t="s">
        <v>1621</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359</v>
      </c>
      <c r="E262" s="33" t="s">
        <v>1623</v>
      </c>
      <c r="F262" s="33" t="s">
        <v>916</v>
      </c>
      <c r="G262" s="33">
        <v>3.0</v>
      </c>
      <c r="H262" s="33" t="s">
        <v>1497</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355</v>
      </c>
      <c r="E263" s="33" t="s">
        <v>1625</v>
      </c>
      <c r="F263" s="33" t="s">
        <v>1626</v>
      </c>
      <c r="G263" s="33">
        <v>6.0</v>
      </c>
      <c r="H263" s="33" t="s">
        <v>1586</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1628</v>
      </c>
      <c r="F264" s="33" t="s">
        <v>1629</v>
      </c>
      <c r="G264" s="33">
        <v>4.0</v>
      </c>
      <c r="H264" s="33" t="s">
        <v>1586</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1598</v>
      </c>
      <c r="E265" s="33" t="s">
        <v>1631</v>
      </c>
      <c r="F265" s="33" t="s">
        <v>1632</v>
      </c>
      <c r="G265" s="33">
        <v>3.0</v>
      </c>
      <c r="H265" s="33" t="s">
        <v>1621</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1634</v>
      </c>
      <c r="G266" s="33">
        <v>2.0</v>
      </c>
      <c r="H266" s="33" t="s">
        <v>1635</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1637</v>
      </c>
      <c r="E267" s="33" t="s">
        <v>1638</v>
      </c>
      <c r="F267" s="33" t="s">
        <v>1228</v>
      </c>
      <c r="G267" s="33">
        <v>4.0</v>
      </c>
      <c r="H267" s="33" t="s">
        <v>1621</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1640</v>
      </c>
      <c r="E268" s="33" t="s">
        <v>1641</v>
      </c>
      <c r="F268" s="33" t="s">
        <v>1642</v>
      </c>
      <c r="G268" s="33">
        <v>6.0</v>
      </c>
      <c r="H268" s="33" t="s">
        <v>1643</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892</v>
      </c>
      <c r="E269" s="33" t="s">
        <v>1645</v>
      </c>
      <c r="F269" s="33" t="s">
        <v>1646</v>
      </c>
      <c r="G269" s="33">
        <v>3.0</v>
      </c>
      <c r="H269" s="33" t="s">
        <v>1493</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359</v>
      </c>
      <c r="E270" s="33" t="s">
        <v>1648</v>
      </c>
      <c r="F270" s="33" t="s">
        <v>1649</v>
      </c>
      <c r="G270" s="33">
        <v>2.0</v>
      </c>
      <c r="H270" s="33" t="s">
        <v>1497</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512</v>
      </c>
      <c r="E271" s="33" t="s">
        <v>1651</v>
      </c>
      <c r="F271" s="33" t="s">
        <v>119</v>
      </c>
      <c r="G271" s="33">
        <v>2.0</v>
      </c>
      <c r="H271" s="33" t="s">
        <v>1497</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1491</v>
      </c>
      <c r="E272" s="33" t="s">
        <v>1653</v>
      </c>
      <c r="F272" s="33" t="s">
        <v>1654</v>
      </c>
      <c r="G272" s="33">
        <v>5.0</v>
      </c>
      <c r="H272" s="33" t="s">
        <v>1502</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1637</v>
      </c>
      <c r="E273" s="33" t="s">
        <v>1656</v>
      </c>
      <c r="F273" s="33" t="s">
        <v>1657</v>
      </c>
      <c r="G273" s="33">
        <v>3.0</v>
      </c>
      <c r="H273" s="33" t="s">
        <v>1497</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1365</v>
      </c>
      <c r="E274" s="33" t="s">
        <v>1659</v>
      </c>
      <c r="F274" s="33" t="s">
        <v>1660</v>
      </c>
      <c r="G274" s="33">
        <v>1.0</v>
      </c>
      <c r="H274" s="33" t="s">
        <v>1471</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1663</v>
      </c>
      <c r="E275" s="33" t="s">
        <v>1664</v>
      </c>
      <c r="F275" s="33" t="s">
        <v>1665</v>
      </c>
      <c r="G275" s="33">
        <v>7.0</v>
      </c>
      <c r="H275" s="33" t="s">
        <v>1666</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1668</v>
      </c>
      <c r="E276" s="33" t="s">
        <v>1669</v>
      </c>
      <c r="F276" s="33" t="s">
        <v>1670</v>
      </c>
      <c r="G276" s="33">
        <v>3.0</v>
      </c>
      <c r="H276" s="33" t="s">
        <v>1671</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1673</v>
      </c>
      <c r="F277" s="33" t="s">
        <v>1674</v>
      </c>
      <c r="G277" s="33">
        <v>3.0</v>
      </c>
      <c r="H277" s="33" t="s">
        <v>1497</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1598</v>
      </c>
      <c r="E278" s="33" t="s">
        <v>1676</v>
      </c>
      <c r="F278" s="33"/>
      <c r="G278" s="33">
        <v>4.0</v>
      </c>
      <c r="H278" s="33" t="s">
        <v>1621</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355</v>
      </c>
      <c r="E279" s="33" t="s">
        <v>1678</v>
      </c>
      <c r="F279" s="33" t="s">
        <v>1679</v>
      </c>
      <c r="G279" s="33">
        <v>5.0</v>
      </c>
      <c r="H279" s="33" t="s">
        <v>1586</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1681</v>
      </c>
      <c r="F280" s="33" t="s">
        <v>1682</v>
      </c>
      <c r="G280" s="33">
        <v>2.0</v>
      </c>
      <c r="H280" s="33" t="s">
        <v>1471</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634</v>
      </c>
      <c r="E281" s="33" t="s">
        <v>1684</v>
      </c>
      <c r="F281" s="33" t="s">
        <v>1685</v>
      </c>
      <c r="G281" s="33">
        <v>3.0</v>
      </c>
      <c r="H281" s="33" t="s">
        <v>1493</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1365</v>
      </c>
      <c r="E282" s="33" t="s">
        <v>1687</v>
      </c>
      <c r="F282" s="33" t="s">
        <v>1688</v>
      </c>
      <c r="G282" s="33">
        <v>3.0</v>
      </c>
      <c r="H282" s="33" t="s">
        <v>1610</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1691</v>
      </c>
      <c r="F283" s="33" t="s">
        <v>1692</v>
      </c>
      <c r="G283" s="33">
        <v>1.0</v>
      </c>
      <c r="H283" s="33" t="s">
        <v>1693</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1640</v>
      </c>
      <c r="E284" s="33" t="s">
        <v>1695</v>
      </c>
      <c r="F284" s="33" t="s">
        <v>1696</v>
      </c>
      <c r="G284" s="33">
        <v>2.0</v>
      </c>
      <c r="H284" s="33" t="s">
        <v>1471</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1698</v>
      </c>
      <c r="E285" s="33" t="s">
        <v>1699</v>
      </c>
      <c r="F285" s="33" t="s">
        <v>1700</v>
      </c>
      <c r="G285" s="33">
        <v>4.0</v>
      </c>
      <c r="H285" s="33" t="s">
        <v>1701</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1703</v>
      </c>
      <c r="E286" s="33" t="s">
        <v>1704</v>
      </c>
      <c r="F286" s="33" t="s">
        <v>1705</v>
      </c>
      <c r="G286" s="33">
        <v>4.0</v>
      </c>
      <c r="H286" s="33" t="s">
        <v>1706</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1708</v>
      </c>
      <c r="E287" s="33" t="s">
        <v>1709</v>
      </c>
      <c r="F287" s="33" t="s">
        <v>1710</v>
      </c>
      <c r="G287" s="33">
        <v>3.0</v>
      </c>
      <c r="H287" s="33" t="s">
        <v>1711</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1713</v>
      </c>
      <c r="F288" s="33" t="s">
        <v>1714</v>
      </c>
      <c r="G288" s="33">
        <v>0.0</v>
      </c>
      <c r="H288" s="33" t="s">
        <v>1715</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1717</v>
      </c>
      <c r="F289" s="33" t="s">
        <v>1718</v>
      </c>
      <c r="G289" s="33">
        <v>3.0</v>
      </c>
      <c r="H289" s="33" t="s">
        <v>1711</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952</v>
      </c>
      <c r="E290" s="33" t="s">
        <v>1720</v>
      </c>
      <c r="F290" s="33" t="s">
        <v>1721</v>
      </c>
      <c r="G290" s="33">
        <v>0.0</v>
      </c>
      <c r="H290" s="33" t="s">
        <v>1715</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1723</v>
      </c>
      <c r="F291" s="33" t="s">
        <v>636</v>
      </c>
      <c r="G291" s="33">
        <v>4.0</v>
      </c>
      <c r="H291" s="33" t="s">
        <v>1724</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1708</v>
      </c>
      <c r="E292" s="33" t="s">
        <v>1726</v>
      </c>
      <c r="F292" s="33" t="s">
        <v>636</v>
      </c>
      <c r="G292" s="33">
        <v>1.0</v>
      </c>
      <c r="H292" s="33" t="s">
        <v>1727</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1729</v>
      </c>
      <c r="F293" s="33" t="s">
        <v>1718</v>
      </c>
      <c r="G293" s="33">
        <v>5.0</v>
      </c>
      <c r="H293" s="33" t="s">
        <v>1701</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1365</v>
      </c>
      <c r="E294" s="33" t="s">
        <v>1731</v>
      </c>
      <c r="F294" s="33" t="s">
        <v>1732</v>
      </c>
      <c r="G294" s="33">
        <v>2.0</v>
      </c>
      <c r="H294" s="33" t="s">
        <v>1471</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1708</v>
      </c>
      <c r="E295" s="33" t="s">
        <v>1734</v>
      </c>
      <c r="F295" s="33" t="s">
        <v>636</v>
      </c>
      <c r="G295" s="33">
        <v>1.0</v>
      </c>
      <c r="H295" s="33" t="s">
        <v>1693</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1736</v>
      </c>
      <c r="E296" s="33" t="s">
        <v>1737</v>
      </c>
      <c r="F296" s="33" t="s">
        <v>1738</v>
      </c>
      <c r="G296" s="33">
        <v>5.0</v>
      </c>
      <c r="H296" s="33" t="s">
        <v>1739</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634</v>
      </c>
      <c r="E297" s="33" t="s">
        <v>1741</v>
      </c>
      <c r="F297" s="33" t="s">
        <v>1742</v>
      </c>
      <c r="G297" s="33">
        <v>2.0</v>
      </c>
      <c r="H297" s="33" t="s">
        <v>1471</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1584</v>
      </c>
      <c r="E298" s="33" t="s">
        <v>1744</v>
      </c>
      <c r="F298" s="33" t="s">
        <v>1745</v>
      </c>
      <c r="G298" s="33">
        <v>7.0</v>
      </c>
      <c r="H298" s="33" t="s">
        <v>1604</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1615</v>
      </c>
      <c r="E299" s="33" t="s">
        <v>1747</v>
      </c>
      <c r="F299" s="33" t="s">
        <v>1748</v>
      </c>
      <c r="G299" s="33">
        <v>4.0</v>
      </c>
      <c r="H299" s="33" t="s">
        <v>1586</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1143</v>
      </c>
      <c r="E300" s="33" t="s">
        <v>1750</v>
      </c>
      <c r="F300" s="33" t="s">
        <v>1751</v>
      </c>
      <c r="G300" s="33">
        <v>3.0</v>
      </c>
      <c r="H300" s="33" t="s">
        <v>1711</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1753</v>
      </c>
      <c r="F301" s="33" t="s">
        <v>1754</v>
      </c>
      <c r="G301" s="33">
        <v>6.0</v>
      </c>
      <c r="H301" s="33" t="s">
        <v>1755</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1708</v>
      </c>
      <c r="E302" s="33" t="s">
        <v>1757</v>
      </c>
      <c r="F302" s="33" t="s">
        <v>1758</v>
      </c>
      <c r="G302" s="33">
        <v>2.0</v>
      </c>
      <c r="H302" s="33" t="s">
        <v>1715</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1002</v>
      </c>
      <c r="E303" s="33" t="s">
        <v>1760</v>
      </c>
      <c r="F303" s="33" t="s">
        <v>811</v>
      </c>
      <c r="G303" s="33">
        <v>5.0</v>
      </c>
      <c r="H303" s="33" t="s">
        <v>1761</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1763</v>
      </c>
      <c r="F304" s="33" t="s">
        <v>1764</v>
      </c>
      <c r="G304" s="33">
        <v>5.0</v>
      </c>
      <c r="H304" s="33" t="s">
        <v>1586</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359</v>
      </c>
      <c r="E305" s="33" t="s">
        <v>1766</v>
      </c>
      <c r="F305" s="33"/>
      <c r="G305" s="33">
        <v>4.0</v>
      </c>
      <c r="H305" s="33" t="s">
        <v>1586</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1768</v>
      </c>
      <c r="E306" s="33" t="s">
        <v>1769</v>
      </c>
      <c r="F306" s="33" t="s">
        <v>1770</v>
      </c>
      <c r="G306" s="33">
        <v>3.0</v>
      </c>
      <c r="H306" s="33" t="s">
        <v>1715</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1772</v>
      </c>
      <c r="E307" s="33" t="s">
        <v>1773</v>
      </c>
      <c r="F307" s="33" t="s">
        <v>1774</v>
      </c>
      <c r="G307" s="33">
        <v>1.0</v>
      </c>
      <c r="H307" s="33" t="s">
        <v>1471</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1776</v>
      </c>
      <c r="F308" s="33" t="s">
        <v>1777</v>
      </c>
      <c r="G308" s="33">
        <v>1.0</v>
      </c>
      <c r="H308" s="33" t="s">
        <v>1497</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1779</v>
      </c>
      <c r="F309" s="33" t="s">
        <v>1718</v>
      </c>
      <c r="G309" s="33">
        <v>1.0</v>
      </c>
      <c r="H309" s="33" t="s">
        <v>1711</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1668</v>
      </c>
      <c r="E310" s="33" t="s">
        <v>1781</v>
      </c>
      <c r="F310" s="33" t="s">
        <v>1782</v>
      </c>
      <c r="G310" s="33">
        <v>1.0</v>
      </c>
      <c r="H310" s="33" t="s">
        <v>1761</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1637</v>
      </c>
      <c r="E311" s="33" t="s">
        <v>1784</v>
      </c>
      <c r="F311" s="33" t="s">
        <v>1785</v>
      </c>
      <c r="G311" s="33">
        <v>2.0</v>
      </c>
      <c r="H311" s="33" t="s">
        <v>1493</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1787</v>
      </c>
      <c r="E312" s="33" t="s">
        <v>1788</v>
      </c>
      <c r="F312" s="33" t="s">
        <v>1789</v>
      </c>
      <c r="G312" s="33">
        <v>4.0</v>
      </c>
      <c r="H312" s="33" t="s">
        <v>1790</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1002</v>
      </c>
      <c r="E313" s="33" t="s">
        <v>1792</v>
      </c>
      <c r="F313" s="33" t="s">
        <v>1793</v>
      </c>
      <c r="G313" s="33">
        <v>6.0</v>
      </c>
      <c r="H313" s="33" t="s">
        <v>1493</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1795</v>
      </c>
      <c r="F314" s="33" t="s">
        <v>1796</v>
      </c>
      <c r="G314" s="33">
        <v>4.0</v>
      </c>
      <c r="H314" s="33" t="s">
        <v>1739</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1708</v>
      </c>
      <c r="E315" s="33" t="s">
        <v>1798</v>
      </c>
      <c r="F315" s="33" t="s">
        <v>1799</v>
      </c>
      <c r="G315" s="33">
        <v>3.0</v>
      </c>
      <c r="H315" s="33" t="s">
        <v>1711</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1698</v>
      </c>
      <c r="E316" s="33" t="s">
        <v>1801</v>
      </c>
      <c r="F316" s="33" t="s">
        <v>1802</v>
      </c>
      <c r="G316" s="33">
        <v>5.0</v>
      </c>
      <c r="H316" s="33" t="s">
        <v>1586</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1548</v>
      </c>
      <c r="E317" s="33" t="s">
        <v>270</v>
      </c>
      <c r="F317" s="33" t="s">
        <v>1804</v>
      </c>
      <c r="G317" s="33">
        <v>2.0</v>
      </c>
      <c r="H317" s="33" t="s">
        <v>1715</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1806</v>
      </c>
      <c r="F318" s="33" t="s">
        <v>1807</v>
      </c>
      <c r="G318" s="33">
        <v>2.0</v>
      </c>
      <c r="H318" s="33" t="s">
        <v>1715</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1809</v>
      </c>
      <c r="E319" s="33" t="s">
        <v>1810</v>
      </c>
      <c r="F319" s="33" t="s">
        <v>1811</v>
      </c>
      <c r="G319" s="33">
        <v>3.0</v>
      </c>
      <c r="H319" s="33" t="s">
        <v>1812</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1698</v>
      </c>
      <c r="E320" s="33" t="s">
        <v>1814</v>
      </c>
      <c r="F320" s="33" t="s">
        <v>1815</v>
      </c>
      <c r="G320" s="33">
        <v>2.0</v>
      </c>
      <c r="H320" s="33" t="s">
        <v>1761</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1817</v>
      </c>
      <c r="F321" s="33" t="s">
        <v>1818</v>
      </c>
      <c r="G321" s="33">
        <v>0.0</v>
      </c>
      <c r="H321" s="33" t="s">
        <v>1761</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359</v>
      </c>
      <c r="E322" s="33" t="s">
        <v>1820</v>
      </c>
      <c r="F322" s="33"/>
      <c r="G322" s="33">
        <v>6.0</v>
      </c>
      <c r="H322" s="33" t="s">
        <v>1821</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1635</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1772</v>
      </c>
      <c r="E324" s="33"/>
      <c r="F324" s="33" t="s">
        <v>1827</v>
      </c>
      <c r="G324" s="33">
        <v>4.0</v>
      </c>
      <c r="H324" s="33" t="s">
        <v>1610</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1829</v>
      </c>
      <c r="E325" s="33" t="s">
        <v>1830</v>
      </c>
      <c r="F325" s="33" t="s">
        <v>1831</v>
      </c>
      <c r="G325" s="33">
        <v>4.0</v>
      </c>
      <c r="H325" s="33" t="s">
        <v>1761</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892</v>
      </c>
      <c r="E326" s="33"/>
      <c r="F326" s="33"/>
      <c r="G326" s="33">
        <v>5.0</v>
      </c>
      <c r="H326" s="33" t="s">
        <v>1833</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1143</v>
      </c>
      <c r="E327" s="33" t="s">
        <v>1835</v>
      </c>
      <c r="F327" s="33" t="s">
        <v>1836</v>
      </c>
      <c r="G327" s="33">
        <v>2.0</v>
      </c>
      <c r="H327" s="33" t="s">
        <v>1711</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1365</v>
      </c>
      <c r="E328" s="33" t="s">
        <v>1838</v>
      </c>
      <c r="F328" s="33" t="s">
        <v>1839</v>
      </c>
      <c r="G328" s="33">
        <v>1.0</v>
      </c>
      <c r="H328" s="33" t="s">
        <v>1635</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1640</v>
      </c>
      <c r="E329" s="33" t="s">
        <v>1841</v>
      </c>
      <c r="F329" s="33"/>
      <c r="G329" s="33">
        <v>6.0</v>
      </c>
      <c r="H329" s="33" t="s">
        <v>1502</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1843</v>
      </c>
      <c r="F330" s="33"/>
      <c r="G330" s="33">
        <v>4.0</v>
      </c>
      <c r="H330" s="33" t="s">
        <v>1739</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624</v>
      </c>
      <c r="E331" s="33" t="s">
        <v>1845</v>
      </c>
      <c r="F331" s="33" t="s">
        <v>1846</v>
      </c>
      <c r="G331" s="33">
        <v>0.0</v>
      </c>
      <c r="H331" s="33" t="s">
        <v>1701</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323</v>
      </c>
      <c r="E332" s="33" t="s">
        <v>1848</v>
      </c>
      <c r="F332" s="33" t="s">
        <v>1849</v>
      </c>
      <c r="G332" s="33">
        <v>2.0</v>
      </c>
      <c r="H332" s="33" t="s">
        <v>1761</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1851</v>
      </c>
      <c r="E333" s="33" t="s">
        <v>1852</v>
      </c>
      <c r="F333" s="33" t="s">
        <v>1853</v>
      </c>
      <c r="G333" s="33">
        <v>3.0</v>
      </c>
      <c r="H333" s="33" t="s">
        <v>1711</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1855</v>
      </c>
      <c r="E334" s="33" t="s">
        <v>1856</v>
      </c>
      <c r="F334" s="33" t="s">
        <v>1857</v>
      </c>
      <c r="G334" s="33">
        <v>4.0</v>
      </c>
      <c r="H334" s="33" t="s">
        <v>1701</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1859</v>
      </c>
      <c r="E335" s="33" t="s">
        <v>1860</v>
      </c>
      <c r="F335" s="33"/>
      <c r="G335" s="33">
        <v>0.0</v>
      </c>
      <c r="H335" s="33" t="s">
        <v>1502</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1862</v>
      </c>
      <c r="E336" s="33" t="s">
        <v>1863</v>
      </c>
      <c r="F336" s="33" t="s">
        <v>1864</v>
      </c>
      <c r="G336" s="33">
        <v>2.0</v>
      </c>
      <c r="H336" s="33" t="s">
        <v>1715</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1866</v>
      </c>
      <c r="F337" s="33" t="s">
        <v>1867</v>
      </c>
      <c r="G337" s="33">
        <v>0.0</v>
      </c>
      <c r="H337" s="33" t="s">
        <v>1761</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1869</v>
      </c>
      <c r="E338" s="33" t="s">
        <v>1870</v>
      </c>
      <c r="F338" s="33" t="s">
        <v>1871</v>
      </c>
      <c r="G338" s="33">
        <v>3.0</v>
      </c>
      <c r="H338" s="33" t="s">
        <v>1872</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1874</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1548</v>
      </c>
      <c r="E340" s="33" t="s">
        <v>270</v>
      </c>
      <c r="F340" s="33" t="s">
        <v>1876</v>
      </c>
      <c r="G340" s="33">
        <v>2.0</v>
      </c>
      <c r="H340" s="33" t="s">
        <v>1877</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1829</v>
      </c>
      <c r="E341" s="33" t="s">
        <v>1879</v>
      </c>
      <c r="F341" s="33" t="s">
        <v>1880</v>
      </c>
      <c r="G341" s="33">
        <v>9.0</v>
      </c>
      <c r="H341" s="33" t="s">
        <v>1881</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1883</v>
      </c>
      <c r="E342" s="33" t="s">
        <v>1884</v>
      </c>
      <c r="F342" s="33" t="s">
        <v>1885</v>
      </c>
      <c r="G342" s="33">
        <v>6.0</v>
      </c>
      <c r="H342" s="33" t="s">
        <v>1886</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1888</v>
      </c>
      <c r="F343" s="33" t="s">
        <v>1889</v>
      </c>
      <c r="G343" s="33">
        <v>2.0</v>
      </c>
      <c r="H343" s="33" t="s">
        <v>1877</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359</v>
      </c>
      <c r="E344" s="33"/>
      <c r="F344" s="33" t="s">
        <v>1891</v>
      </c>
      <c r="G344" s="33">
        <v>8.0</v>
      </c>
      <c r="H344" s="33" t="s">
        <v>1604</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1893</v>
      </c>
      <c r="E345" s="33" t="s">
        <v>1894</v>
      </c>
      <c r="F345" s="33" t="s">
        <v>811</v>
      </c>
      <c r="G345" s="33">
        <v>0.0</v>
      </c>
      <c r="H345" s="33" t="s">
        <v>1877</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971</v>
      </c>
      <c r="E346" s="33"/>
      <c r="F346" s="33"/>
      <c r="G346" s="33">
        <v>2.0</v>
      </c>
      <c r="H346" s="33" t="s">
        <v>1471</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1668</v>
      </c>
      <c r="E347" s="33" t="s">
        <v>1897</v>
      </c>
      <c r="F347" s="33" t="s">
        <v>1898</v>
      </c>
      <c r="G347" s="33">
        <v>0.0</v>
      </c>
      <c r="H347" s="33" t="s">
        <v>1899</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952</v>
      </c>
      <c r="E348" s="33" t="s">
        <v>1901</v>
      </c>
      <c r="F348" s="33" t="s">
        <v>1902</v>
      </c>
      <c r="G348" s="33">
        <v>1.0</v>
      </c>
      <c r="H348" s="33" t="s">
        <v>1903</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1905</v>
      </c>
      <c r="E349" s="33"/>
      <c r="F349" s="33" t="s">
        <v>1906</v>
      </c>
      <c r="G349" s="33">
        <v>2.0</v>
      </c>
      <c r="H349" s="33" t="s">
        <v>1907</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1909</v>
      </c>
      <c r="E350" s="33" t="s">
        <v>1910</v>
      </c>
      <c r="F350" s="33" t="s">
        <v>1911</v>
      </c>
      <c r="G350" s="33">
        <v>2.0</v>
      </c>
      <c r="H350" s="33" t="s">
        <v>1912</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1855</v>
      </c>
      <c r="E351" s="33" t="s">
        <v>1916</v>
      </c>
      <c r="F351" s="33" t="s">
        <v>1917</v>
      </c>
      <c r="G351" s="33">
        <v>4.0</v>
      </c>
      <c r="H351" s="33" t="s">
        <v>1761</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1862</v>
      </c>
      <c r="E352" s="33" t="s">
        <v>1919</v>
      </c>
      <c r="F352" s="33" t="s">
        <v>1920</v>
      </c>
      <c r="G352" s="33">
        <v>2.0</v>
      </c>
      <c r="H352" s="33" t="s">
        <v>1711</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1143</v>
      </c>
      <c r="E353" s="33" t="s">
        <v>1922</v>
      </c>
      <c r="F353" s="33" t="s">
        <v>1228</v>
      </c>
      <c r="G353" s="33">
        <v>2.0</v>
      </c>
      <c r="H353" s="33" t="s">
        <v>1715</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1924</v>
      </c>
      <c r="E354" s="33" t="s">
        <v>1925</v>
      </c>
      <c r="F354" s="33" t="s">
        <v>1926</v>
      </c>
      <c r="G354" s="33">
        <v>2.0</v>
      </c>
      <c r="H354" s="33" t="s">
        <v>1812</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319</v>
      </c>
      <c r="E355" s="33" t="s">
        <v>1928</v>
      </c>
      <c r="F355" s="33" t="s">
        <v>1929</v>
      </c>
      <c r="G355" s="33">
        <v>3.0</v>
      </c>
      <c r="H355" s="33" t="s">
        <v>1812</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1143</v>
      </c>
      <c r="E356" s="33" t="s">
        <v>1931</v>
      </c>
      <c r="F356" s="33" t="s">
        <v>1932</v>
      </c>
      <c r="G356" s="33">
        <v>3.0</v>
      </c>
      <c r="H356" s="33" t="s">
        <v>1711</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1143</v>
      </c>
      <c r="E357" s="33" t="s">
        <v>1934</v>
      </c>
      <c r="F357" s="33" t="s">
        <v>1935</v>
      </c>
      <c r="G357" s="33">
        <v>3.0</v>
      </c>
      <c r="H357" s="33" t="s">
        <v>1711</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1708</v>
      </c>
      <c r="E358" s="33" t="s">
        <v>1937</v>
      </c>
      <c r="F358" s="33" t="s">
        <v>1938</v>
      </c>
      <c r="G358" s="33">
        <v>2.0</v>
      </c>
      <c r="H358" s="33" t="s">
        <v>1715</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1663</v>
      </c>
      <c r="E359" s="33" t="s">
        <v>1940</v>
      </c>
      <c r="F359" s="33" t="s">
        <v>1941</v>
      </c>
      <c r="G359" s="33">
        <v>4.0</v>
      </c>
      <c r="H359" s="33" t="s">
        <v>1812</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1943</v>
      </c>
      <c r="F360" s="33" t="s">
        <v>1944</v>
      </c>
      <c r="G360" s="33">
        <v>0.0</v>
      </c>
      <c r="H360" s="33" t="s">
        <v>1711</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1432</v>
      </c>
      <c r="E361" s="33" t="s">
        <v>1946</v>
      </c>
      <c r="F361" s="33" t="s">
        <v>1947</v>
      </c>
      <c r="G361" s="33">
        <v>4.0</v>
      </c>
      <c r="H361" s="33" t="s">
        <v>1701</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1949</v>
      </c>
      <c r="E362" s="33" t="s">
        <v>1950</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1952</v>
      </c>
      <c r="E363" s="33" t="s">
        <v>1953</v>
      </c>
      <c r="F363" s="33"/>
      <c r="G363" s="33">
        <v>3.0</v>
      </c>
      <c r="H363" s="33" t="s">
        <v>1954</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1956</v>
      </c>
      <c r="F364" s="33"/>
      <c r="G364" s="33">
        <v>1.0</v>
      </c>
      <c r="H364" s="33" t="s">
        <v>1020</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604</v>
      </c>
      <c r="E365" s="33" t="s">
        <v>1958</v>
      </c>
      <c r="F365" s="33"/>
      <c r="G365" s="33">
        <v>3.0</v>
      </c>
      <c r="H365" s="33" t="s">
        <v>559</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1960</v>
      </c>
      <c r="E366" s="33" t="s">
        <v>1961</v>
      </c>
      <c r="F366" s="33"/>
      <c r="G366" s="33">
        <v>6.0</v>
      </c>
      <c r="H366" s="33" t="s">
        <v>1962</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1964</v>
      </c>
      <c r="E367" s="33" t="s">
        <v>1965</v>
      </c>
      <c r="F367" s="33"/>
      <c r="G367" s="33">
        <v>5.0</v>
      </c>
      <c r="H367" s="33" t="s">
        <v>1966</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1968</v>
      </c>
      <c r="E368" s="33" t="s">
        <v>1969</v>
      </c>
      <c r="F368" s="33"/>
      <c r="G368" s="33">
        <v>5.0</v>
      </c>
      <c r="H368" s="33" t="s">
        <v>1502</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1971</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1973</v>
      </c>
      <c r="E370" s="33" t="s">
        <v>1974</v>
      </c>
      <c r="F370" s="33"/>
      <c r="G370" s="33">
        <v>3.0</v>
      </c>
      <c r="H370" s="33" t="s">
        <v>393</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1976</v>
      </c>
      <c r="E371" s="33" t="s">
        <v>1977</v>
      </c>
      <c r="F371" s="33"/>
      <c r="G371" s="33">
        <v>3.0</v>
      </c>
      <c r="H371" s="33" t="s">
        <v>1978</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1980</v>
      </c>
      <c r="E372" s="33" t="s">
        <v>1981</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1365</v>
      </c>
      <c r="E373" s="33" t="s">
        <v>1983</v>
      </c>
      <c r="F373" s="33"/>
      <c r="G373" s="33">
        <v>3.0</v>
      </c>
      <c r="H373" s="33" t="s">
        <v>1497</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1985</v>
      </c>
      <c r="E374" s="33" t="s">
        <v>1986</v>
      </c>
      <c r="F374" s="33"/>
      <c r="G374" s="33">
        <v>4.0</v>
      </c>
      <c r="H374" s="33" t="s">
        <v>1812</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1989</v>
      </c>
      <c r="F375" s="33"/>
      <c r="G375" s="33">
        <v>3.0</v>
      </c>
      <c r="H375" s="33" t="s">
        <v>1990</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1992</v>
      </c>
      <c r="E376" s="33" t="s">
        <v>1993</v>
      </c>
      <c r="F376" s="33"/>
      <c r="G376" s="33">
        <v>5.0</v>
      </c>
      <c r="H376" s="33" t="s">
        <v>499</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1995</v>
      </c>
      <c r="F377" s="33" t="s">
        <v>2827</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1997</v>
      </c>
      <c r="E378" s="33" t="s">
        <v>1998</v>
      </c>
      <c r="F378" s="33"/>
      <c r="G378" s="33">
        <v>2.0</v>
      </c>
      <c r="H378" s="33" t="s">
        <v>559</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2000</v>
      </c>
      <c r="F379" s="33" t="s">
        <v>2827</v>
      </c>
      <c r="G379" s="33">
        <v>3.0</v>
      </c>
      <c r="H379" s="33" t="s">
        <v>1586</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380</v>
      </c>
      <c r="E380" s="33" t="s">
        <v>2003</v>
      </c>
      <c r="F380" s="33" t="s">
        <v>2828</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2005</v>
      </c>
      <c r="E381" s="33" t="s">
        <v>2006</v>
      </c>
      <c r="F381" s="33" t="s">
        <v>2827</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1414</v>
      </c>
      <c r="E382" s="33" t="s">
        <v>2008</v>
      </c>
      <c r="F382" s="33" t="s">
        <v>2827</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405</v>
      </c>
      <c r="E383" s="33" t="s">
        <v>2010</v>
      </c>
      <c r="F383" s="33" t="s">
        <v>2829</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2012</v>
      </c>
      <c r="F384" s="33" t="s">
        <v>2830</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2016</v>
      </c>
      <c r="F386" s="33"/>
      <c r="G386" s="33">
        <v>1.0</v>
      </c>
      <c r="H386" s="33" t="s">
        <v>1610</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670</v>
      </c>
      <c r="E387" s="33" t="s">
        <v>2019</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319</v>
      </c>
      <c r="E388" s="33"/>
      <c r="F388" s="33" t="s">
        <v>2827</v>
      </c>
      <c r="G388" s="33" t="s">
        <v>26</v>
      </c>
      <c r="H388" s="33"/>
      <c r="I388" s="33" t="s">
        <v>2827</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2022</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2027</v>
      </c>
      <c r="E390" s="33" t="s">
        <v>2028</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2031</v>
      </c>
      <c r="E391" s="33" t="s">
        <v>2032</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2031</v>
      </c>
      <c r="E392" s="33" t="s">
        <v>2034</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2031</v>
      </c>
      <c r="E393" s="33" t="s">
        <v>2036</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2031</v>
      </c>
      <c r="E394" s="33" t="s">
        <v>2038</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2031</v>
      </c>
      <c r="E395" s="33" t="s">
        <v>2040</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2042</v>
      </c>
      <c r="F396" s="33"/>
      <c r="G396" s="33"/>
      <c r="H396" s="33" t="s">
        <v>447</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2045</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1668</v>
      </c>
      <c r="E398" s="33" t="s">
        <v>2047</v>
      </c>
      <c r="F398" s="33" t="s">
        <v>2048</v>
      </c>
      <c r="G398" s="33">
        <v>1.0</v>
      </c>
      <c r="H398" s="33" t="s">
        <v>1715</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952</v>
      </c>
      <c r="E399" s="33" t="s">
        <v>609</v>
      </c>
      <c r="F399" s="33" t="s">
        <v>2050</v>
      </c>
      <c r="G399" s="33">
        <v>3.0</v>
      </c>
      <c r="H399" s="33" t="s">
        <v>1711</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952</v>
      </c>
      <c r="E400" s="33" t="s">
        <v>2052</v>
      </c>
      <c r="F400" s="33" t="s">
        <v>2053</v>
      </c>
      <c r="G400" s="33">
        <v>4.0</v>
      </c>
      <c r="H400" s="33" t="s">
        <v>1761</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1698</v>
      </c>
      <c r="E401" s="33" t="s">
        <v>2055</v>
      </c>
      <c r="F401" s="33" t="s">
        <v>2056</v>
      </c>
      <c r="G401" s="33">
        <v>4.0</v>
      </c>
      <c r="H401" s="33" t="s">
        <v>1761</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2058</v>
      </c>
      <c r="F402" s="33" t="s">
        <v>2059</v>
      </c>
      <c r="G402" s="33">
        <v>5.0</v>
      </c>
      <c r="H402" s="33" t="s">
        <v>1701</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2062</v>
      </c>
      <c r="F403" s="33" t="s">
        <v>2063</v>
      </c>
      <c r="G403" s="33">
        <v>1.0</v>
      </c>
      <c r="H403" s="33" t="s">
        <v>1711</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2065</v>
      </c>
      <c r="E404" s="33" t="s">
        <v>2066</v>
      </c>
      <c r="F404" s="33" t="s">
        <v>2067</v>
      </c>
      <c r="G404" s="33">
        <v>2.0</v>
      </c>
      <c r="H404" s="33" t="s">
        <v>1715</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624</v>
      </c>
      <c r="E405" s="33" t="s">
        <v>2069</v>
      </c>
      <c r="F405" s="33" t="s">
        <v>2070</v>
      </c>
      <c r="G405" s="33">
        <v>10.0</v>
      </c>
      <c r="H405" s="33" t="s">
        <v>1761</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2072</v>
      </c>
      <c r="E406" s="33" t="s">
        <v>2073</v>
      </c>
      <c r="F406" s="33" t="s">
        <v>2074</v>
      </c>
      <c r="G406" s="33">
        <v>6.0</v>
      </c>
      <c r="H406" s="33" t="s">
        <v>1755</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1855</v>
      </c>
      <c r="E407" s="33" t="s">
        <v>2076</v>
      </c>
      <c r="F407" s="33"/>
      <c r="G407" s="33">
        <v>6.0</v>
      </c>
      <c r="H407" s="33" t="s">
        <v>1706</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1414</v>
      </c>
      <c r="E408" s="33"/>
      <c r="F408" s="33" t="s">
        <v>2078</v>
      </c>
      <c r="G408" s="33">
        <v>1.0</v>
      </c>
      <c r="H408" s="33" t="s">
        <v>1693</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1491</v>
      </c>
      <c r="E409" s="33"/>
      <c r="F409" s="33"/>
      <c r="G409" s="33">
        <v>2.0</v>
      </c>
      <c r="H409" s="33" t="s">
        <v>1715</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1851</v>
      </c>
      <c r="E410" s="33"/>
      <c r="F410" s="33" t="s">
        <v>2081</v>
      </c>
      <c r="G410" s="33">
        <v>5.0</v>
      </c>
      <c r="H410" s="33" t="s">
        <v>1761</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1703</v>
      </c>
      <c r="E411" s="33"/>
      <c r="F411" s="33" t="s">
        <v>2083</v>
      </c>
      <c r="G411" s="33">
        <v>6.0</v>
      </c>
      <c r="H411" s="33" t="s">
        <v>1701</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2085</v>
      </c>
      <c r="G412" s="33">
        <v>4.0</v>
      </c>
      <c r="H412" s="33" t="s">
        <v>1812</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1711</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2088</v>
      </c>
      <c r="E414" s="33" t="s">
        <v>60</v>
      </c>
      <c r="F414" s="33"/>
      <c r="G414" s="33">
        <v>6.0</v>
      </c>
      <c r="H414" s="33" t="s">
        <v>2089</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786</v>
      </c>
      <c r="E415" s="33" t="s">
        <v>2091</v>
      </c>
      <c r="F415" s="33"/>
      <c r="G415" s="33"/>
      <c r="H415" s="33" t="s">
        <v>1701</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1668</v>
      </c>
      <c r="E416" s="33" t="s">
        <v>2093</v>
      </c>
      <c r="F416" s="33"/>
      <c r="G416" s="33">
        <v>3.0</v>
      </c>
      <c r="H416" s="33" t="s">
        <v>1912</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1862</v>
      </c>
      <c r="E417" s="33" t="s">
        <v>2095</v>
      </c>
      <c r="F417" s="33" t="s">
        <v>2096</v>
      </c>
      <c r="G417" s="33">
        <v>3.0</v>
      </c>
      <c r="H417" s="33" t="s">
        <v>1727</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1333</v>
      </c>
      <c r="E418" s="33" t="s">
        <v>2098</v>
      </c>
      <c r="F418" s="33"/>
      <c r="G418" s="33">
        <v>4.0</v>
      </c>
      <c r="H418" s="33" t="s">
        <v>1812</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338</v>
      </c>
      <c r="E419" s="33" t="s">
        <v>2100</v>
      </c>
      <c r="F419" s="33" t="s">
        <v>2101</v>
      </c>
      <c r="G419" s="33">
        <v>3.0</v>
      </c>
      <c r="H419" s="33" t="s">
        <v>1715</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1663</v>
      </c>
      <c r="E420" s="33" t="s">
        <v>2103</v>
      </c>
      <c r="F420" s="33"/>
      <c r="G420" s="33">
        <v>2.0</v>
      </c>
      <c r="H420" s="33" t="s">
        <v>2104</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624</v>
      </c>
      <c r="E421" s="33" t="s">
        <v>2106</v>
      </c>
      <c r="F421" s="33" t="s">
        <v>2107</v>
      </c>
      <c r="G421" s="33">
        <v>3.0</v>
      </c>
      <c r="H421" s="33" t="s">
        <v>1711</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2109</v>
      </c>
      <c r="G422" s="33">
        <v>3.0</v>
      </c>
      <c r="H422" s="33" t="s">
        <v>1886</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2111</v>
      </c>
      <c r="G423" s="33">
        <v>6.0</v>
      </c>
      <c r="H423" s="33" t="s">
        <v>2112</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2114</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2116</v>
      </c>
      <c r="F425" s="33" t="s">
        <v>2117</v>
      </c>
      <c r="G425" s="33">
        <v>3.0</v>
      </c>
      <c r="H425" s="33" t="s">
        <v>1886</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2119</v>
      </c>
      <c r="F426" s="33" t="s">
        <v>2120</v>
      </c>
      <c r="G426" s="33">
        <v>2.0</v>
      </c>
      <c r="H426" s="33" t="s">
        <v>2121</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2123</v>
      </c>
      <c r="F427" s="33" t="s">
        <v>2124</v>
      </c>
      <c r="G427" s="33">
        <v>2.0</v>
      </c>
      <c r="H427" s="33" t="s">
        <v>2121</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359</v>
      </c>
      <c r="E428" s="33" t="s">
        <v>2126</v>
      </c>
      <c r="F428" s="33"/>
      <c r="G428" s="33">
        <v>6.0</v>
      </c>
      <c r="H428" s="33" t="s">
        <v>1502</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359</v>
      </c>
      <c r="E429" s="33" t="s">
        <v>2128</v>
      </c>
      <c r="F429" s="33"/>
      <c r="G429" s="33">
        <v>4.0</v>
      </c>
      <c r="H429" s="33" t="s">
        <v>1586</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2826</v>
      </c>
      <c r="B1" s="203" t="s">
        <v>2831</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2832</v>
      </c>
    </row>
    <row r="3">
      <c r="A3" s="97" t="s">
        <v>390</v>
      </c>
      <c r="B3" s="16" t="s">
        <v>2833</v>
      </c>
    </row>
    <row r="4">
      <c r="A4" s="97" t="s">
        <v>1011</v>
      </c>
      <c r="B4" s="16" t="s">
        <v>2834</v>
      </c>
    </row>
    <row r="5">
      <c r="A5" s="97" t="s">
        <v>1469</v>
      </c>
      <c r="B5" s="16" t="s">
        <v>2835</v>
      </c>
    </row>
    <row r="6">
      <c r="A6" s="97" t="s">
        <v>1690</v>
      </c>
      <c r="B6" s="16" t="s">
        <v>2836</v>
      </c>
    </row>
    <row r="7">
      <c r="A7" s="97" t="s">
        <v>2837</v>
      </c>
      <c r="B7" s="16" t="s">
        <v>2838</v>
      </c>
    </row>
    <row r="8">
      <c r="A8" s="97" t="s">
        <v>2839</v>
      </c>
      <c r="B8" s="16" t="s">
        <v>2840</v>
      </c>
    </row>
    <row r="9">
      <c r="A9" s="97" t="s">
        <v>2841</v>
      </c>
      <c r="B9" s="16" t="s">
        <v>2842</v>
      </c>
    </row>
    <row r="10">
      <c r="A10" s="97" t="s">
        <v>2843</v>
      </c>
      <c r="B10" s="16" t="s">
        <v>2844</v>
      </c>
    </row>
    <row r="11">
      <c r="A11" s="97" t="s">
        <v>2845</v>
      </c>
      <c r="B11" s="16" t="s">
        <v>2846</v>
      </c>
    </row>
    <row r="12">
      <c r="A12" s="97" t="s">
        <v>2847</v>
      </c>
      <c r="B12" s="16" t="s">
        <v>2848</v>
      </c>
    </row>
    <row r="13">
      <c r="A13" s="97" t="s">
        <v>2849</v>
      </c>
      <c r="B13" s="16" t="s">
        <v>2850</v>
      </c>
    </row>
    <row r="14">
      <c r="A14" s="16" t="s">
        <v>2851</v>
      </c>
      <c r="B14" s="16" t="s">
        <v>2852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2853</v>
      </c>
      <c r="B1" s="205"/>
      <c r="D1" s="206" t="s">
        <v>2854</v>
      </c>
      <c r="E1" s="206" t="s">
        <v>2855</v>
      </c>
      <c r="F1" s="207" t="s">
        <v>2856</v>
      </c>
      <c r="G1" s="208" t="s">
        <v>2857</v>
      </c>
      <c r="H1" s="209" t="s">
        <v>2</v>
      </c>
      <c r="I1" s="209" t="s">
        <v>2858</v>
      </c>
      <c r="J1" s="209" t="s">
        <v>2313</v>
      </c>
      <c r="K1" s="209" t="s">
        <v>2859</v>
      </c>
      <c r="L1" s="209" t="s">
        <v>6</v>
      </c>
      <c r="M1" s="210" t="s">
        <v>2860</v>
      </c>
      <c r="N1" s="210" t="s">
        <v>8</v>
      </c>
      <c r="O1" s="211" t="s">
        <v>2861</v>
      </c>
    </row>
    <row r="2">
      <c r="A2" s="212">
        <v>4.0</v>
      </c>
      <c r="B2" s="206"/>
      <c r="D2" s="7" t="s">
        <v>1299</v>
      </c>
      <c r="E2" s="7" t="s">
        <v>2862</v>
      </c>
      <c r="F2" s="54">
        <v>2.0</v>
      </c>
      <c r="G2" s="29" t="s">
        <v>2863</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526</v>
      </c>
      <c r="E3" s="7" t="s">
        <v>2862</v>
      </c>
      <c r="F3" s="216">
        <v>1.0</v>
      </c>
      <c r="G3" s="29" t="s">
        <v>2864</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2865</v>
      </c>
      <c r="B4" s="16">
        <f>IFERROR(__xludf.DUMMYFUNCTION("QUERY($D$1:O968,""select sum(F) where E like '%"" &amp; $A$2 &amp; ""%' label sum(F) ''"")"),24.0)</f>
        <v>24</v>
      </c>
      <c r="D4" s="7" t="s">
        <v>1194</v>
      </c>
      <c r="E4" s="7" t="s">
        <v>2862</v>
      </c>
      <c r="F4" s="216">
        <v>1.0</v>
      </c>
      <c r="G4" s="29" t="s">
        <v>2863</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2866</v>
      </c>
      <c r="B5" s="16">
        <f>IFERROR(__xludf.DUMMYFUNCTION("IFNA(QUERY($D$1:O968,""select count(G) where E like '%"" &amp; $A$2 &amp; ""%' and G = 'Alternative' label count(G) ''""),0)"),7.0)</f>
        <v>7</v>
      </c>
      <c r="D5" s="16" t="s">
        <v>1214</v>
      </c>
      <c r="E5" s="7" t="s">
        <v>2862</v>
      </c>
      <c r="F5" s="216">
        <v>1.0</v>
      </c>
      <c r="G5" s="29" t="s">
        <v>2864</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2867</v>
      </c>
      <c r="B6" s="16">
        <f>IFERROR(__xludf.DUMMYFUNCTION("QUERY($D$1:O968,""select sum(O) where E like '%"" &amp; $A$2 &amp; ""%' label sum(O) ''"")/$B$4"),2.7916666666666665)</f>
        <v>2.791666667</v>
      </c>
      <c r="D6" s="7" t="s">
        <v>1325</v>
      </c>
      <c r="E6" s="7" t="s">
        <v>2862</v>
      </c>
      <c r="F6" s="216">
        <v>1.0</v>
      </c>
      <c r="G6" s="29" t="s">
        <v>2863</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1067</v>
      </c>
      <c r="E7" s="7" t="s">
        <v>2862</v>
      </c>
      <c r="F7" s="216">
        <v>2.0</v>
      </c>
      <c r="G7" s="29" t="s">
        <v>2863</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1239</v>
      </c>
      <c r="E8" s="7" t="s">
        <v>2862</v>
      </c>
      <c r="F8" s="216">
        <v>2.0</v>
      </c>
      <c r="G8" s="29" t="s">
        <v>2864</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1033</v>
      </c>
      <c r="E9" s="7" t="s">
        <v>2862</v>
      </c>
      <c r="F9" s="216">
        <v>1.0</v>
      </c>
      <c r="G9" s="29" t="s">
        <v>2863</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872</v>
      </c>
      <c r="E10" s="7" t="s">
        <v>2862</v>
      </c>
      <c r="F10" s="216">
        <v>2.0</v>
      </c>
      <c r="G10" s="29" t="s">
        <v>2864</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949</v>
      </c>
      <c r="E11" s="7" t="s">
        <v>2862</v>
      </c>
      <c r="F11" s="216">
        <v>2.0</v>
      </c>
      <c r="G11" s="29" t="s">
        <v>2864</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1229</v>
      </c>
      <c r="E12" s="7" t="s">
        <v>2862</v>
      </c>
      <c r="F12" s="216">
        <v>1.0</v>
      </c>
      <c r="G12" s="29" t="s">
        <v>2864</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854</v>
      </c>
      <c r="E13" s="7" t="s">
        <v>2862</v>
      </c>
      <c r="F13" s="216">
        <v>1.0</v>
      </c>
      <c r="G13" s="29" t="s">
        <v>2864</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1523</v>
      </c>
      <c r="E14" s="7" t="s">
        <v>2862</v>
      </c>
      <c r="F14" s="216">
        <v>2.0</v>
      </c>
      <c r="G14" s="29" t="s">
        <v>2864</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1458</v>
      </c>
      <c r="E15" s="7" t="s">
        <v>2862</v>
      </c>
      <c r="F15" s="216">
        <v>1.0</v>
      </c>
      <c r="G15" s="29" t="s">
        <v>2864</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819</v>
      </c>
      <c r="E16" s="7" t="s">
        <v>2862</v>
      </c>
      <c r="F16" s="216">
        <v>1.0</v>
      </c>
      <c r="G16" s="29" t="s">
        <v>2864</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1417</v>
      </c>
      <c r="E17" s="7" t="s">
        <v>2862</v>
      </c>
      <c r="F17" s="216">
        <v>2.0</v>
      </c>
      <c r="G17" s="29" t="s">
        <v>2864</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540</v>
      </c>
      <c r="E18" s="7" t="s">
        <v>2862</v>
      </c>
      <c r="F18" s="216">
        <v>2.0</v>
      </c>
      <c r="G18" s="29" t="s">
        <v>2863</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1513</v>
      </c>
      <c r="E19" s="7" t="s">
        <v>2862</v>
      </c>
      <c r="F19" s="216">
        <v>2.0</v>
      </c>
      <c r="G19" s="29" t="s">
        <v>2864</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896</v>
      </c>
      <c r="E20" s="7" t="s">
        <v>2862</v>
      </c>
      <c r="F20" s="216">
        <v>1.0</v>
      </c>
      <c r="G20" s="29" t="s">
        <v>2864</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1260</v>
      </c>
      <c r="E21" s="7" t="s">
        <v>2862</v>
      </c>
      <c r="F21" s="216">
        <v>1.0</v>
      </c>
      <c r="G21" s="29" t="s">
        <v>2864</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1506</v>
      </c>
      <c r="E22" s="7" t="s">
        <v>2862</v>
      </c>
      <c r="F22" s="216">
        <v>1.0</v>
      </c>
      <c r="G22" s="29" t="s">
        <v>2863</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1896</v>
      </c>
      <c r="E23" s="16" t="s">
        <v>2868</v>
      </c>
      <c r="F23" s="216">
        <v>1.0</v>
      </c>
      <c r="G23" s="29" t="s">
        <v>2863</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1771</v>
      </c>
      <c r="E24" s="7" t="s">
        <v>2868</v>
      </c>
      <c r="F24" s="216">
        <v>1.0</v>
      </c>
      <c r="G24" s="29" t="s">
        <v>2863</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1730</v>
      </c>
      <c r="E25" s="7" t="s">
        <v>2868</v>
      </c>
      <c r="F25" s="216">
        <v>1.0</v>
      </c>
      <c r="G25" s="29" t="s">
        <v>2864</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1904</v>
      </c>
      <c r="E26" s="7" t="s">
        <v>2868</v>
      </c>
      <c r="F26" s="216">
        <v>2.0</v>
      </c>
      <c r="G26" s="29" t="s">
        <v>2863</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2079</v>
      </c>
      <c r="E27" s="7" t="s">
        <v>2868</v>
      </c>
      <c r="F27" s="223">
        <v>2.0</v>
      </c>
      <c r="G27" s="29" t="s">
        <v>2864</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1783</v>
      </c>
      <c r="E28" s="22" t="s">
        <v>2868</v>
      </c>
      <c r="F28" s="216">
        <v>1.0</v>
      </c>
      <c r="G28" s="29" t="s">
        <v>2863</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1918</v>
      </c>
      <c r="E29" s="22" t="s">
        <v>2868</v>
      </c>
      <c r="F29" s="216">
        <v>1.0</v>
      </c>
      <c r="G29" s="29" t="s">
        <v>2864</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1822</v>
      </c>
      <c r="E30" s="16" t="s">
        <v>2868</v>
      </c>
      <c r="F30" s="216">
        <v>2.0</v>
      </c>
      <c r="G30" s="29" t="s">
        <v>2864</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1923</v>
      </c>
      <c r="E31" s="54" t="s">
        <v>2868</v>
      </c>
      <c r="F31" s="216">
        <v>1.0</v>
      </c>
      <c r="G31" s="29" t="s">
        <v>2863</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1686</v>
      </c>
      <c r="E32" s="7" t="s">
        <v>2868</v>
      </c>
      <c r="F32" s="216">
        <v>2.0</v>
      </c>
      <c r="G32" s="29" t="s">
        <v>2864</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2086</v>
      </c>
      <c r="E33" s="7" t="s">
        <v>2868</v>
      </c>
      <c r="F33" s="223">
        <v>2.0</v>
      </c>
      <c r="G33" s="29" t="s">
        <v>2863</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1672</v>
      </c>
      <c r="E34" s="16" t="s">
        <v>2868</v>
      </c>
      <c r="F34" s="216">
        <v>2.0</v>
      </c>
      <c r="G34" s="29" t="s">
        <v>2864</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2084</v>
      </c>
      <c r="E35" s="22" t="s">
        <v>2868</v>
      </c>
      <c r="F35" s="223">
        <v>1.0</v>
      </c>
      <c r="G35" s="29" t="s">
        <v>2864</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1826</v>
      </c>
      <c r="E36" s="7" t="s">
        <v>2868</v>
      </c>
      <c r="F36" s="216">
        <v>2.0</v>
      </c>
      <c r="G36" s="29" t="s">
        <v>2864</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1794</v>
      </c>
      <c r="E37" s="7" t="s">
        <v>2868</v>
      </c>
      <c r="F37" s="216">
        <v>1.0</v>
      </c>
      <c r="G37" s="29" t="s">
        <v>2863</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1675</v>
      </c>
      <c r="E38" s="16" t="s">
        <v>2868</v>
      </c>
      <c r="F38" s="216">
        <v>2.0</v>
      </c>
      <c r="G38" s="29" t="s">
        <v>2864</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1832</v>
      </c>
      <c r="E39" s="7" t="s">
        <v>2868</v>
      </c>
      <c r="F39" s="223">
        <v>1.0</v>
      </c>
      <c r="G39" s="29" t="s">
        <v>2864</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1762</v>
      </c>
      <c r="E40" s="7" t="s">
        <v>2868</v>
      </c>
      <c r="F40" s="216">
        <v>1.0</v>
      </c>
      <c r="G40" s="29" t="s">
        <v>2864</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2080</v>
      </c>
      <c r="E41" s="7" t="s">
        <v>2868</v>
      </c>
      <c r="F41" s="216">
        <v>2.0</v>
      </c>
      <c r="G41" s="29" t="s">
        <v>2864</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1800</v>
      </c>
      <c r="E42" s="16" t="s">
        <v>2868</v>
      </c>
      <c r="F42" s="216">
        <v>1.0</v>
      </c>
      <c r="G42" s="29" t="s">
        <v>2864</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2075</v>
      </c>
      <c r="E43" s="16" t="s">
        <v>2868</v>
      </c>
      <c r="F43" s="216">
        <v>1.0</v>
      </c>
      <c r="G43" s="29" t="s">
        <v>2864</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456</v>
      </c>
      <c r="E44" s="16" t="s">
        <v>2869</v>
      </c>
      <c r="F44" s="16">
        <v>2.0</v>
      </c>
      <c r="G44" s="16" t="s">
        <v>2863</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444</v>
      </c>
      <c r="E45" s="16" t="s">
        <v>2869</v>
      </c>
      <c r="F45" s="16">
        <v>1.0</v>
      </c>
      <c r="G45" s="16" t="s">
        <v>2863</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2869</v>
      </c>
      <c r="F46" s="16">
        <v>1.0</v>
      </c>
      <c r="G46" s="16" t="s">
        <v>2863</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2869</v>
      </c>
      <c r="F47" s="16">
        <v>1.0</v>
      </c>
      <c r="G47" s="16" t="s">
        <v>2864</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2097</v>
      </c>
      <c r="E48" s="16" t="s">
        <v>2869</v>
      </c>
      <c r="F48" s="16">
        <v>1.0</v>
      </c>
      <c r="G48" s="16" t="s">
        <v>2864</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1915</v>
      </c>
      <c r="E49" s="16" t="s">
        <v>2869</v>
      </c>
      <c r="F49" s="16">
        <v>1.0</v>
      </c>
      <c r="G49" s="16" t="s">
        <v>2864</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1945</v>
      </c>
      <c r="E50" s="16" t="s">
        <v>2869</v>
      </c>
      <c r="F50" s="16">
        <v>1.0</v>
      </c>
      <c r="G50" s="16" t="s">
        <v>2864</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2869</v>
      </c>
      <c r="F51" s="16">
        <v>2.0</v>
      </c>
      <c r="G51" s="16" t="s">
        <v>2864</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2869</v>
      </c>
      <c r="F52" s="16">
        <v>1.0</v>
      </c>
      <c r="G52" s="16" t="s">
        <v>2864</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2869</v>
      </c>
      <c r="F53" s="16">
        <v>1.0</v>
      </c>
      <c r="G53" s="16" t="s">
        <v>2864</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2869</v>
      </c>
      <c r="F54" s="16">
        <v>2.0</v>
      </c>
      <c r="G54" s="16" t="s">
        <v>2864</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2869</v>
      </c>
      <c r="F55" s="16">
        <v>2.0</v>
      </c>
      <c r="G55" s="16" t="s">
        <v>2864</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2869</v>
      </c>
      <c r="F56" s="16">
        <v>1.0</v>
      </c>
      <c r="G56" s="16" t="s">
        <v>2863</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2869</v>
      </c>
      <c r="F57" s="16">
        <v>2.0</v>
      </c>
      <c r="G57" s="16" t="s">
        <v>2864</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2869</v>
      </c>
      <c r="F58" s="16">
        <v>2.0</v>
      </c>
      <c r="G58" s="16" t="s">
        <v>2864</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2869</v>
      </c>
      <c r="F59" s="16">
        <v>1.0</v>
      </c>
      <c r="G59" s="16" t="s">
        <v>2863</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2869</v>
      </c>
      <c r="F60" s="16">
        <v>2.0</v>
      </c>
      <c r="G60" s="16" t="s">
        <v>2864</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1939</v>
      </c>
      <c r="E61" s="16" t="s">
        <v>2869</v>
      </c>
      <c r="F61" s="16">
        <v>2.0</v>
      </c>
      <c r="G61" s="16" t="s">
        <v>2863</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2082</v>
      </c>
      <c r="E62" s="16" t="s">
        <v>2869</v>
      </c>
      <c r="F62" s="16">
        <v>1.0</v>
      </c>
      <c r="G62" s="16" t="s">
        <v>2863</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1930</v>
      </c>
      <c r="E63" s="16" t="s">
        <v>2869</v>
      </c>
      <c r="F63" s="16">
        <v>2.0</v>
      </c>
      <c r="G63" s="16" t="s">
        <v>2864</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1933</v>
      </c>
      <c r="E64" s="16" t="s">
        <v>2869</v>
      </c>
      <c r="F64" s="16">
        <v>1.0</v>
      </c>
      <c r="G64" s="16" t="s">
        <v>2864</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1015</v>
      </c>
      <c r="E65" s="16" t="s">
        <v>2870</v>
      </c>
      <c r="F65" s="16">
        <v>1.0</v>
      </c>
      <c r="G65" s="16" t="s">
        <v>2863</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1017</v>
      </c>
      <c r="E66" s="16" t="s">
        <v>2870</v>
      </c>
      <c r="F66" s="16">
        <v>1.0</v>
      </c>
      <c r="G66" s="16" t="s">
        <v>2864</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1791</v>
      </c>
      <c r="E67" s="16" t="s">
        <v>2870</v>
      </c>
      <c r="F67" s="16">
        <v>1.0</v>
      </c>
      <c r="G67" s="16" t="s">
        <v>2864</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1082</v>
      </c>
      <c r="E68" s="16" t="s">
        <v>2870</v>
      </c>
      <c r="F68" s="16">
        <v>1.0</v>
      </c>
      <c r="G68" s="16" t="s">
        <v>2863</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717</v>
      </c>
      <c r="E69" s="16" t="s">
        <v>2870</v>
      </c>
      <c r="F69" s="16">
        <v>2.0</v>
      </c>
      <c r="G69" s="16" t="s">
        <v>2863</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1647</v>
      </c>
      <c r="E70" s="16" t="s">
        <v>2870</v>
      </c>
      <c r="F70" s="16">
        <v>1.0</v>
      </c>
      <c r="G70" s="16" t="s">
        <v>2864</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808</v>
      </c>
      <c r="E71" s="16" t="s">
        <v>2870</v>
      </c>
      <c r="F71" s="16">
        <v>1.0</v>
      </c>
      <c r="G71" s="16" t="s">
        <v>2864</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1735</v>
      </c>
      <c r="E72" s="16" t="s">
        <v>2870</v>
      </c>
      <c r="F72" s="16">
        <v>1.0</v>
      </c>
      <c r="G72" s="16" t="s">
        <v>2864</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1113</v>
      </c>
      <c r="E73" s="16" t="s">
        <v>2870</v>
      </c>
      <c r="F73" s="16">
        <v>2.0</v>
      </c>
      <c r="G73" s="16" t="s">
        <v>2863</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974</v>
      </c>
      <c r="E74" s="16" t="s">
        <v>2870</v>
      </c>
      <c r="F74" s="16">
        <v>2.0</v>
      </c>
      <c r="G74" s="16" t="s">
        <v>2863</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655</v>
      </c>
      <c r="E75" s="16" t="s">
        <v>2870</v>
      </c>
      <c r="F75" s="16">
        <v>1.0</v>
      </c>
      <c r="G75" s="16" t="s">
        <v>2864</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567</v>
      </c>
      <c r="E76" s="16" t="s">
        <v>2870</v>
      </c>
      <c r="F76" s="16">
        <v>1.0</v>
      </c>
      <c r="G76" s="16" t="s">
        <v>2863</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511</v>
      </c>
      <c r="E77" s="16" t="s">
        <v>2870</v>
      </c>
      <c r="F77" s="16">
        <v>1.0</v>
      </c>
      <c r="G77" s="16" t="s">
        <v>2864</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581</v>
      </c>
      <c r="E78" s="16" t="s">
        <v>2870</v>
      </c>
      <c r="F78" s="16">
        <v>1.0</v>
      </c>
      <c r="G78" s="16" t="s">
        <v>2864</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642</v>
      </c>
      <c r="E79" s="16" t="s">
        <v>2870</v>
      </c>
      <c r="F79" s="16">
        <v>1.0</v>
      </c>
      <c r="G79" s="16" t="s">
        <v>2864</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608</v>
      </c>
      <c r="E80" s="16" t="s">
        <v>2870</v>
      </c>
      <c r="F80" s="16">
        <v>1.0</v>
      </c>
      <c r="G80" s="16" t="s">
        <v>2863</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1633</v>
      </c>
      <c r="E81" s="16" t="s">
        <v>2870</v>
      </c>
      <c r="F81" s="16">
        <v>1.0</v>
      </c>
      <c r="G81" s="16" t="s">
        <v>2864</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1026</v>
      </c>
      <c r="E82" s="16" t="s">
        <v>2870</v>
      </c>
      <c r="F82" s="16">
        <v>1.0</v>
      </c>
      <c r="G82" s="16" t="s">
        <v>2864</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1895</v>
      </c>
      <c r="E83" s="16" t="s">
        <v>2870</v>
      </c>
      <c r="F83" s="16">
        <v>1.0</v>
      </c>
      <c r="G83" s="16" t="s">
        <v>2864</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935</v>
      </c>
      <c r="E84" s="16" t="s">
        <v>2870</v>
      </c>
      <c r="F84" s="16">
        <v>2.0</v>
      </c>
      <c r="G84" s="16" t="s">
        <v>2864</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2870</v>
      </c>
      <c r="G85" s="16" t="s">
        <v>2864</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2870</v>
      </c>
      <c r="G86" s="16" t="s">
        <v>2864</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2870</v>
      </c>
      <c r="G87" s="16" t="s">
        <v>2864</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2870</v>
      </c>
      <c r="G88" s="16" t="s">
        <v>2864</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2870</v>
      </c>
      <c r="G89" s="16" t="s">
        <v>2864</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2871</v>
      </c>
      <c r="E1" s="204" t="s">
        <v>4</v>
      </c>
      <c r="F1" s="204" t="s">
        <v>5</v>
      </c>
      <c r="G1" s="227" t="s">
        <v>6</v>
      </c>
      <c r="H1" s="227" t="s">
        <v>7</v>
      </c>
      <c r="I1" s="228" t="s">
        <v>8</v>
      </c>
      <c r="J1" s="229" t="s">
        <v>2872</v>
      </c>
    </row>
    <row r="2">
      <c r="A2" s="16" t="s">
        <v>2873</v>
      </c>
      <c r="B2" s="230" t="s">
        <v>2874</v>
      </c>
      <c r="C2" s="56" t="s">
        <v>1997</v>
      </c>
      <c r="D2" s="51"/>
      <c r="E2" s="51" t="s">
        <v>2875</v>
      </c>
      <c r="F2" s="54" t="s">
        <v>2876</v>
      </c>
      <c r="G2" s="56">
        <v>1.0</v>
      </c>
      <c r="H2" s="56" t="s">
        <v>99</v>
      </c>
      <c r="I2" s="56" t="s">
        <v>70</v>
      </c>
    </row>
    <row r="3">
      <c r="A3" s="51" t="s">
        <v>2877</v>
      </c>
      <c r="B3" s="230" t="s">
        <v>2874</v>
      </c>
      <c r="C3" s="56" t="s">
        <v>28</v>
      </c>
      <c r="D3" s="51" t="s">
        <v>2878</v>
      </c>
      <c r="E3" s="231" t="s">
        <v>2879</v>
      </c>
      <c r="F3" s="54" t="s">
        <v>2876</v>
      </c>
      <c r="G3" s="56">
        <v>1.0</v>
      </c>
      <c r="H3" s="56" t="s">
        <v>53</v>
      </c>
      <c r="I3" s="56" t="s">
        <v>32</v>
      </c>
    </row>
    <row r="4">
      <c r="A4" s="51" t="s">
        <v>2880</v>
      </c>
      <c r="B4" s="230" t="s">
        <v>2874</v>
      </c>
      <c r="C4" s="56" t="s">
        <v>2881</v>
      </c>
      <c r="D4" s="51" t="s">
        <v>2878</v>
      </c>
      <c r="E4" s="51" t="s">
        <v>2882</v>
      </c>
      <c r="F4" s="54" t="s">
        <v>2876</v>
      </c>
      <c r="G4" s="56">
        <v>3.0</v>
      </c>
      <c r="H4" s="56" t="s">
        <v>245</v>
      </c>
      <c r="I4" s="56" t="s">
        <v>70</v>
      </c>
    </row>
    <row r="5">
      <c r="A5" s="51" t="s">
        <v>2883</v>
      </c>
      <c r="B5" s="232" t="s">
        <v>2874</v>
      </c>
      <c r="C5" s="56" t="s">
        <v>80</v>
      </c>
      <c r="D5" s="51" t="s">
        <v>2884</v>
      </c>
      <c r="E5" s="51" t="s">
        <v>2885</v>
      </c>
      <c r="F5" s="54" t="s">
        <v>2876</v>
      </c>
      <c r="G5" s="56">
        <v>5.0</v>
      </c>
      <c r="H5" s="56" t="s">
        <v>2886</v>
      </c>
      <c r="I5" s="56" t="s">
        <v>32</v>
      </c>
    </row>
    <row r="6">
      <c r="A6" s="28" t="s">
        <v>2887</v>
      </c>
      <c r="B6" s="233" t="s">
        <v>2888</v>
      </c>
      <c r="C6" s="67" t="s">
        <v>380</v>
      </c>
      <c r="D6" s="28"/>
      <c r="E6" s="28" t="s">
        <v>2889</v>
      </c>
      <c r="F6" s="29" t="s">
        <v>2876</v>
      </c>
      <c r="G6" s="67">
        <v>0.0</v>
      </c>
      <c r="H6" s="67" t="s">
        <v>2890</v>
      </c>
      <c r="I6" s="67" t="s">
        <v>32</v>
      </c>
    </row>
    <row r="7">
      <c r="A7" s="51" t="s">
        <v>2891</v>
      </c>
      <c r="B7" s="234" t="s">
        <v>2888</v>
      </c>
      <c r="C7" s="56" t="s">
        <v>1997</v>
      </c>
      <c r="D7" s="51"/>
      <c r="E7" s="51" t="s">
        <v>2892</v>
      </c>
      <c r="F7" s="54" t="s">
        <v>2876</v>
      </c>
      <c r="G7" s="56">
        <v>3.0</v>
      </c>
      <c r="H7" s="56" t="s">
        <v>1028</v>
      </c>
      <c r="I7" s="56" t="s">
        <v>70</v>
      </c>
    </row>
    <row r="8">
      <c r="A8" s="51" t="s">
        <v>2893</v>
      </c>
      <c r="B8" s="234" t="s">
        <v>2888</v>
      </c>
      <c r="C8" s="56" t="s">
        <v>380</v>
      </c>
      <c r="D8" s="51"/>
      <c r="E8" s="51" t="s">
        <v>2894</v>
      </c>
      <c r="F8" s="54" t="s">
        <v>2876</v>
      </c>
      <c r="G8" s="56">
        <v>4.0</v>
      </c>
      <c r="H8" s="56" t="s">
        <v>490</v>
      </c>
      <c r="I8" s="56" t="s">
        <v>26</v>
      </c>
    </row>
    <row r="9">
      <c r="A9" s="51" t="s">
        <v>2895</v>
      </c>
      <c r="B9" s="234" t="s">
        <v>2888</v>
      </c>
      <c r="C9" s="56" t="s">
        <v>1997</v>
      </c>
      <c r="D9" s="51"/>
      <c r="E9" s="51" t="s">
        <v>2896</v>
      </c>
      <c r="F9" s="54" t="s">
        <v>2876</v>
      </c>
      <c r="G9" s="56">
        <v>5.0</v>
      </c>
      <c r="H9" s="56" t="s">
        <v>495</v>
      </c>
      <c r="I9" s="56" t="s">
        <v>32</v>
      </c>
    </row>
    <row r="10">
      <c r="A10" s="51" t="s">
        <v>685</v>
      </c>
      <c r="B10" s="233" t="s">
        <v>2888</v>
      </c>
      <c r="C10" s="67" t="s">
        <v>634</v>
      </c>
      <c r="D10" s="28"/>
      <c r="E10" s="28" t="s">
        <v>2897</v>
      </c>
      <c r="F10" s="29" t="s">
        <v>2876</v>
      </c>
      <c r="G10" s="67">
        <v>6.0</v>
      </c>
      <c r="H10" s="67" t="s">
        <v>2898</v>
      </c>
      <c r="I10" s="67" t="s">
        <v>70</v>
      </c>
    </row>
    <row r="11">
      <c r="A11" s="51"/>
      <c r="B11" s="235" t="s">
        <v>2899</v>
      </c>
      <c r="C11" s="56" t="s">
        <v>634</v>
      </c>
      <c r="D11" s="51"/>
      <c r="E11" s="51" t="s">
        <v>2900</v>
      </c>
      <c r="F11" s="54" t="s">
        <v>2876</v>
      </c>
      <c r="G11" s="56">
        <v>1.0</v>
      </c>
      <c r="H11" s="56" t="s">
        <v>1610</v>
      </c>
      <c r="I11" s="56" t="s">
        <v>32</v>
      </c>
    </row>
    <row r="12">
      <c r="A12" s="51" t="s">
        <v>2901</v>
      </c>
      <c r="B12" s="235" t="s">
        <v>2899</v>
      </c>
      <c r="C12" s="56" t="s">
        <v>634</v>
      </c>
      <c r="D12" s="51"/>
      <c r="E12" s="51" t="s">
        <v>2902</v>
      </c>
      <c r="F12" s="54" t="s">
        <v>2876</v>
      </c>
      <c r="G12" s="56">
        <v>2.0</v>
      </c>
      <c r="H12" s="56" t="s">
        <v>1604</v>
      </c>
      <c r="I12" s="56" t="s">
        <v>32</v>
      </c>
    </row>
    <row r="13">
      <c r="A13" s="51" t="s">
        <v>2903</v>
      </c>
      <c r="B13" s="235" t="s">
        <v>2899</v>
      </c>
      <c r="C13" s="56" t="s">
        <v>2904</v>
      </c>
      <c r="D13" s="51"/>
      <c r="E13" s="236" t="s">
        <v>2905</v>
      </c>
      <c r="F13" s="54" t="s">
        <v>2876</v>
      </c>
      <c r="G13" s="56">
        <v>3.0</v>
      </c>
      <c r="H13" s="56" t="s">
        <v>1610</v>
      </c>
      <c r="I13" s="56" t="s">
        <v>70</v>
      </c>
    </row>
    <row r="14">
      <c r="A14" s="28" t="s">
        <v>2906</v>
      </c>
      <c r="B14" s="237" t="s">
        <v>2899</v>
      </c>
      <c r="C14" s="56" t="s">
        <v>80</v>
      </c>
      <c r="D14" s="51"/>
      <c r="E14" s="51" t="s">
        <v>2907</v>
      </c>
      <c r="F14" s="54" t="s">
        <v>2876</v>
      </c>
      <c r="G14" s="56">
        <v>4.0</v>
      </c>
      <c r="H14" s="56" t="s">
        <v>1497</v>
      </c>
      <c r="I14" s="56" t="s">
        <v>26</v>
      </c>
    </row>
    <row r="15">
      <c r="A15" s="51" t="s">
        <v>2908</v>
      </c>
      <c r="B15" s="235" t="s">
        <v>2899</v>
      </c>
      <c r="C15" s="56" t="s">
        <v>1365</v>
      </c>
      <c r="D15" s="51"/>
      <c r="E15" s="29" t="s">
        <v>2909</v>
      </c>
      <c r="F15" s="29" t="s">
        <v>2876</v>
      </c>
      <c r="G15" s="56">
        <v>6.0</v>
      </c>
      <c r="H15" s="56" t="s">
        <v>1833</v>
      </c>
      <c r="I15" s="56" t="s">
        <v>70</v>
      </c>
    </row>
    <row r="16">
      <c r="A16" s="16" t="s">
        <v>2910</v>
      </c>
      <c r="B16" s="91" t="s">
        <v>2899</v>
      </c>
      <c r="C16" s="15" t="s">
        <v>2911</v>
      </c>
      <c r="F16" s="16" t="s">
        <v>2876</v>
      </c>
      <c r="G16" s="35"/>
      <c r="I16" s="15" t="s">
        <v>32</v>
      </c>
    </row>
    <row r="17">
      <c r="A17" s="51" t="s">
        <v>1438</v>
      </c>
      <c r="B17" s="238" t="s">
        <v>2912</v>
      </c>
      <c r="C17" s="56" t="s">
        <v>37</v>
      </c>
      <c r="D17" s="51"/>
      <c r="E17" s="236" t="s">
        <v>2913</v>
      </c>
      <c r="F17" s="54" t="s">
        <v>2876</v>
      </c>
      <c r="G17" s="56">
        <v>1.0</v>
      </c>
      <c r="H17" s="56" t="s">
        <v>1912</v>
      </c>
      <c r="I17" s="56" t="s">
        <v>70</v>
      </c>
    </row>
    <row r="18">
      <c r="A18" s="51" t="s">
        <v>2914</v>
      </c>
      <c r="B18" s="238" t="s">
        <v>2912</v>
      </c>
      <c r="C18" s="56" t="s">
        <v>1708</v>
      </c>
      <c r="D18" s="51"/>
      <c r="E18" s="51" t="s">
        <v>2915</v>
      </c>
      <c r="F18" s="54" t="s">
        <v>2876</v>
      </c>
      <c r="G18" s="56">
        <v>1.0</v>
      </c>
      <c r="H18" s="56" t="s">
        <v>2104</v>
      </c>
      <c r="I18" s="56" t="s">
        <v>32</v>
      </c>
    </row>
    <row r="19">
      <c r="A19" s="7" t="s">
        <v>2916</v>
      </c>
      <c r="B19" s="87"/>
      <c r="C19" s="15"/>
      <c r="E19" s="16"/>
      <c r="F19" s="16" t="s">
        <v>2876</v>
      </c>
      <c r="G19" s="15"/>
      <c r="H19" s="15"/>
      <c r="I19" s="9"/>
    </row>
    <row r="20">
      <c r="A20" s="24" t="s">
        <v>2917</v>
      </c>
      <c r="B20" s="87" t="s">
        <v>2899</v>
      </c>
      <c r="C20" s="21" t="s">
        <v>359</v>
      </c>
      <c r="D20" s="7"/>
      <c r="E20" s="7" t="s">
        <v>2918</v>
      </c>
      <c r="F20" s="7"/>
      <c r="G20" s="9">
        <v>2.0</v>
      </c>
      <c r="H20" s="9" t="s">
        <v>1471</v>
      </c>
      <c r="I20" s="21" t="s">
        <v>26</v>
      </c>
    </row>
    <row r="21">
      <c r="A21" s="16" t="s">
        <v>2919</v>
      </c>
      <c r="B21" s="14" t="s">
        <v>2874</v>
      </c>
      <c r="C21" s="15" t="s">
        <v>28</v>
      </c>
      <c r="D21" s="16" t="s">
        <v>2920</v>
      </c>
      <c r="E21" s="16" t="s">
        <v>2921</v>
      </c>
      <c r="G21" s="15">
        <v>2.0</v>
      </c>
      <c r="I21" s="35"/>
    </row>
    <row r="22">
      <c r="A22" s="16" t="s">
        <v>2922</v>
      </c>
      <c r="B22" s="16" t="s">
        <v>2923</v>
      </c>
      <c r="C22" s="35"/>
      <c r="G22" s="35"/>
      <c r="I22" s="15" t="s">
        <v>70</v>
      </c>
    </row>
    <row r="23">
      <c r="A23" s="16" t="s">
        <v>2924</v>
      </c>
      <c r="B23" s="16" t="s">
        <v>2925</v>
      </c>
      <c r="C23" s="35"/>
      <c r="G23" s="35"/>
      <c r="I23" s="35"/>
    </row>
    <row r="24">
      <c r="A24" s="16" t="s">
        <v>2917</v>
      </c>
      <c r="B24" s="16" t="s">
        <v>2899</v>
      </c>
      <c r="C24" s="15"/>
      <c r="G24" s="15"/>
      <c r="H24" s="15"/>
      <c r="I24" s="15"/>
    </row>
    <row r="25">
      <c r="A25" s="16" t="s">
        <v>2926</v>
      </c>
      <c r="B25" s="91" t="s">
        <v>2899</v>
      </c>
      <c r="C25" s="15" t="s">
        <v>2927</v>
      </c>
      <c r="E25" s="16" t="s">
        <v>2928</v>
      </c>
      <c r="F25" s="16" t="s">
        <v>1721</v>
      </c>
      <c r="G25" s="15">
        <v>0.0</v>
      </c>
      <c r="H25" s="15" t="s">
        <v>1635</v>
      </c>
      <c r="I25" s="15" t="s">
        <v>26</v>
      </c>
    </row>
    <row r="26">
      <c r="A26" s="16" t="s">
        <v>2929</v>
      </c>
    </row>
    <row r="27">
      <c r="C27" s="35"/>
      <c r="E27" s="16" t="s">
        <v>2930</v>
      </c>
    </row>
    <row r="28">
      <c r="E28" s="16" t="s">
        <v>2931</v>
      </c>
    </row>
    <row r="29">
      <c r="E29" s="16" t="s">
        <v>2932</v>
      </c>
    </row>
    <row r="30">
      <c r="E30" s="16" t="s">
        <v>2933</v>
      </c>
    </row>
    <row r="31">
      <c r="E31" s="16" t="s">
        <v>2934</v>
      </c>
    </row>
    <row r="32">
      <c r="E32" s="16" t="s">
        <v>2935</v>
      </c>
    </row>
    <row r="33">
      <c r="E33" s="16" t="s">
        <v>2936</v>
      </c>
    </row>
    <row r="34">
      <c r="E34" s="16" t="s">
        <v>2937</v>
      </c>
    </row>
    <row r="35">
      <c r="A35" s="16" t="s">
        <v>2938</v>
      </c>
      <c r="B35" s="81" t="s">
        <v>2939</v>
      </c>
      <c r="C35" s="9" t="s">
        <v>2940</v>
      </c>
      <c r="D35" s="24"/>
      <c r="E35" s="7" t="s">
        <v>2941</v>
      </c>
      <c r="F35" s="7" t="s">
        <v>632</v>
      </c>
      <c r="G35" s="9">
        <v>2.0</v>
      </c>
      <c r="H35" s="9" t="s">
        <v>1132</v>
      </c>
      <c r="I35" s="9" t="s">
        <v>70</v>
      </c>
    </row>
    <row r="36">
      <c r="A36" s="16" t="s">
        <v>2942</v>
      </c>
      <c r="B36" s="79" t="s">
        <v>2939</v>
      </c>
      <c r="C36" s="15" t="s">
        <v>1997</v>
      </c>
      <c r="D36" s="16" t="s">
        <v>24</v>
      </c>
      <c r="F36" s="15">
        <v>2.0</v>
      </c>
      <c r="G36" s="15" t="s">
        <v>1020</v>
      </c>
      <c r="H36" s="15" t="s">
        <v>70</v>
      </c>
    </row>
    <row r="37">
      <c r="A37" s="51" t="s">
        <v>1438</v>
      </c>
      <c r="B37" s="16" t="s">
        <v>2943</v>
      </c>
      <c r="C37" s="16" t="s">
        <v>37</v>
      </c>
      <c r="D37" s="16" t="s">
        <v>2944</v>
      </c>
      <c r="F37" s="15">
        <v>0.0</v>
      </c>
      <c r="G37" s="15" t="s">
        <v>1440</v>
      </c>
      <c r="H37" s="15" t="s">
        <v>70</v>
      </c>
      <c r="I37" s="16" t="s">
        <v>2945</v>
      </c>
    </row>
    <row r="38">
      <c r="E38" s="16" t="s">
        <v>2946</v>
      </c>
    </row>
    <row r="39">
      <c r="E39" s="16" t="s">
        <v>2947</v>
      </c>
    </row>
    <row r="41">
      <c r="E41" s="20" t="s">
        <v>2930</v>
      </c>
    </row>
    <row r="42">
      <c r="E42" s="20" t="s">
        <v>2931</v>
      </c>
    </row>
    <row r="43">
      <c r="E43" s="20" t="s">
        <v>2932</v>
      </c>
    </row>
    <row r="44">
      <c r="E44" s="20" t="s">
        <v>2933</v>
      </c>
    </row>
    <row r="45">
      <c r="E45" s="20" t="s">
        <v>2934</v>
      </c>
    </row>
    <row r="46">
      <c r="E46" s="16" t="s">
        <v>2948</v>
      </c>
    </row>
    <row r="47">
      <c r="E47" s="16" t="s">
        <v>2949</v>
      </c>
    </row>
    <row r="48">
      <c r="E48" s="16" t="s">
        <v>2950</v>
      </c>
    </row>
    <row r="50">
      <c r="E50" s="16" t="s">
        <v>2951</v>
      </c>
    </row>
    <row r="51">
      <c r="E51" s="16" t="s">
        <v>2952</v>
      </c>
    </row>
    <row r="52">
      <c r="E52" s="16" t="s">
        <v>2010</v>
      </c>
    </row>
    <row r="53">
      <c r="A53" s="16" t="s">
        <v>2953</v>
      </c>
      <c r="E53" s="16" t="s">
        <v>2954</v>
      </c>
    </row>
    <row r="54">
      <c r="E54" s="16" t="s">
        <v>2955</v>
      </c>
    </row>
    <row r="55">
      <c r="A55" s="16" t="s">
        <v>2956</v>
      </c>
      <c r="E55" s="16" t="s">
        <v>2957</v>
      </c>
    </row>
    <row r="56">
      <c r="A56" s="16" t="s">
        <v>2021</v>
      </c>
      <c r="E56" s="16" t="s">
        <v>2022</v>
      </c>
    </row>
    <row r="58">
      <c r="E58" s="16" t="s">
        <v>2958</v>
      </c>
    </row>
    <row r="59">
      <c r="E59" s="16" t="s">
        <v>2959</v>
      </c>
    </row>
    <row r="61">
      <c r="E61" s="16" t="s">
        <v>2960</v>
      </c>
    </row>
    <row r="63">
      <c r="E63" s="16" t="s">
        <v>2961</v>
      </c>
    </row>
    <row r="64">
      <c r="E64" s="16" t="s">
        <v>2962</v>
      </c>
    </row>
    <row r="65">
      <c r="B65" s="16" t="s">
        <v>2963</v>
      </c>
    </row>
    <row r="67">
      <c r="E67" s="16" t="s">
        <v>2964</v>
      </c>
    </row>
    <row r="68">
      <c r="A68" s="16" t="s">
        <v>2965</v>
      </c>
      <c r="E68" s="16" t="s">
        <v>2966</v>
      </c>
    </row>
    <row r="69">
      <c r="E69" s="16" t="s">
        <v>2967</v>
      </c>
    </row>
    <row r="70">
      <c r="E70" s="16" t="s">
        <v>2968</v>
      </c>
    </row>
    <row r="71">
      <c r="A71" s="16" t="s">
        <v>1593</v>
      </c>
      <c r="E71" s="16" t="s">
        <v>2969</v>
      </c>
    </row>
    <row r="72">
      <c r="E72" s="16" t="s">
        <v>2970</v>
      </c>
    </row>
    <row r="73">
      <c r="E73" s="16" t="s">
        <v>2971</v>
      </c>
    </row>
    <row r="74">
      <c r="E74" s="16" t="s">
        <v>2972</v>
      </c>
    </row>
    <row r="75">
      <c r="E75" s="16" t="s">
        <v>2973</v>
      </c>
    </row>
    <row r="76">
      <c r="E76" s="16" t="s">
        <v>2974</v>
      </c>
    </row>
    <row r="77">
      <c r="E77" s="16" t="s">
        <v>2975</v>
      </c>
    </row>
    <row r="78">
      <c r="E78" s="16" t="s">
        <v>2976</v>
      </c>
    </row>
    <row r="80">
      <c r="E80" s="16" t="s">
        <v>2977</v>
      </c>
    </row>
    <row r="82">
      <c r="E82" s="16" t="s">
        <v>2978</v>
      </c>
    </row>
    <row r="83">
      <c r="E83" s="16" t="s">
        <v>2979</v>
      </c>
    </row>
    <row r="84">
      <c r="E84" s="16" t="s">
        <v>2980</v>
      </c>
    </row>
    <row r="85">
      <c r="E85" s="16" t="s">
        <v>2981</v>
      </c>
    </row>
    <row r="86">
      <c r="E86" s="16" t="s">
        <v>2982</v>
      </c>
    </row>
    <row r="87">
      <c r="E87" s="16" t="s">
        <v>2983</v>
      </c>
    </row>
    <row r="89">
      <c r="E89" s="16" t="s">
        <v>2984</v>
      </c>
    </row>
    <row r="90">
      <c r="E90" s="16" t="s">
        <v>2985</v>
      </c>
    </row>
    <row r="92">
      <c r="E92" s="16" t="s">
        <v>2986</v>
      </c>
    </row>
    <row r="93">
      <c r="E93" s="16" t="s">
        <v>2987</v>
      </c>
    </row>
    <row r="94">
      <c r="A94" s="16" t="s">
        <v>2988</v>
      </c>
      <c r="E94" s="16" t="s">
        <v>2989</v>
      </c>
    </row>
    <row r="95">
      <c r="E95" s="29" t="s">
        <v>1971</v>
      </c>
    </row>
    <row r="96">
      <c r="E96" s="16" t="s">
        <v>2990</v>
      </c>
    </row>
    <row r="97">
      <c r="A97" s="16" t="s">
        <v>2991</v>
      </c>
      <c r="E97" s="16" t="s">
        <v>2992</v>
      </c>
    </row>
    <row r="98">
      <c r="E98" s="239" t="s">
        <v>2993</v>
      </c>
    </row>
    <row r="100">
      <c r="A100" s="16" t="s">
        <v>2994</v>
      </c>
    </row>
    <row r="102">
      <c r="A102" s="24"/>
      <c r="B102" s="16" t="s">
        <v>2995</v>
      </c>
      <c r="E102" s="16" t="s">
        <v>2996</v>
      </c>
      <c r="F102" s="7"/>
      <c r="G102" s="7"/>
      <c r="H102" s="7"/>
      <c r="I102" s="240"/>
      <c r="J102" s="9"/>
      <c r="K102" s="241"/>
      <c r="L102" s="21"/>
    </row>
    <row r="103">
      <c r="A103" s="16" t="s">
        <v>2997</v>
      </c>
    </row>
    <row r="104">
      <c r="A104" s="20" t="s">
        <v>2998</v>
      </c>
      <c r="B104" s="20" t="s">
        <v>2939</v>
      </c>
      <c r="C104" s="20" t="s">
        <v>1976</v>
      </c>
      <c r="E104" s="20" t="s">
        <v>2999</v>
      </c>
      <c r="G104" s="20">
        <v>2.0</v>
      </c>
      <c r="H104" s="20" t="s">
        <v>1014</v>
      </c>
      <c r="I104" s="16" t="s">
        <v>32</v>
      </c>
    </row>
    <row r="105">
      <c r="A105" s="22" t="s">
        <v>3000</v>
      </c>
      <c r="B105" s="98" t="s">
        <v>1690</v>
      </c>
      <c r="C105" s="9" t="s">
        <v>1708</v>
      </c>
      <c r="E105" s="7" t="s">
        <v>3001</v>
      </c>
      <c r="G105" s="9">
        <v>0.0</v>
      </c>
      <c r="H105" s="9" t="s">
        <v>3002</v>
      </c>
      <c r="I105" s="9" t="s">
        <v>32</v>
      </c>
    </row>
    <row r="106">
      <c r="A106" s="16" t="s">
        <v>3003</v>
      </c>
      <c r="B106" s="91" t="s">
        <v>1469</v>
      </c>
      <c r="C106" s="15" t="s">
        <v>380</v>
      </c>
      <c r="E106" s="16" t="s">
        <v>3004</v>
      </c>
      <c r="G106" s="15">
        <v>0.0</v>
      </c>
      <c r="H106" s="15" t="s">
        <v>1493</v>
      </c>
      <c r="I106" s="15" t="s">
        <v>70</v>
      </c>
    </row>
    <row r="107">
      <c r="A107" s="7" t="s">
        <v>3005</v>
      </c>
      <c r="B107" s="8" t="s">
        <v>21</v>
      </c>
      <c r="C107" s="9" t="s">
        <v>28</v>
      </c>
      <c r="E107" s="29" t="s">
        <v>89</v>
      </c>
      <c r="G107" s="9">
        <v>6.0</v>
      </c>
      <c r="H107" s="9" t="s">
        <v>62</v>
      </c>
      <c r="I107" s="9" t="s">
        <v>26</v>
      </c>
    </row>
    <row r="108">
      <c r="A108" s="16" t="s">
        <v>3006</v>
      </c>
      <c r="C108" s="16" t="s">
        <v>1579</v>
      </c>
      <c r="E108" s="16" t="s">
        <v>3007</v>
      </c>
      <c r="I108" s="16" t="s">
        <v>70</v>
      </c>
    </row>
  </sheetData>
  <drawing r:id="rId1"/>
</worksheet>
</file>