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<sst xmlns="http://schemas.openxmlformats.org/spreadsheetml/2006/main" count="8777" uniqueCount="3909">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</sst>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8"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359335572"/>
        <c:axId val="1111096832"/>
      </c:barChart>
      <c:catAx>
        <c:axId val="3593355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111096832"/>
      </c:catAx>
      <c:valAx>
        <c:axId val="11110968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35933557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f552819f-bae0-4fdc-aec9-3c948fadca96?index=0" TargetMode="External"/><Relationship Id="rId194" Type="http://schemas.openxmlformats.org/officeDocument/2006/relationships/hyperlink" Target="https://alpha.midjourney.com/jobs/04b6c714-4150-4b67-bc7b-3b77d214c80e?index=1" TargetMode="External"/><Relationship Id="rId193" Type="http://schemas.openxmlformats.org/officeDocument/2006/relationships/hyperlink" Target="https://alpha.midjourney.com/jobs/6b2dd4db-47bc-4351-b9cb-56165501015d?index=0" TargetMode="External"/><Relationship Id="rId192" Type="http://schemas.openxmlformats.org/officeDocument/2006/relationships/hyperlink" Target="https://alpha.midjourney.com/jobs/8b1af36f-4004-4f76-8321-39eadf6994de?index=1" TargetMode="External"/><Relationship Id="rId191" Type="http://schemas.openxmlformats.org/officeDocument/2006/relationships/hyperlink" Target="https://alpha.midjourney.com/jobs/93fb8cdb-1f21-49e7-be26-dc8ba099f499?index=3" TargetMode="External"/><Relationship Id="rId187" Type="http://schemas.openxmlformats.org/officeDocument/2006/relationships/hyperlink" Target="https://alpha.midjourney.com/jobs/26ae93ba-7660-44de-bc98-ff1f7b0710bb?index=0" TargetMode="External"/><Relationship Id="rId186" Type="http://schemas.openxmlformats.org/officeDocument/2006/relationships/hyperlink" Target="https://alpha.midjourney.com/jobs/9d3996dd-4cd9-4c61-9f0b-73b38822ab56?index=1" TargetMode="External"/><Relationship Id="rId185" Type="http://schemas.openxmlformats.org/officeDocument/2006/relationships/hyperlink" Target="https://alpha.midjourney.com/jobs/3583175b-766d-4e6f-b226-cb8e97cd3444?index=2" TargetMode="External"/><Relationship Id="rId184" Type="http://schemas.openxmlformats.org/officeDocument/2006/relationships/hyperlink" Target="https://alpha.midjourney.com/jobs/6cad6adc-2697-4145-bdf0-efa0bf788436?index=0" TargetMode="External"/><Relationship Id="rId189" Type="http://schemas.openxmlformats.org/officeDocument/2006/relationships/hyperlink" Target="https://alpha.midjourney.com/jobs/dc135f3d-8b66-4450-857e-ed4b64a3e949?index=1" TargetMode="External"/><Relationship Id="rId188" Type="http://schemas.openxmlformats.org/officeDocument/2006/relationships/hyperlink" Target="https://alpha.midjourney.com/jobs/add90753-1409-4816-a77b-7200b76c544f?index=3" TargetMode="External"/><Relationship Id="rId183" Type="http://schemas.openxmlformats.org/officeDocument/2006/relationships/hyperlink" Target="https://alpha.midjourney.com/jobs/6cad6adc-2697-4145-bdf0-efa0bf788436?index=2" TargetMode="External"/><Relationship Id="rId182" Type="http://schemas.openxmlformats.org/officeDocument/2006/relationships/hyperlink" Target="https://alpha.midjourney.com/jobs/30dad8d4-0f43-43a0-b5ad-94bc8b2c85d6?index=2" TargetMode="External"/><Relationship Id="rId181" Type="http://schemas.openxmlformats.org/officeDocument/2006/relationships/hyperlink" Target="https://alpha.midjourney.com/jobs/2c70cf34-6786-4493-bc7e-731c0f15efba?index=1" TargetMode="External"/><Relationship Id="rId180" Type="http://schemas.openxmlformats.org/officeDocument/2006/relationships/hyperlink" Target="https://alpha.midjourney.com/jobs/1113a14a-e98b-4368-b526-2939a08de537?index=2" TargetMode="External"/><Relationship Id="rId176" Type="http://schemas.openxmlformats.org/officeDocument/2006/relationships/hyperlink" Target="https://alpha.midjourney.com/jobs/f309aeec-173a-46f1-b16b-f5f15141815a?index=2" TargetMode="External"/><Relationship Id="rId175" Type="http://schemas.openxmlformats.org/officeDocument/2006/relationships/hyperlink" Target="https://alpha.midjourney.com/jobs/f309aeec-173a-46f1-b16b-f5f15141815a?index=0" TargetMode="External"/><Relationship Id="rId174" Type="http://schemas.openxmlformats.org/officeDocument/2006/relationships/hyperlink" Target="https://alpha.midjourney.com/jobs/fdd4f64e-d836-4c8f-9358-77cc88394b13?index=1" TargetMode="External"/><Relationship Id="rId173" Type="http://schemas.openxmlformats.org/officeDocument/2006/relationships/hyperlink" Target="https://alpha.midjourney.com/jobs/ccfe11ca-d68d-42dd-b1cd-d5aa6d3c9b8b?index=0" TargetMode="External"/><Relationship Id="rId179" Type="http://schemas.openxmlformats.org/officeDocument/2006/relationships/hyperlink" Target="https://alpha.midjourney.com/jobs/f14bf8bf-3033-40a6-9792-dd0d2005d4a4?index=1" TargetMode="External"/><Relationship Id="rId178" Type="http://schemas.openxmlformats.org/officeDocument/2006/relationships/hyperlink" Target="https://alpha.midjourney.com/jobs/f14bf8bf-3033-40a6-9792-dd0d2005d4a4?index=0" TargetMode="External"/><Relationship Id="rId177" Type="http://schemas.openxmlformats.org/officeDocument/2006/relationships/hyperlink" Target="https://alpha.midjourney.com/jobs/f14bf8bf-3033-40a6-9792-dd0d2005d4a4?index=2" TargetMode="External"/><Relationship Id="rId198" Type="http://schemas.openxmlformats.org/officeDocument/2006/relationships/hyperlink" Target="https://alpha.midjourney.com/jobs/f4b87c3a-3e3c-48fa-b94a-c0514613a2cd?index=3" TargetMode="External"/><Relationship Id="rId197" Type="http://schemas.openxmlformats.org/officeDocument/2006/relationships/hyperlink" Target="https://alpha.midjourney.com/jobs/a3b699ae-45ef-4e90-9cb6-6448c1dd6ef3?index=2" TargetMode="External"/><Relationship Id="rId196" Type="http://schemas.openxmlformats.org/officeDocument/2006/relationships/hyperlink" Target="https://alpha.midjourney.com/jobs/a3b699ae-45ef-4e90-9cb6-6448c1dd6ef3?index=3" TargetMode="External"/><Relationship Id="rId195" Type="http://schemas.openxmlformats.org/officeDocument/2006/relationships/hyperlink" Target="https://alpha.midjourney.com/jobs/fef152fe-a54f-4993-8c0b-bdc6b255ff50?index=1" TargetMode="External"/><Relationship Id="rId199" Type="http://schemas.openxmlformats.org/officeDocument/2006/relationships/hyperlink" Target="https://alpha.midjourney.com/jobs/cea0e01e-1930-45b5-b5c8-3ad52ddb3142?index=3" TargetMode="External"/><Relationship Id="rId150" Type="http://schemas.openxmlformats.org/officeDocument/2006/relationships/hyperlink" Target="https://alpha.midjourney.com/jobs/9b9f1932-7b85-4dc2-b89b-c5db313881fe?index=1" TargetMode="External"/><Relationship Id="rId392" Type="http://schemas.openxmlformats.org/officeDocument/2006/relationships/hyperlink" Target="https://alpha.midjourney.com/jobs/7ab22aed-daaa-486c-bcb0-51549f984fe3?index=0" TargetMode="External"/><Relationship Id="rId391" Type="http://schemas.openxmlformats.org/officeDocument/2006/relationships/hyperlink" Target="https://alpha.midjourney.com/jobs/670cd204-5704-4f12-9125-5eb354177f5f?index=2" TargetMode="External"/><Relationship Id="rId390" Type="http://schemas.openxmlformats.org/officeDocument/2006/relationships/hyperlink" Target="https://alpha.midjourney.com/jobs/710d0cf8-ce38-4aa4-b3f2-876f350c95e5?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7f8b1ac-677e-491b-803f-a08321d0a5b3?index=0"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7e117333-a3b5-48ce-84fb-ea1d5889f52c?index=3" TargetMode="External"/><Relationship Id="rId1090" Type="http://schemas.openxmlformats.org/officeDocument/2006/relationships/hyperlink" Target="https://www.midjourney.com/jobs/04324003-0364-4d0e-b28e-cb9f4a2554e2?index=0" TargetMode="External"/><Relationship Id="rId1091" Type="http://schemas.openxmlformats.org/officeDocument/2006/relationships/hyperlink" Target="https://www.midjourney.com/jobs/04324003-0364-4d0e-b28e-cb9f4a2554e2?index=2" TargetMode="External"/><Relationship Id="rId1092" Type="http://schemas.openxmlformats.org/officeDocument/2006/relationships/hyperlink" Target="https://www.midjourney.com/jobs/04324003-0364-4d0e-b28e-cb9f4a2554e2?index=3" TargetMode="External"/><Relationship Id="rId1093" Type="http://schemas.openxmlformats.org/officeDocument/2006/relationships/hyperlink" Target="https://www.midjourney.com/jobs/af796306-fa16-40f5-9f28-2a1b84a1f3ab?index=1" TargetMode="External"/><Relationship Id="rId1094" Type="http://schemas.openxmlformats.org/officeDocument/2006/relationships/hyperlink" Target="https://alpha.midjourney.com/jobs/59c7ae58-6a09-4071-8a6a-a1426eab4e33?index=1"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522c30ba-cd4c-47ac-8df5-bc6a0c728eef?index=0" TargetMode="External"/><Relationship Id="rId385" Type="http://schemas.openxmlformats.org/officeDocument/2006/relationships/hyperlink" Target="https://alpha.midjourney.com/jobs/dabe2c88-7609-4d23-9be4-b6d03f5043ec?index=2" TargetMode="External"/><Relationship Id="rId1095" Type="http://schemas.openxmlformats.org/officeDocument/2006/relationships/hyperlink" Target="https://alpha.midjourney.com/jobs/da19a824-d14c-4a54-a391-578888344be6?index=1" TargetMode="External"/><Relationship Id="rId142" Type="http://schemas.openxmlformats.org/officeDocument/2006/relationships/hyperlink" Target="https://alpha.midjourney.com/jobs/c5421a0e-601f-4a74-bd6d-431efe095978?index=2" TargetMode="External"/><Relationship Id="rId384" Type="http://schemas.openxmlformats.org/officeDocument/2006/relationships/hyperlink" Target="https://alpha.midjourney.com/jobs/5764c6a2-ac2a-45d1-bd44-3056e5b71fde?index=3" TargetMode="External"/><Relationship Id="rId1096" Type="http://schemas.openxmlformats.org/officeDocument/2006/relationships/hyperlink" Target="https://alpha.midjourney.com/jobs/1fe6ccf7-d448-4bee-a8e3-5f50fd6ab56b?index=3" TargetMode="External"/><Relationship Id="rId141" Type="http://schemas.openxmlformats.org/officeDocument/2006/relationships/hyperlink" Target="https://alpha.midjourney.com/jobs/3506fd93-a468-430b-b68e-56e0adb3bfa1?index=3" TargetMode="External"/><Relationship Id="rId383" Type="http://schemas.openxmlformats.org/officeDocument/2006/relationships/hyperlink" Target="https://alpha.midjourney.com/jobs/83e9cfe5-7b3e-4733-9009-d3e420db215a?index=1" TargetMode="External"/><Relationship Id="rId1097" Type="http://schemas.openxmlformats.org/officeDocument/2006/relationships/hyperlink" Target="https://www.midjourney.com/jobs/9d276849-3be7-4a19-8a23-be0e88fd505b?index=0" TargetMode="External"/><Relationship Id="rId140" Type="http://schemas.openxmlformats.org/officeDocument/2006/relationships/hyperlink" Target="https://alpha.midjourney.com/jobs/bd88a85c-62e5-4ed4-9515-3411b61e2af9?index=2" TargetMode="External"/><Relationship Id="rId382" Type="http://schemas.openxmlformats.org/officeDocument/2006/relationships/hyperlink" Target="https://alpha.midjourney.com/jobs/de56f839-6491-46cf-880d-6d928a2517da?index=0" TargetMode="External"/><Relationship Id="rId1098" Type="http://schemas.openxmlformats.org/officeDocument/2006/relationships/hyperlink" Target="https://www.midjourney.com/jobs/9d276849-3be7-4a19-8a23-be0e88fd505b?index=2"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438c9cc-d782-4fee-9713-d3f301d7df3e?index=1" TargetMode="External"/><Relationship Id="rId389" Type="http://schemas.openxmlformats.org/officeDocument/2006/relationships/hyperlink" Target="https://alpha.midjourney.com/jobs/13f74e45-15bf-4673-a15e-3672c00526da?index=2" TargetMode="External"/><Relationship Id="rId1099" Type="http://schemas.openxmlformats.org/officeDocument/2006/relationships/hyperlink" Target="https://www.midjourney.com/jobs/9d276849-3be7-4a19-8a23-be0e88fd505b?index=3"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6364f253-c9ef-441f-a5a5-5cd35f3f48b4?index=1" TargetMode="External"/><Relationship Id="rId388" Type="http://schemas.openxmlformats.org/officeDocument/2006/relationships/hyperlink" Target="https://alpha.midjourney.com/jobs/b3f1d5b4-d271-4bb7-9615-dec247ec2937?index=0"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2" TargetMode="External"/><Relationship Id="rId387" Type="http://schemas.openxmlformats.org/officeDocument/2006/relationships/hyperlink" Target="https://alpha.midjourney.com/jobs/16ee0dc4-08e6-49e0-be6c-5041c7b5d4f9?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f9350fe6-d4bf-4a09-be2d-6d486b1be787?index=3" TargetMode="External"/><Relationship Id="rId386" Type="http://schemas.openxmlformats.org/officeDocument/2006/relationships/hyperlink" Target="https://alpha.midjourney.com/jobs/22f743bd-9c45-49eb-bcae-584391aba2aa?index=1" TargetMode="External"/><Relationship Id="rId381" Type="http://schemas.openxmlformats.org/officeDocument/2006/relationships/hyperlink" Target="https://alpha.midjourney.com/jobs/032d003e-cfc5-416a-b659-1bdded298c0e?index=1" TargetMode="External"/><Relationship Id="rId380" Type="http://schemas.openxmlformats.org/officeDocument/2006/relationships/hyperlink" Target="https://alpha.midjourney.com/jobs/1c379fb0-c7fe-4bce-a2e2-c1046dca0a59?index=0" TargetMode="External"/><Relationship Id="rId139" Type="http://schemas.openxmlformats.org/officeDocument/2006/relationships/hyperlink" Target="https://alpha.midjourney.com/jobs/9bfd0617-c169-4772-bad8-21583764dcf1?index=1" TargetMode="External"/><Relationship Id="rId138" Type="http://schemas.openxmlformats.org/officeDocument/2006/relationships/hyperlink" Target="https://alpha.midjourney.com/jobs/3583fb04-e10f-4436-a53d-ac6033c51e68?index=3" TargetMode="External"/><Relationship Id="rId137" Type="http://schemas.openxmlformats.org/officeDocument/2006/relationships/hyperlink" Target="https://alpha.midjourney.com/jobs/b96d47c1-e03b-4dad-bc97-123945866ebe?index=3" TargetMode="External"/><Relationship Id="rId379" Type="http://schemas.openxmlformats.org/officeDocument/2006/relationships/hyperlink" Target="https://alpha.midjourney.com/jobs/1c379fb0-c7fe-4bce-a2e2-c1046dca0a59?index=1" TargetMode="External"/><Relationship Id="rId1080" Type="http://schemas.openxmlformats.org/officeDocument/2006/relationships/hyperlink" Target="https://www.midjourney.com/jobs/07eb6c29-8494-4c11-a4e7-b612a9696f60?index=1" TargetMode="External"/><Relationship Id="rId1081" Type="http://schemas.openxmlformats.org/officeDocument/2006/relationships/hyperlink" Target="https://www.midjourney.com/jobs/d0b52e1f-9803-4fca-8f47-ba7ad90ee845?index=2" TargetMode="External"/><Relationship Id="rId1082" Type="http://schemas.openxmlformats.org/officeDocument/2006/relationships/hyperlink" Target="https://www.midjourney.com/jobs/d0b52e1f-9803-4fca-8f47-ba7ad90ee845?index=3" TargetMode="External"/><Relationship Id="rId1083" Type="http://schemas.openxmlformats.org/officeDocument/2006/relationships/hyperlink" Target="https://alpha.midjourney.com/jobs/a99b1741-b111-4248-829f-0c1bd54503ed?index=0" TargetMode="External"/><Relationship Id="rId132" Type="http://schemas.openxmlformats.org/officeDocument/2006/relationships/hyperlink" Target="https://alpha.midjourney.com/jobs/a0c2bdad-9975-4339-8646-d109edd1ea08?index=0" TargetMode="External"/><Relationship Id="rId374" Type="http://schemas.openxmlformats.org/officeDocument/2006/relationships/hyperlink" Target="https://alpha.midjourney.com/jobs/a170f085-c1ab-4b23-aea1-faf04144ff38?index=2" TargetMode="External"/><Relationship Id="rId1084" Type="http://schemas.openxmlformats.org/officeDocument/2006/relationships/hyperlink" Target="https://alpha.midjourney.com/jobs/6187a666-31cd-4f01-8888-75bfdff1df9e?index=3" TargetMode="External"/><Relationship Id="rId131" Type="http://schemas.openxmlformats.org/officeDocument/2006/relationships/hyperlink" Target="https://alpha.midjourney.com/jobs/05e7dc87-7c7f-400d-b1d6-3bce616d0bfb?index=0" TargetMode="External"/><Relationship Id="rId373" Type="http://schemas.openxmlformats.org/officeDocument/2006/relationships/hyperlink" Target="https://alpha.midjourney.com/jobs/f91ee4b3-b0aa-4bb2-9123-cfc51a3d7303?index=1" TargetMode="External"/><Relationship Id="rId1085" Type="http://schemas.openxmlformats.org/officeDocument/2006/relationships/hyperlink" Target="https://www.midjourney.com/jobs/b701efe8-1aeb-4fc1-b2fd-54656d5acc9b?index=2" TargetMode="External"/><Relationship Id="rId130" Type="http://schemas.openxmlformats.org/officeDocument/2006/relationships/hyperlink" Target="https://alpha.midjourney.com/jobs/a530c54d-e253-4627-adf2-00999c92b877?index=1" TargetMode="External"/><Relationship Id="rId372" Type="http://schemas.openxmlformats.org/officeDocument/2006/relationships/hyperlink" Target="https://alpha.midjourney.com/jobs/f91ee4b3-b0aa-4bb2-9123-cfc51a3d7303?index=3" TargetMode="External"/><Relationship Id="rId1086" Type="http://schemas.openxmlformats.org/officeDocument/2006/relationships/hyperlink" Target="https://www.midjourney.com/jobs/79bb5089-1ab6-4752-ac4e-59d397d4af89?index=1" TargetMode="External"/><Relationship Id="rId371" Type="http://schemas.openxmlformats.org/officeDocument/2006/relationships/hyperlink" Target="https://alpha.midjourney.com/jobs/739a58d2-3c6f-4364-ab8f-ebafeec197d5?index=3" TargetMode="External"/><Relationship Id="rId1087" Type="http://schemas.openxmlformats.org/officeDocument/2006/relationships/hyperlink" Target="https://alpha.midjourney.com/jobs/cf46465e-f1fe-4ad1-9a22-d2f2c23152c8?index=2" TargetMode="External"/><Relationship Id="rId136" Type="http://schemas.openxmlformats.org/officeDocument/2006/relationships/hyperlink" Target="https://alpha.midjourney.com/jobs/05e7dc87-7c7f-400d-b1d6-3bce616d0bfb?index=2" TargetMode="External"/><Relationship Id="rId378" Type="http://schemas.openxmlformats.org/officeDocument/2006/relationships/hyperlink" Target="https://alpha.midjourney.com/jobs/1c379fb0-c7fe-4bce-a2e2-c1046dca0a59?index=3" TargetMode="External"/><Relationship Id="rId1088" Type="http://schemas.openxmlformats.org/officeDocument/2006/relationships/hyperlink" Target="https://alpha.midjourney.com/jobs/545832a5-4e1f-4949-aca7-4291f78e5697?index=0" TargetMode="External"/><Relationship Id="rId135" Type="http://schemas.openxmlformats.org/officeDocument/2006/relationships/hyperlink" Target="https://alpha.midjourney.com/jobs/e7a204c6-76d5-4cd7-9a02-e06393503315?index=0" TargetMode="External"/><Relationship Id="rId377" Type="http://schemas.openxmlformats.org/officeDocument/2006/relationships/hyperlink" Target="https://alpha.midjourney.com/jobs/adc32e83-6c11-4fea-aa3c-a9e40440b22b?index=2" TargetMode="External"/><Relationship Id="rId1089" Type="http://schemas.openxmlformats.org/officeDocument/2006/relationships/hyperlink" Target="https://www.midjourney.com/jobs/6c58f11f-2c5c-4343-bafa-89c85f0d6bab?index=0" TargetMode="External"/><Relationship Id="rId134" Type="http://schemas.openxmlformats.org/officeDocument/2006/relationships/hyperlink" Target="https://alpha.midjourney.com/jobs/36d433e2-f591-4ea5-b62a-5cb266b18ca8?index=3" TargetMode="External"/><Relationship Id="rId376" Type="http://schemas.openxmlformats.org/officeDocument/2006/relationships/hyperlink" Target="https://alpha.midjourney.com/jobs/2713d2d8-5a8c-4b9f-af7c-dd8ed118c60f?index=2" TargetMode="External"/><Relationship Id="rId133" Type="http://schemas.openxmlformats.org/officeDocument/2006/relationships/hyperlink" Target="https://alpha.midjourney.com/jobs/e7a204c6-76d5-4cd7-9a02-e06393503315?index=2" TargetMode="External"/><Relationship Id="rId375" Type="http://schemas.openxmlformats.org/officeDocument/2006/relationships/hyperlink" Target="https://alpha.midjourney.com/jobs/16150944-ed00-466a-95ad-d8a577ce77a6?index=1" TargetMode="External"/><Relationship Id="rId172" Type="http://schemas.openxmlformats.org/officeDocument/2006/relationships/hyperlink" Target="https://alpha.midjourney.com/jobs/ccfe11ca-d68d-42dd-b1cd-d5aa6d3c9b8b?index=2" TargetMode="External"/><Relationship Id="rId171" Type="http://schemas.openxmlformats.org/officeDocument/2006/relationships/hyperlink" Target="https://alpha.midjourney.com/jobs/3e4015d3-c57e-4d12-9ddb-df5fcfb9d19d?index=0" TargetMode="External"/><Relationship Id="rId170" Type="http://schemas.openxmlformats.org/officeDocument/2006/relationships/hyperlink" Target="https://alpha.midjourney.com/jobs/1368b59f-6a3a-4f37-b704-dc0023c5a39b?index=3" TargetMode="External"/><Relationship Id="rId165" Type="http://schemas.openxmlformats.org/officeDocument/2006/relationships/hyperlink" Target="https://alpha.midjourney.com/jobs/7c0c6fe5-3d11-46e9-9fb2-27a3e4ad98d5?index=0" TargetMode="External"/><Relationship Id="rId164" Type="http://schemas.openxmlformats.org/officeDocument/2006/relationships/hyperlink" Target="https://alpha.midjourney.com/jobs/7c0c6fe5-3d11-46e9-9fb2-27a3e4ad98d5?index=3" TargetMode="External"/><Relationship Id="rId163" Type="http://schemas.openxmlformats.org/officeDocument/2006/relationships/hyperlink" Target="https://alpha.midjourney.com/jobs/9f273a40-8ff4-4686-8521-a3d630b0eaf9?index=1" TargetMode="External"/><Relationship Id="rId162" Type="http://schemas.openxmlformats.org/officeDocument/2006/relationships/hyperlink" Target="https://alpha.midjourney.com/jobs/a9cd8a18-681f-4ef7-927f-65a2d9169d26?index=0" TargetMode="External"/><Relationship Id="rId169" Type="http://schemas.openxmlformats.org/officeDocument/2006/relationships/hyperlink" Target="https://alpha.midjourney.com/jobs/1368b59f-6a3a-4f37-b704-dc0023c5a39b?index=0" TargetMode="External"/><Relationship Id="rId168" Type="http://schemas.openxmlformats.org/officeDocument/2006/relationships/hyperlink" Target="https://alpha.midjourney.com/jobs/a4c0044f-a986-4aa9-87bf-000b67966a4b?index=0" TargetMode="External"/><Relationship Id="rId167" Type="http://schemas.openxmlformats.org/officeDocument/2006/relationships/hyperlink" Target="https://alpha.midjourney.com/jobs/7a2e29fb-bd98-4d30-88b2-8bfee70c4a47?index=0" TargetMode="External"/><Relationship Id="rId166" Type="http://schemas.openxmlformats.org/officeDocument/2006/relationships/hyperlink" Target="https://alpha.midjourney.com/jobs/e3dc4ec9-31d3-451f-b89d-f3942b80c042?index=2" TargetMode="External"/><Relationship Id="rId161" Type="http://schemas.openxmlformats.org/officeDocument/2006/relationships/hyperlink" Target="https://alpha.midjourney.com/jobs/bce87206-d1bc-4ae5-b2a8-99df10be783b?index=2" TargetMode="External"/><Relationship Id="rId160" Type="http://schemas.openxmlformats.org/officeDocument/2006/relationships/hyperlink" Target="https://alpha.midjourney.com/jobs/bce87206-d1bc-4ae5-b2a8-99df10be783b?index=3" TargetMode="External"/><Relationship Id="rId159" Type="http://schemas.openxmlformats.org/officeDocument/2006/relationships/hyperlink" Target="https://alpha.midjourney.com/jobs/8fbe44e4-705c-4ee4-adbc-6e435546facc?index=3" TargetMode="External"/><Relationship Id="rId154" Type="http://schemas.openxmlformats.org/officeDocument/2006/relationships/hyperlink" Target="https://alpha.midjourney.com/jobs/ecf46218-d382-4bbc-897b-729a460f33de?index=0" TargetMode="External"/><Relationship Id="rId396" Type="http://schemas.openxmlformats.org/officeDocument/2006/relationships/hyperlink" Target="https://alpha.midjourney.com/jobs/c57f1fec-7402-4dfa-a0da-3df1bc5a18a7?index=2" TargetMode="External"/><Relationship Id="rId153" Type="http://schemas.openxmlformats.org/officeDocument/2006/relationships/hyperlink" Target="https://alpha.midjourney.com/jobs/c55ff963-8780-49f5-820d-fdb412bd03ab?index=3" TargetMode="External"/><Relationship Id="rId395" Type="http://schemas.openxmlformats.org/officeDocument/2006/relationships/hyperlink" Target="https://alpha.midjourney.com/jobs/c01595f3-8df5-40fb-ad79-c4ab3f4993bf?index=3" TargetMode="External"/><Relationship Id="rId152" Type="http://schemas.openxmlformats.org/officeDocument/2006/relationships/hyperlink" Target="https://alpha.midjourney.com/jobs/e476fa49-0867-4ba0-b9df-543b391f48db?index=0" TargetMode="External"/><Relationship Id="rId394" Type="http://schemas.openxmlformats.org/officeDocument/2006/relationships/hyperlink" Target="https://alpha.midjourney.com/jobs/eca24b96-706c-4dc3-98e0-b7e7167890f1?index=1" TargetMode="External"/><Relationship Id="rId151" Type="http://schemas.openxmlformats.org/officeDocument/2006/relationships/hyperlink" Target="https://alpha.midjourney.com/jobs/97d76fab-e567-498a-9cd5-fce2669c45a7?index=1" TargetMode="External"/><Relationship Id="rId393" Type="http://schemas.openxmlformats.org/officeDocument/2006/relationships/hyperlink" Target="https://alpha.midjourney.com/jobs/22bb3e8d-5c52-4c44-8587-02c99977f143?index=0" TargetMode="External"/><Relationship Id="rId158" Type="http://schemas.openxmlformats.org/officeDocument/2006/relationships/hyperlink" Target="https://alpha.midjourney.com/jobs/f82cb067-a26e-43e4-a7b7-872ad83abf92?index=1" TargetMode="External"/><Relationship Id="rId157" Type="http://schemas.openxmlformats.org/officeDocument/2006/relationships/hyperlink" Target="https://alpha.midjourney.com/jobs/41adfac4-fb2e-4621-a9ff-3a8e7c83e591?index=3" TargetMode="External"/><Relationship Id="rId399" Type="http://schemas.openxmlformats.org/officeDocument/2006/relationships/hyperlink" Target="https://alpha.midjourney.com/jobs/23732ab2-74d0-4739-baaf-5e6c23e8873a?index=0" TargetMode="External"/><Relationship Id="rId156" Type="http://schemas.openxmlformats.org/officeDocument/2006/relationships/hyperlink" Target="https://alpha.midjourney.com/jobs/960b0142-dad3-4a5e-9497-c50337bfa517?index=0" TargetMode="External"/><Relationship Id="rId398" Type="http://schemas.openxmlformats.org/officeDocument/2006/relationships/hyperlink" Target="https://alpha.midjourney.com/jobs/f04b4fbf-83ad-4f50-9c3a-68843e69ef11?index=2" TargetMode="External"/><Relationship Id="rId155" Type="http://schemas.openxmlformats.org/officeDocument/2006/relationships/hyperlink" Target="https://alpha.midjourney.com/jobs/02663ec4-f725-4dc6-b3bf-a41c24089531?index=2" TargetMode="External"/><Relationship Id="rId397" Type="http://schemas.openxmlformats.org/officeDocument/2006/relationships/hyperlink" Target="https://alpha.midjourney.com/jobs/89af2c6d-773c-4b37-a02a-c29797ab5507?index=2" TargetMode="External"/><Relationship Id="rId808" Type="http://schemas.openxmlformats.org/officeDocument/2006/relationships/hyperlink" Target="https://alpha.midjourney.com/jobs/7bcd0fa6-fe66-4b08-9ad7-979d61cc9e92?index=3" TargetMode="External"/><Relationship Id="rId807" Type="http://schemas.openxmlformats.org/officeDocument/2006/relationships/hyperlink" Target="https://alpha.midjourney.com/jobs/247d054f-e364-4ce1-b670-1b47270f9559?index=0" TargetMode="External"/><Relationship Id="rId806" Type="http://schemas.openxmlformats.org/officeDocument/2006/relationships/hyperlink" Target="https://alpha.midjourney.com/jobs/d3af5807-e0fe-4edb-b5aa-14e19625ff05?index=0" TargetMode="External"/><Relationship Id="rId805" Type="http://schemas.openxmlformats.org/officeDocument/2006/relationships/hyperlink" Target="https://alpha.midjourney.com/jobs/1cfc858c-6584-4a4c-851f-996f2b733b93?index=2" TargetMode="External"/><Relationship Id="rId809" Type="http://schemas.openxmlformats.org/officeDocument/2006/relationships/hyperlink" Target="https://alpha.midjourney.com/jobs/2306b48b-d456-4855-b8c7-c47b3ff07136?index=0" TargetMode="External"/><Relationship Id="rId800" Type="http://schemas.openxmlformats.org/officeDocument/2006/relationships/hyperlink" Target="https://alpha.midjourney.com/jobs/5af8b654-da9f-4dd4-a0df-9904431dd0aa?index=1" TargetMode="External"/><Relationship Id="rId804" Type="http://schemas.openxmlformats.org/officeDocument/2006/relationships/hyperlink" Target="https://alpha.midjourney.com/jobs/40745ea9-ba83-47ff-bca6-6735764dd00a?index=1" TargetMode="External"/><Relationship Id="rId803" Type="http://schemas.openxmlformats.org/officeDocument/2006/relationships/hyperlink" Target="https://alpha.midjourney.com/jobs/9e8e75e3-f444-4abc-a658-3223aea1bd47?index=3" TargetMode="External"/><Relationship Id="rId802" Type="http://schemas.openxmlformats.org/officeDocument/2006/relationships/hyperlink" Target="https://alpha.midjourney.com/jobs/a5c44eb7-da14-41f3-9224-3efecd944123?index=3" TargetMode="External"/><Relationship Id="rId801" Type="http://schemas.openxmlformats.org/officeDocument/2006/relationships/hyperlink" Target="https://alpha.midjourney.com/jobs/0fb05a95-0a81-4b72-945d-5c058c4700f5?index=1"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e4ab81e9-3fd7-4319-9c94-67577b4742fc?index=1" TargetMode="External"/><Relationship Id="rId508" Type="http://schemas.openxmlformats.org/officeDocument/2006/relationships/hyperlink" Target="https://alpha.midjourney.com/jobs/721910bd-16ac-4a72-aa68-a72421d90c86?index=1" TargetMode="External"/><Relationship Id="rId503" Type="http://schemas.openxmlformats.org/officeDocument/2006/relationships/hyperlink" Target="https://alpha.midjourney.com/jobs/21d93227-da2e-4a58-8af8-8d84f202d465?index=1" TargetMode="External"/><Relationship Id="rId745" Type="http://schemas.openxmlformats.org/officeDocument/2006/relationships/hyperlink" Target="https://alpha.midjourney.com/jobs/780c6c09-f30e-4cb3-8a30-4443378dec71?index=0" TargetMode="External"/><Relationship Id="rId987" Type="http://schemas.openxmlformats.org/officeDocument/2006/relationships/hyperlink" Target="https://alpha.midjourney.com/jobs/1857e517-7bc2-42e1-a0a0-89f8cc4d995f?index=3" TargetMode="External"/><Relationship Id="rId502" Type="http://schemas.openxmlformats.org/officeDocument/2006/relationships/hyperlink" Target="https://alpha.midjourney.com/jobs/66f83bd6-353d-4924-b469-c22fdaf65162?index=2" TargetMode="External"/><Relationship Id="rId744" Type="http://schemas.openxmlformats.org/officeDocument/2006/relationships/hyperlink" Target="https://alpha.midjourney.com/jobs/ab75823b-9baa-4dd1-93d4-da7a883484e3?index=3" TargetMode="External"/><Relationship Id="rId986" Type="http://schemas.openxmlformats.org/officeDocument/2006/relationships/hyperlink" Target="https://alpha.midjourney.com/jobs/867b819c-c829-47c3-8610-fd48d857e853?index=3" TargetMode="External"/><Relationship Id="rId501" Type="http://schemas.openxmlformats.org/officeDocument/2006/relationships/hyperlink" Target="https://alpha.midjourney.com/jobs/64fe4f62-cd24-4b28-8008-3a9184077878?index=1" TargetMode="External"/><Relationship Id="rId743" Type="http://schemas.openxmlformats.org/officeDocument/2006/relationships/hyperlink" Target="https://alpha.midjourney.com/jobs/d5fcdaf9-cde7-4aae-8f10-dfa0563034ad?index=2" TargetMode="External"/><Relationship Id="rId985" Type="http://schemas.openxmlformats.org/officeDocument/2006/relationships/hyperlink" Target="https://alpha.midjourney.com/jobs/efb0be74-b35e-4482-a701-ff734799e7ee?index=0" TargetMode="External"/><Relationship Id="rId500" Type="http://schemas.openxmlformats.org/officeDocument/2006/relationships/hyperlink" Target="https://alpha.midjourney.com/jobs/2d36ed03-9eb8-4873-a6b6-490fa41bd145?index=2" TargetMode="External"/><Relationship Id="rId742" Type="http://schemas.openxmlformats.org/officeDocument/2006/relationships/hyperlink" Target="https://alpha.midjourney.com/jobs/75af3cd1-ca14-49e1-b440-992c90605717?index=2" TargetMode="External"/><Relationship Id="rId984" Type="http://schemas.openxmlformats.org/officeDocument/2006/relationships/hyperlink" Target="https://alpha.midjourney.com/jobs/6a991d4a-f22b-4402-b948-a154d276644d?index=2" TargetMode="External"/><Relationship Id="rId507" Type="http://schemas.openxmlformats.org/officeDocument/2006/relationships/hyperlink" Target="https://alpha.midjourney.com/jobs/59597b80-8b3f-4d4b-806c-dcf5365bda0f?index=2" TargetMode="External"/><Relationship Id="rId749" Type="http://schemas.openxmlformats.org/officeDocument/2006/relationships/hyperlink" Target="https://alpha.midjourney.com/jobs/5b91328b-1723-4e9a-ae74-e0d94368bbd9?index=3" TargetMode="External"/><Relationship Id="rId506" Type="http://schemas.openxmlformats.org/officeDocument/2006/relationships/hyperlink" Target="https://alpha.midjourney.com/jobs/2148c090-768e-48c9-837a-fed7af76f1c3?index=1" TargetMode="External"/><Relationship Id="rId748" Type="http://schemas.openxmlformats.org/officeDocument/2006/relationships/hyperlink" Target="https://alpha.midjourney.com/jobs/22809f0a-08dc-4f64-98a8-4404c4ab27ff?index=1" TargetMode="External"/><Relationship Id="rId505" Type="http://schemas.openxmlformats.org/officeDocument/2006/relationships/hyperlink" Target="https://alpha.midjourney.com/jobs/57f88d60-31a2-4dbc-a2ac-7dd5f12faad2?index=1" TargetMode="External"/><Relationship Id="rId747" Type="http://schemas.openxmlformats.org/officeDocument/2006/relationships/hyperlink" Target="https://alpha.midjourney.com/jobs/8eb1f4bb-2550-4963-a72a-d88c5b4f19b8?index=2" TargetMode="External"/><Relationship Id="rId989" Type="http://schemas.openxmlformats.org/officeDocument/2006/relationships/hyperlink" Target="https://alpha.midjourney.com/jobs/7e20bff2-8427-472d-840d-979a0755b2c8?index=0" TargetMode="External"/><Relationship Id="rId504" Type="http://schemas.openxmlformats.org/officeDocument/2006/relationships/hyperlink" Target="https://alpha.midjourney.com/jobs/de56e6d6-8aad-4bd2-87f9-f0c5f1ec9d8d?index=0" TargetMode="External"/><Relationship Id="rId746" Type="http://schemas.openxmlformats.org/officeDocument/2006/relationships/hyperlink" Target="https://alpha.midjourney.com/jobs/76923fb4-99d5-49ce-b188-049f29fd9fa0?index=1" TargetMode="External"/><Relationship Id="rId988" Type="http://schemas.openxmlformats.org/officeDocument/2006/relationships/hyperlink" Target="https://alpha.midjourney.com/jobs/07e23a6a-3294-407c-8982-8715f39c9382?index=2"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35fabae1-ed92-4f52-bfc3-0eabddefa806?index=0" TargetMode="External"/><Relationship Id="rId983" Type="http://schemas.openxmlformats.org/officeDocument/2006/relationships/hyperlink" Target="https://alpha.midjourney.com/jobs/9e7e3a54-7034-42ee-ac74-f645c0872798?index=0" TargetMode="External"/><Relationship Id="rId740" Type="http://schemas.openxmlformats.org/officeDocument/2006/relationships/hyperlink" Target="https://alpha.midjourney.com/jobs/c0215ff7-e632-4301-8717-be673fdf5103?index=2" TargetMode="External"/><Relationship Id="rId982" Type="http://schemas.openxmlformats.org/officeDocument/2006/relationships/hyperlink" Target="https://alpha.midjourney.com/jobs/0e43359b-9b3e-4c45-beaf-af7d4832e628?index=0" TargetMode="External"/><Relationship Id="rId981" Type="http://schemas.openxmlformats.org/officeDocument/2006/relationships/hyperlink" Target="https://alpha.midjourney.com/jobs/0e43359b-9b3e-4c45-beaf-af7d4832e628?index=1" TargetMode="External"/><Relationship Id="rId980" Type="http://schemas.openxmlformats.org/officeDocument/2006/relationships/hyperlink" Target="https://alpha.midjourney.com/jobs/1ac0e8f7-151e-4422-8b8c-bf61ba5d1a53?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51d5c956-0945-49dd-ac85-28c30aa2553b?index=2" TargetMode="External"/><Relationship Id="rId734" Type="http://schemas.openxmlformats.org/officeDocument/2006/relationships/hyperlink" Target="https://alpha.midjourney.com/jobs/a3057994-a1cb-4ea6-a496-3064fe982b59?index=1" TargetMode="External"/><Relationship Id="rId976" Type="http://schemas.openxmlformats.org/officeDocument/2006/relationships/hyperlink" Target="https://alpha.midjourney.com/jobs/02156549-476b-4ac1-89d0-6b01a7fbac8a?index=1" TargetMode="External"/><Relationship Id="rId733" Type="http://schemas.openxmlformats.org/officeDocument/2006/relationships/hyperlink" Target="https://alpha.midjourney.com/jobs/19cdbc49-22ba-49f0-a7bf-adcb3a185fc5?index=2" TargetMode="External"/><Relationship Id="rId975" Type="http://schemas.openxmlformats.org/officeDocument/2006/relationships/hyperlink" Target="https://alpha.midjourney.com/jobs/263933fc-4153-44f6-a3cf-efe1c103b9c2?index=1" TargetMode="External"/><Relationship Id="rId732" Type="http://schemas.openxmlformats.org/officeDocument/2006/relationships/hyperlink" Target="https://alpha.midjourney.com/jobs/77ddb1fb-6d27-41fd-91a0-1490b1e96fd3?index=3" TargetMode="External"/><Relationship Id="rId974" Type="http://schemas.openxmlformats.org/officeDocument/2006/relationships/hyperlink" Target="https://alpha.midjourney.com/jobs/c7659340-8595-49ab-87e8-84787ee78ffd?index=2" TargetMode="External"/><Relationship Id="rId731" Type="http://schemas.openxmlformats.org/officeDocument/2006/relationships/hyperlink" Target="https://alpha.midjourney.com/jobs/01774065-3ddf-4645-876e-b5f914ba9dfc?index=2" TargetMode="External"/><Relationship Id="rId973" Type="http://schemas.openxmlformats.org/officeDocument/2006/relationships/hyperlink" Target="https://alpha.midjourney.com/jobs/c7659340-8595-49ab-87e8-84787ee78ffd?index=1" TargetMode="External"/><Relationship Id="rId738" Type="http://schemas.openxmlformats.org/officeDocument/2006/relationships/hyperlink" Target="https://alpha.midjourney.com/jobs/51d5c956-0945-49dd-ac85-28c30aa2553b?index=0" TargetMode="External"/><Relationship Id="rId737" Type="http://schemas.openxmlformats.org/officeDocument/2006/relationships/hyperlink" Target="https://alpha.midjourney.com/jobs/f73346c9-033d-42e0-a7bc-51d4f0779a79?index=0" TargetMode="External"/><Relationship Id="rId979" Type="http://schemas.openxmlformats.org/officeDocument/2006/relationships/hyperlink" Target="https://alpha.midjourney.com/jobs/24ce409b-3cca-4f46-b0b5-66ffc95c749d?index=3" TargetMode="External"/><Relationship Id="rId736" Type="http://schemas.openxmlformats.org/officeDocument/2006/relationships/hyperlink" Target="https://alpha.midjourney.com/jobs/6ef972f4-5b88-4066-b833-be272e43328c?index=2" TargetMode="External"/><Relationship Id="rId978" Type="http://schemas.openxmlformats.org/officeDocument/2006/relationships/hyperlink" Target="https://alpha.midjourney.com/jobs/da6f42e6-7d2f-4e50-a16d-27cd86a9ca49?index=0" TargetMode="External"/><Relationship Id="rId735" Type="http://schemas.openxmlformats.org/officeDocument/2006/relationships/hyperlink" Target="https://alpha.midjourney.com/jobs/4a8a8406-1e05-4b13-a11d-73885cebdc89?index=1" TargetMode="External"/><Relationship Id="rId977" Type="http://schemas.openxmlformats.org/officeDocument/2006/relationships/hyperlink" Target="https://alpha.midjourney.com/jobs/bc9ec0a0-e702-442d-9d1b-4dd0b5218bc6?index=1"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cdn.midjourney.com/390f696b-fedd-4bcb-a5fd-645c2721ca8a/0_0.png" TargetMode="External"/><Relationship Id="rId972" Type="http://schemas.openxmlformats.org/officeDocument/2006/relationships/hyperlink" Target="https://alpha.midjourney.com/jobs/7c387667-9d92-4476-b7a5-b7af2603e1fe?index=2" TargetMode="External"/><Relationship Id="rId971" Type="http://schemas.openxmlformats.org/officeDocument/2006/relationships/hyperlink" Target="https://alpha.midjourney.com/jobs/162dad93-4925-48c0-86fa-5df8ffd82b08?index=0" TargetMode="External"/><Relationship Id="rId970" Type="http://schemas.openxmlformats.org/officeDocument/2006/relationships/hyperlink" Target="https://alpha.midjourney.com/jobs/4fcdd87d-908c-4ced-bfd5-4be94a5d1013?index=0" TargetMode="External"/><Relationship Id="rId1114" Type="http://schemas.openxmlformats.org/officeDocument/2006/relationships/hyperlink" Target="https://www.midjourney.com/jobs/537aae6e-8ea5-477b-af84-e4fd575571d9?index=1" TargetMode="External"/><Relationship Id="rId1115" Type="http://schemas.openxmlformats.org/officeDocument/2006/relationships/hyperlink" Target="https://www.midjourney.com/jobs/35b3b0d5-f19b-454b-afb8-1c9e3ca5c237?index=2" TargetMode="External"/><Relationship Id="rId20" Type="http://schemas.openxmlformats.org/officeDocument/2006/relationships/hyperlink" Target="https://alpha.midjourney.com/jobs/3644d9f4-a154-4538-96ea-489d6da10cda?index=2" TargetMode="External"/><Relationship Id="rId1116" Type="http://schemas.openxmlformats.org/officeDocument/2006/relationships/hyperlink" Target="https://www.midjourney.com/jobs/53604f6e-a5f0-4ffd-8781-191a91af181c?index=3" TargetMode="External"/><Relationship Id="rId1117" Type="http://schemas.openxmlformats.org/officeDocument/2006/relationships/hyperlink" Target="https://www.midjourney.com/jobs/22ed9dd0-ef61-4a2c-b520-80e30f3a0494?index=1" TargetMode="External"/><Relationship Id="rId22" Type="http://schemas.openxmlformats.org/officeDocument/2006/relationships/hyperlink" Target="https://alpha.midjourney.com/jobs/3b251807-e5b8-4b8d-9143-bc8abc033018?index=1" TargetMode="External"/><Relationship Id="rId1118" Type="http://schemas.openxmlformats.org/officeDocument/2006/relationships/hyperlink" Target="https://www.midjourney.com/jobs/f7f509f6-018d-40bc-9607-6413df49cc52?index=0" TargetMode="External"/><Relationship Id="rId21" Type="http://schemas.openxmlformats.org/officeDocument/2006/relationships/hyperlink" Target="https://alpha.midjourney.com/jobs/3b251807-e5b8-4b8d-9143-bc8abc033018?index=0" TargetMode="External"/><Relationship Id="rId1119" Type="http://schemas.openxmlformats.org/officeDocument/2006/relationships/hyperlink" Target="https://alpha.midjourney.com/jobs/a2b26672-b168-401b-8bc1-ced9abb7a9ab?index=2"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2a292725-24e5-4da2-ae58-2f0eadedb275?index=2" TargetMode="External"/><Relationship Id="rId767" Type="http://schemas.openxmlformats.org/officeDocument/2006/relationships/hyperlink" Target="https://alpha.midjourney.com/jobs/0063068d-9dbd-4110-8aae-322eeb900c81?index=2" TargetMode="External"/><Relationship Id="rId524" Type="http://schemas.openxmlformats.org/officeDocument/2006/relationships/hyperlink" Target="https://alpha.midjourney.com/jobs/f8601415-70ff-4ce2-aed0-f550f9d08f3d?index=2" TargetMode="External"/><Relationship Id="rId766" Type="http://schemas.openxmlformats.org/officeDocument/2006/relationships/hyperlink" Target="https://alpha.midjourney.com/jobs/69e81fbf-243c-4e8a-ae5b-632a0bffeb89?index=0" TargetMode="External"/><Relationship Id="rId523" Type="http://schemas.openxmlformats.org/officeDocument/2006/relationships/hyperlink" Target="https://alpha.midjourney.com/jobs/f8601415-70ff-4ce2-aed0-f550f9d08f3d?index=1" TargetMode="External"/><Relationship Id="rId765" Type="http://schemas.openxmlformats.org/officeDocument/2006/relationships/hyperlink" Target="https://alpha.midjourney.com/jobs/eaeb0c2c-5671-4d2a-88fd-4abe109eab65?index=1" TargetMode="External"/><Relationship Id="rId522" Type="http://schemas.openxmlformats.org/officeDocument/2006/relationships/hyperlink" Target="https://alpha.midjourney.com/jobs/f8601415-70ff-4ce2-aed0-f550f9d08f3d?index=0" TargetMode="External"/><Relationship Id="rId764" Type="http://schemas.openxmlformats.org/officeDocument/2006/relationships/hyperlink" Target="https://alpha.midjourney.com/jobs/73a9a1a1-32fd-4221-b568-f49bf10ec8c3?index=1" TargetMode="External"/><Relationship Id="rId529" Type="http://schemas.openxmlformats.org/officeDocument/2006/relationships/hyperlink" Target="https://alpha.midjourney.com/jobs/aea064ae-88ea-47ba-a280-c9e470d12b69?index=2" TargetMode="External"/><Relationship Id="rId528" Type="http://schemas.openxmlformats.org/officeDocument/2006/relationships/hyperlink" Target="https://alpha.midjourney.com/jobs/86b3223b-25b2-49c4-9ba0-56eef1eedbbf?index=1" TargetMode="External"/><Relationship Id="rId527" Type="http://schemas.openxmlformats.org/officeDocument/2006/relationships/hyperlink" Target="https://alpha.midjourney.com/jobs/3b50b5d8-08a1-4b97-8366-8e40ccb84ae0?index=3" TargetMode="External"/><Relationship Id="rId769" Type="http://schemas.openxmlformats.org/officeDocument/2006/relationships/hyperlink" Target="https://alpha.midjourney.com/jobs/2597c96a-7d3a-446b-9533-8ddf115e632c?index=2" TargetMode="External"/><Relationship Id="rId526" Type="http://schemas.openxmlformats.org/officeDocument/2006/relationships/hyperlink" Target="https://alpha.midjourney.com/jobs/f8601415-70ff-4ce2-aed0-f550f9d08f3d?index=0" TargetMode="External"/><Relationship Id="rId768" Type="http://schemas.openxmlformats.org/officeDocument/2006/relationships/hyperlink" Target="https://alpha.midjourney.com/jobs/16dd6fff-fe9a-4d6e-87c6-3ca358f44292?index=2"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acb30613-f9af-4a64-81e9-e6b568cba824?index=2" TargetMode="External"/><Relationship Id="rId763" Type="http://schemas.openxmlformats.org/officeDocument/2006/relationships/hyperlink" Target="https://alpha.midjourney.com/jobs/601a075d-73c7-4df6-81df-aed24988e0ef?index=1" TargetMode="External"/><Relationship Id="rId1110" Type="http://schemas.openxmlformats.org/officeDocument/2006/relationships/hyperlink" Target="https://www.midjourney.com/jobs/f1f51a3a-0295-445c-9c9a-dfd9d9b423b5?index=3"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05ead972-45fd-4d93-b3b6-736da52e9d68?index=1" TargetMode="External"/><Relationship Id="rId762" Type="http://schemas.openxmlformats.org/officeDocument/2006/relationships/hyperlink" Target="https://alpha.midjourney.com/jobs/004d14c3-1c31-4c4e-b9cd-f15becae7920?index=3" TargetMode="External"/><Relationship Id="rId1111" Type="http://schemas.openxmlformats.org/officeDocument/2006/relationships/hyperlink" Target="https://www.midjourney.com/jobs/a01f0b5d-1d81-4499-9574-a9009c478114?index=2" TargetMode="External"/><Relationship Id="rId761" Type="http://schemas.openxmlformats.org/officeDocument/2006/relationships/hyperlink" Target="https://alpha.midjourney.com/jobs/13192ffd-f511-40f8-8825-6afe3e936772?index=1" TargetMode="External"/><Relationship Id="rId1112" Type="http://schemas.openxmlformats.org/officeDocument/2006/relationships/hyperlink" Target="https://www.midjourney.com/jobs/a01f0b5d-1d81-4499-9574-a9009c478114?index=1" TargetMode="External"/><Relationship Id="rId760" Type="http://schemas.openxmlformats.org/officeDocument/2006/relationships/hyperlink" Target="https://alpha.midjourney.com/jobs/818b4c69-a239-425e-865f-581ae0f5d202?index=3" TargetMode="External"/><Relationship Id="rId1113" Type="http://schemas.openxmlformats.org/officeDocument/2006/relationships/hyperlink" Target="https://alpha.midjourney.com/jobs/df76d45a-a955-4fb3-8e4e-225e6dd9016c?index=2" TargetMode="External"/><Relationship Id="rId1103" Type="http://schemas.openxmlformats.org/officeDocument/2006/relationships/hyperlink" Target="https://www.midjourney.com/jobs/5c478fb9-7816-41dd-b67b-2e723d70b953?index=2" TargetMode="External"/><Relationship Id="rId1104" Type="http://schemas.openxmlformats.org/officeDocument/2006/relationships/hyperlink" Target="https://alpha.midjourney.com/jobs/3fb5bd03-b8a3-4b6c-ae26-5db83217b2f3?index=1" TargetMode="External"/><Relationship Id="rId1105" Type="http://schemas.openxmlformats.org/officeDocument/2006/relationships/hyperlink" Target="https://www.midjourney.com/jobs/65cffa49-030d-4bf0-8642-4b296917b9f0?index=1" TargetMode="External"/><Relationship Id="rId1106" Type="http://schemas.openxmlformats.org/officeDocument/2006/relationships/hyperlink" Target="https://www.midjourney.com/jobs/65cffa49-030d-4bf0-8642-4b296917b9f0?index=3" TargetMode="External"/><Relationship Id="rId11" Type="http://schemas.openxmlformats.org/officeDocument/2006/relationships/hyperlink" Target="https://alpha.midjourney.com/jobs/a408d92c-6e6e-4d30-93ad-e526a5c9555f?index=3" TargetMode="External"/><Relationship Id="rId1107" Type="http://schemas.openxmlformats.org/officeDocument/2006/relationships/hyperlink" Target="https://www.midjourney.com/jobs/54e5785d-426b-4577-8b6f-9860501a149d?index=0" TargetMode="External"/><Relationship Id="rId10" Type="http://schemas.openxmlformats.org/officeDocument/2006/relationships/hyperlink" Target="https://alpha.midjourney.com/jobs/1bd0a0b3-130f-4bdc-9c15-509e1e9b90fa?index=3" TargetMode="External"/><Relationship Id="rId1108" Type="http://schemas.openxmlformats.org/officeDocument/2006/relationships/hyperlink" Target="https://www.midjourney.com/jobs/54e5785d-426b-4577-8b6f-9860501a149d?index=1" TargetMode="External"/><Relationship Id="rId13" Type="http://schemas.openxmlformats.org/officeDocument/2006/relationships/hyperlink" Target="https://alpha.midjourney.com/jobs/e1a293f6-3472-446e-b70e-7002f09b3c7c?index=3" TargetMode="External"/><Relationship Id="rId1109" Type="http://schemas.openxmlformats.org/officeDocument/2006/relationships/hyperlink" Target="https://www.midjourney.com/jobs/54e5785d-426b-4577-8b6f-9860501a149d?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3f1e36e7-8385-4701-8ad1-a8a145d654d4?index=2" TargetMode="External"/><Relationship Id="rId514" Type="http://schemas.openxmlformats.org/officeDocument/2006/relationships/hyperlink" Target="https://alpha.midjourney.com/jobs/d0513e19-1ac0-4d65-b7d1-c084eaa39eb1?index=1" TargetMode="External"/><Relationship Id="rId756" Type="http://schemas.openxmlformats.org/officeDocument/2006/relationships/hyperlink" Target="https://alpha.midjourney.com/jobs/9b2ab810-2e17-4453-80f0-4ed8335dcba6?index=3" TargetMode="External"/><Relationship Id="rId998" Type="http://schemas.openxmlformats.org/officeDocument/2006/relationships/hyperlink" Target="https://alpha.midjourney.com/jobs/90cb352a-64aa-4121-b30d-4872d4707c75?index=0" TargetMode="External"/><Relationship Id="rId513" Type="http://schemas.openxmlformats.org/officeDocument/2006/relationships/hyperlink" Target="https://alpha.midjourney.com/jobs/1611e437-755b-410f-b205-ccef721ff7ae?index=2" TargetMode="External"/><Relationship Id="rId755" Type="http://schemas.openxmlformats.org/officeDocument/2006/relationships/hyperlink" Target="https://alpha.midjourney.com/jobs/f4c48630-208d-4ef7-82a2-ba331bea8ac6?index=1" TargetMode="External"/><Relationship Id="rId997" Type="http://schemas.openxmlformats.org/officeDocument/2006/relationships/hyperlink" Target="https://alpha.midjourney.com/jobs/5bae7113-2f5a-4b73-87f4-6d9b78e7eeee?index=1" TargetMode="External"/><Relationship Id="rId512" Type="http://schemas.openxmlformats.org/officeDocument/2006/relationships/hyperlink" Target="https://alpha.midjourney.com/jobs/1611e437-755b-410f-b205-ccef721ff7ae?index=1" TargetMode="External"/><Relationship Id="rId754" Type="http://schemas.openxmlformats.org/officeDocument/2006/relationships/hyperlink" Target="https://alpha.midjourney.com/jobs/f4c48630-208d-4ef7-82a2-ba331bea8ac6?index=3" TargetMode="External"/><Relationship Id="rId996" Type="http://schemas.openxmlformats.org/officeDocument/2006/relationships/hyperlink" Target="https://alpha.midjourney.com/jobs/4f39b32a-12f3-4f33-8926-33849565856d?index=0" TargetMode="External"/><Relationship Id="rId511" Type="http://schemas.openxmlformats.org/officeDocument/2006/relationships/hyperlink" Target="https://alpha.midjourney.com/jobs/9837fc27-5358-46a5-b2d5-4b2eccd5199c?index=0" TargetMode="External"/><Relationship Id="rId753" Type="http://schemas.openxmlformats.org/officeDocument/2006/relationships/hyperlink" Target="https://alpha.midjourney.com/jobs/d3cbeeb5-7d32-4043-a6bf-4bae29b58f5e?index=1" TargetMode="External"/><Relationship Id="rId995" Type="http://schemas.openxmlformats.org/officeDocument/2006/relationships/hyperlink" Target="https://alpha.midjourney.com/jobs/20878f04-6db4-4921-b3e8-78b32c691849?index=1" TargetMode="External"/><Relationship Id="rId518" Type="http://schemas.openxmlformats.org/officeDocument/2006/relationships/hyperlink" Target="https://alpha.midjourney.com/jobs/b305aa77-1f10-402e-b176-99e909abfb9d?index=3" TargetMode="External"/><Relationship Id="rId517" Type="http://schemas.openxmlformats.org/officeDocument/2006/relationships/hyperlink" Target="https://alpha.midjourney.com/jobs/651c5e10-daa8-4734-8d9e-45e6e71afe5e?index=3" TargetMode="External"/><Relationship Id="rId759" Type="http://schemas.openxmlformats.org/officeDocument/2006/relationships/hyperlink" Target="https://alpha.midjourney.com/jobs/fee9f008-5272-48db-b4d7-5f0b71558eb6?index=1" TargetMode="External"/><Relationship Id="rId516" Type="http://schemas.openxmlformats.org/officeDocument/2006/relationships/hyperlink" Target="https://alpha.midjourney.com/jobs/0e38f1ce-471e-455b-890a-7a46d67a8c3c?index=3" TargetMode="External"/><Relationship Id="rId758" Type="http://schemas.openxmlformats.org/officeDocument/2006/relationships/hyperlink" Target="https://alpha.midjourney.com/jobs/8ca76d1e-2fdd-4c6f-b81a-f980f4465204?index=1" TargetMode="External"/><Relationship Id="rId515" Type="http://schemas.openxmlformats.org/officeDocument/2006/relationships/hyperlink" Target="https://alpha.midjourney.com/jobs/cb5a0d7d-cfdf-4743-8f88-5b4c20641ec8?index=0" TargetMode="External"/><Relationship Id="rId757" Type="http://schemas.openxmlformats.org/officeDocument/2006/relationships/hyperlink" Target="https://alpha.midjourney.com/jobs/5fa229a5-422f-4ee2-88e1-74a946b95bf8?index=2" TargetMode="External"/><Relationship Id="rId999" Type="http://schemas.openxmlformats.org/officeDocument/2006/relationships/hyperlink" Target="https://alpha.midjourney.com/jobs/be9e33df-53e3-4ba9-b78d-a638dd795217?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alpha.midjourney.com/jobs/7e20bff2-8427-472d-840d-979a0755b2c8?index=2"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672168db-d4c7-464a-9a08-3f0b7300f117?index=0" TargetMode="External"/><Relationship Id="rId752" Type="http://schemas.openxmlformats.org/officeDocument/2006/relationships/hyperlink" Target="https://alpha.midjourney.com/jobs/02594f9a-42f2-4692-a624-4174f3749a0b?index=1" TargetMode="External"/><Relationship Id="rId994" Type="http://schemas.openxmlformats.org/officeDocument/2006/relationships/hyperlink" Target="https://alpha.midjourney.com/jobs/7b1de13c-b465-4213-9f2b-78dbc6c85132?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79cc175a-38b4-4f94-b788-3a21fe90bd96?index=1" TargetMode="External"/><Relationship Id="rId993" Type="http://schemas.openxmlformats.org/officeDocument/2006/relationships/hyperlink" Target="https://alpha.midjourney.com/jobs/89824033-00a1-41d7-b25a-ba639c2b447f?index=0" TargetMode="External"/><Relationship Id="rId1100" Type="http://schemas.openxmlformats.org/officeDocument/2006/relationships/hyperlink" Target="https://www.midjourney.com/jobs/689c4844-d4f2-4395-9092-dc50d63f0541?index=0" TargetMode="External"/><Relationship Id="rId750" Type="http://schemas.openxmlformats.org/officeDocument/2006/relationships/hyperlink" Target="https://alpha.midjourney.com/jobs/79cc175a-38b4-4f94-b788-3a21fe90bd96?index=3" TargetMode="External"/><Relationship Id="rId992" Type="http://schemas.openxmlformats.org/officeDocument/2006/relationships/hyperlink" Target="https://alpha.midjourney.com/jobs/89824033-00a1-41d7-b25a-ba639c2b447f?index=2" TargetMode="External"/><Relationship Id="rId1101" Type="http://schemas.openxmlformats.org/officeDocument/2006/relationships/hyperlink" Target="https://www.midjourney.com/jobs/689c4844-d4f2-4395-9092-dc50d63f0541?index=3" TargetMode="External"/><Relationship Id="rId991" Type="http://schemas.openxmlformats.org/officeDocument/2006/relationships/hyperlink" Target="https://alpha.midjourney.com/jobs/97e573ac-355c-4f18-a197-139751f6849a?index=0" TargetMode="External"/><Relationship Id="rId1102" Type="http://schemas.openxmlformats.org/officeDocument/2006/relationships/hyperlink" Target="https://www.midjourney.com/jobs/880ee418-cfc5-4423-92a4-d5c3264c546a?index=2" TargetMode="External"/><Relationship Id="rId84" Type="http://schemas.openxmlformats.org/officeDocument/2006/relationships/hyperlink" Target="https://alpha.midjourney.com/jobs/4b963210-17ec-4cc9-9a83-f38a7692af0e?index=3" TargetMode="External"/><Relationship Id="rId83" Type="http://schemas.openxmlformats.org/officeDocument/2006/relationships/hyperlink" Target="https://alpha.midjourney.com/jobs/fe304cba-fe68-4bea-a089-694d2e71a394?index=2" TargetMode="External"/><Relationship Id="rId86" Type="http://schemas.openxmlformats.org/officeDocument/2006/relationships/hyperlink" Target="https://alpha.midjourney.com/jobs/96dd861b-6cf4-403c-b701-35339b8bf72c?index=0" TargetMode="External"/><Relationship Id="rId85" Type="http://schemas.openxmlformats.org/officeDocument/2006/relationships/hyperlink" Target="https://alpha.midjourney.com/jobs/4efd2e1b-a113-49a0-8b09-a71768bc7f0a?index=1" TargetMode="External"/><Relationship Id="rId88" Type="http://schemas.openxmlformats.org/officeDocument/2006/relationships/hyperlink" Target="https://alpha.midjourney.com/jobs/ae7c802d-5bb3-4e5c-935f-0989f835981b?index=3" TargetMode="External"/><Relationship Id="rId87" Type="http://schemas.openxmlformats.org/officeDocument/2006/relationships/hyperlink" Target="https://alpha.midjourney.com/jobs/eb74e363-ce23-4333-bf1a-9e45b5410528?index=3" TargetMode="External"/><Relationship Id="rId89" Type="http://schemas.openxmlformats.org/officeDocument/2006/relationships/hyperlink" Target="https://alpha.midjourney.com/jobs/d2520d33-6384-48e1-a0ac-2b40bcba9c67?index=2" TargetMode="External"/><Relationship Id="rId709" Type="http://schemas.openxmlformats.org/officeDocument/2006/relationships/hyperlink" Target="https://alpha.midjourney.com/jobs/3bf4a471-5c25-4362-83a7-ff9d2b62f7a6?index=2" TargetMode="External"/><Relationship Id="rId708" Type="http://schemas.openxmlformats.org/officeDocument/2006/relationships/hyperlink" Target="https://alpha.midjourney.com/jobs/16c76d9e-93cf-40a6-b25c-afdd8780d9cd?index=1" TargetMode="External"/><Relationship Id="rId707" Type="http://schemas.openxmlformats.org/officeDocument/2006/relationships/hyperlink" Target="https://alpha.midjourney.com/jobs/d632fcf9-6880-4101-b670-edad8226ce60?index=1" TargetMode="External"/><Relationship Id="rId949" Type="http://schemas.openxmlformats.org/officeDocument/2006/relationships/hyperlink" Target="https://alpha.midjourney.com/jobs/867462c8-0b6f-4afe-aed8-994b90c1f52b?index=2" TargetMode="External"/><Relationship Id="rId706" Type="http://schemas.openxmlformats.org/officeDocument/2006/relationships/hyperlink" Target="https://alpha.midjourney.com/jobs/112e52b5-82ca-4b76-9909-c0aa04aeeb7a?index=1" TargetMode="External"/><Relationship Id="rId948" Type="http://schemas.openxmlformats.org/officeDocument/2006/relationships/hyperlink" Target="https://alpha.midjourney.com/jobs/dad687db-e456-490a-87b4-60ad739e2bf8?index=1" TargetMode="External"/><Relationship Id="rId80" Type="http://schemas.openxmlformats.org/officeDocument/2006/relationships/hyperlink" Target="https://alpha.midjourney.com/jobs/0867635b-b993-4e89-adc9-840fac5e98ae?index=2" TargetMode="External"/><Relationship Id="rId82" Type="http://schemas.openxmlformats.org/officeDocument/2006/relationships/hyperlink" Target="https://alpha.midjourney.com/jobs/f92d2267-2cb6-459f-b8f4-07c280426a32?index=2" TargetMode="External"/><Relationship Id="rId81" Type="http://schemas.openxmlformats.org/officeDocument/2006/relationships/hyperlink" Target="https://alpha.midjourney.com/jobs/496903ec-9e29-4e96-baed-fbc1c72e67a2?index=3" TargetMode="External"/><Relationship Id="rId701" Type="http://schemas.openxmlformats.org/officeDocument/2006/relationships/hyperlink" Target="https://alpha.midjourney.com/jobs/0874622e-ceb7-4298-aa38-4f6bf7fa38ea?index=1" TargetMode="External"/><Relationship Id="rId943" Type="http://schemas.openxmlformats.org/officeDocument/2006/relationships/hyperlink" Target="https://alpha.midjourney.com/jobs/2aebadfc-1d60-4971-b4bd-5779b594ffd6?index=0" TargetMode="External"/><Relationship Id="rId700" Type="http://schemas.openxmlformats.org/officeDocument/2006/relationships/hyperlink" Target="https://alpha.midjourney.com/jobs/5c5f6b26-162e-4512-81a8-623ad199c9db?index=2" TargetMode="External"/><Relationship Id="rId942" Type="http://schemas.openxmlformats.org/officeDocument/2006/relationships/hyperlink" Target="https://alpha.midjourney.com/jobs/709b734e-8221-4b6d-b1fb-b9e994d589d4?index=0" TargetMode="External"/><Relationship Id="rId941" Type="http://schemas.openxmlformats.org/officeDocument/2006/relationships/hyperlink" Target="https://alpha.midjourney.com/jobs/cf5bb8f9-3338-42bc-a9f9-824999736b41?index=0" TargetMode="External"/><Relationship Id="rId940" Type="http://schemas.openxmlformats.org/officeDocument/2006/relationships/hyperlink" Target="https://alpha.midjourney.com/jobs/de5ce549-89c5-48e7-83b2-5870c54d6d0e?index=1" TargetMode="External"/><Relationship Id="rId705" Type="http://schemas.openxmlformats.org/officeDocument/2006/relationships/hyperlink" Target="https://alpha.midjourney.com/jobs/6e0215b8-b92d-42ca-b447-89ce45b7a682?index=3" TargetMode="External"/><Relationship Id="rId947" Type="http://schemas.openxmlformats.org/officeDocument/2006/relationships/hyperlink" Target="https://alpha.midjourney.com/jobs/a64853ac-4caa-477d-aa22-c34fe259ce6b?index=0" TargetMode="External"/><Relationship Id="rId704" Type="http://schemas.openxmlformats.org/officeDocument/2006/relationships/hyperlink" Target="https://alpha.midjourney.com/jobs/4e8939d3-700e-432e-87ea-5a6d537e421f?index=2" TargetMode="External"/><Relationship Id="rId946" Type="http://schemas.openxmlformats.org/officeDocument/2006/relationships/hyperlink" Target="https://alpha.midjourney.com/jobs/a4f5483b-90f7-46f6-bc64-e085ee1e6596?index=3" TargetMode="External"/><Relationship Id="rId703" Type="http://schemas.openxmlformats.org/officeDocument/2006/relationships/hyperlink" Target="https://alpha.midjourney.com/jobs/4e8939d3-700e-432e-87ea-5a6d537e421f?index=0" TargetMode="External"/><Relationship Id="rId945" Type="http://schemas.openxmlformats.org/officeDocument/2006/relationships/hyperlink" Target="https://alpha.midjourney.com/jobs/d3070d31-c754-4f1e-9f2f-1bad7c022915?index=1" TargetMode="External"/><Relationship Id="rId702" Type="http://schemas.openxmlformats.org/officeDocument/2006/relationships/hyperlink" Target="https://alpha.midjourney.com/jobs/dd9d91c4-8389-4b65-9bba-37f6db63dfe1?index=3" TargetMode="External"/><Relationship Id="rId944" Type="http://schemas.openxmlformats.org/officeDocument/2006/relationships/hyperlink" Target="https://alpha.midjourney.com/jobs/d3070d31-c754-4f1e-9f2f-1bad7c022915?index=0" TargetMode="External"/><Relationship Id="rId73" Type="http://schemas.openxmlformats.org/officeDocument/2006/relationships/hyperlink" Target="https://alpha.midjourney.com/jobs/3502aca4-3c2d-4b55-b9ef-88af2e7c73f0?index=1" TargetMode="External"/><Relationship Id="rId72" Type="http://schemas.openxmlformats.org/officeDocument/2006/relationships/hyperlink" Target="https://cdn.midjourney.com/291d605d-4f95-4a9f-b440-6e175d80ac0b/0_0.png" TargetMode="External"/><Relationship Id="rId75" Type="http://schemas.openxmlformats.org/officeDocument/2006/relationships/hyperlink" Target="https://alpha.midjourney.com/jobs/7028da84-9831-4d23-ad07-4594391e79ac?index=1" TargetMode="External"/><Relationship Id="rId74" Type="http://schemas.openxmlformats.org/officeDocument/2006/relationships/hyperlink" Target="https://alpha.midjourney.com/jobs/70636fbb-6ca1-461f-8634-ae71c0b1430c?index=3" TargetMode="External"/><Relationship Id="rId77" Type="http://schemas.openxmlformats.org/officeDocument/2006/relationships/hyperlink" Target="https://alpha.midjourney.com/jobs/0575ffc7-0d1e-4dbd-8930-6db80d75cf66?index=1" TargetMode="External"/><Relationship Id="rId76" Type="http://schemas.openxmlformats.org/officeDocument/2006/relationships/hyperlink" Target="https://alpha.midjourney.com/jobs/d3cdc07b-ef61-4628-9359-bac5561cb0d5?index=2" TargetMode="External"/><Relationship Id="rId79" Type="http://schemas.openxmlformats.org/officeDocument/2006/relationships/hyperlink" Target="https://alpha.midjourney.com/jobs/d196e34f-0ec6-430c-8497-df7339d2a1b3?index=0" TargetMode="External"/><Relationship Id="rId78" Type="http://schemas.openxmlformats.org/officeDocument/2006/relationships/hyperlink" Target="https://alpha.midjourney.com/jobs/f1f5bcbb-0fd2-48bf-ae02-5559442c4175?index=0" TargetMode="External"/><Relationship Id="rId939" Type="http://schemas.openxmlformats.org/officeDocument/2006/relationships/hyperlink" Target="https://alpha.midjourney.com/jobs/3f31c4b0-cd07-4900-b285-a14fc0073944?index=1" TargetMode="External"/><Relationship Id="rId938" Type="http://schemas.openxmlformats.org/officeDocument/2006/relationships/hyperlink" Target="https://alpha.midjourney.com/jobs/0a3720ad-bd7d-4920-bffe-856f1df5a6ad?index=0" TargetMode="External"/><Relationship Id="rId937" Type="http://schemas.openxmlformats.org/officeDocument/2006/relationships/hyperlink" Target="https://alpha.midjourney.com/jobs/da00e795-3e18-435b-bbb9-d314cdcd60b5?index=0" TargetMode="External"/><Relationship Id="rId71" Type="http://schemas.openxmlformats.org/officeDocument/2006/relationships/hyperlink" Target="https://alpha.midjourney.com/jobs/607d3715-7a67-41f3-8adc-52d5a2d49f3d?index=3" TargetMode="External"/><Relationship Id="rId70" Type="http://schemas.openxmlformats.org/officeDocument/2006/relationships/hyperlink" Target="https://alpha.midjourney.com/jobs/dc24ed1d-b615-4b1e-b267-7f9c968a5009?index=3" TargetMode="External"/><Relationship Id="rId932" Type="http://schemas.openxmlformats.org/officeDocument/2006/relationships/hyperlink" Target="https://alpha.midjourney.com/jobs/856a4fea-b06a-4a94-ae05-d75327bd229b?index=0" TargetMode="External"/><Relationship Id="rId931" Type="http://schemas.openxmlformats.org/officeDocument/2006/relationships/hyperlink" Target="https://alpha.midjourney.com/jobs/ba4f164a-c100-4819-bb38-bd2d0592e0fb?index=3" TargetMode="External"/><Relationship Id="rId930" Type="http://schemas.openxmlformats.org/officeDocument/2006/relationships/hyperlink" Target="https://alpha.midjourney.com/jobs/041b2be6-66f8-4c8d-beda-7ee71ef53cd8?index=2" TargetMode="External"/><Relationship Id="rId936" Type="http://schemas.openxmlformats.org/officeDocument/2006/relationships/hyperlink" Target="https://alpha.midjourney.com/jobs/8f2c630d-33f3-44ba-a0de-e0043f8bb6e0?index=2" TargetMode="External"/><Relationship Id="rId935" Type="http://schemas.openxmlformats.org/officeDocument/2006/relationships/hyperlink" Target="https://alpha.midjourney.com/jobs/7399c7ff-7b42-4f82-a81d-f40c09646558?index=2" TargetMode="External"/><Relationship Id="rId934" Type="http://schemas.openxmlformats.org/officeDocument/2006/relationships/hyperlink" Target="https://alpha.midjourney.com/jobs/6894b85d-6620-4799-bd20-6a1db9f5d56b?index=0" TargetMode="External"/><Relationship Id="rId933" Type="http://schemas.openxmlformats.org/officeDocument/2006/relationships/hyperlink" Target="https://alpha.midjourney.com/jobs/6894b85d-6620-4799-bd20-6a1db9f5d56b?index=2" TargetMode="External"/><Relationship Id="rId62" Type="http://schemas.openxmlformats.org/officeDocument/2006/relationships/hyperlink" Target="https://alpha.midjourney.com/jobs/fa7a583a-51b9-43f5-9f36-daa60a265ff8?index=3" TargetMode="External"/><Relationship Id="rId61" Type="http://schemas.openxmlformats.org/officeDocument/2006/relationships/hyperlink" Target="https://alpha.midjourney.com/jobs/5d379442-c2b3-4a53-bf98-52967fbf33ff?index=2" TargetMode="External"/><Relationship Id="rId64" Type="http://schemas.openxmlformats.org/officeDocument/2006/relationships/hyperlink" Target="https://alpha.midjourney.com/jobs/3a376b78-f9ae-4d1a-8c49-205760b6d15d?index=3" TargetMode="External"/><Relationship Id="rId63" Type="http://schemas.openxmlformats.org/officeDocument/2006/relationships/hyperlink" Target="https://alpha.midjourney.com/jobs/b573d44e-0557-4339-97e3-b8d53f088bb2?index=2" TargetMode="External"/><Relationship Id="rId66" Type="http://schemas.openxmlformats.org/officeDocument/2006/relationships/hyperlink" Target="https://alpha.midjourney.com/jobs/c566f85c-bca2-4a6a-af88-429b68373805?index=1" TargetMode="External"/><Relationship Id="rId65" Type="http://schemas.openxmlformats.org/officeDocument/2006/relationships/hyperlink" Target="https://alpha.midjourney.com/jobs/557ea44c-dc30-4519-93c0-96caf2f97815?index=3" TargetMode="External"/><Relationship Id="rId68" Type="http://schemas.openxmlformats.org/officeDocument/2006/relationships/hyperlink" Target="https://alpha.midjourney.com/jobs/8147c740-16d7-4def-a4f6-8bced1357e9e?index=2" TargetMode="External"/><Relationship Id="rId67" Type="http://schemas.openxmlformats.org/officeDocument/2006/relationships/hyperlink" Target="https://alpha.midjourney.com/jobs/8f074377-71a1-4d5f-9d10-01c479d07ccc?index=0" TargetMode="External"/><Relationship Id="rId729" Type="http://schemas.openxmlformats.org/officeDocument/2006/relationships/hyperlink" Target="https://alpha.midjourney.com/jobs/e97f4d7a-e262-4e9e-bfa0-b88b710a66ca?index=0" TargetMode="External"/><Relationship Id="rId728" Type="http://schemas.openxmlformats.org/officeDocument/2006/relationships/hyperlink" Target="https://alpha.midjourney.com/jobs/2696929c-fc7b-4b25-80c4-4c05acd4cf0b?index=0" TargetMode="External"/><Relationship Id="rId60" Type="http://schemas.openxmlformats.org/officeDocument/2006/relationships/hyperlink" Target="https://alpha.midjourney.com/jobs/f5a139c0-a525-4c1e-bbb2-3223e6e61d34?index=1" TargetMode="External"/><Relationship Id="rId723" Type="http://schemas.openxmlformats.org/officeDocument/2006/relationships/hyperlink" Target="https://alpha.midjourney.com/jobs/32bff669-6480-4e61-b3d7-5b296fbb3e86?index=1" TargetMode="External"/><Relationship Id="rId965" Type="http://schemas.openxmlformats.org/officeDocument/2006/relationships/hyperlink" Target="https://alpha.midjourney.com/jobs/666593e0-327b-4a28-a708-e86e2598acb6?index=1" TargetMode="External"/><Relationship Id="rId722" Type="http://schemas.openxmlformats.org/officeDocument/2006/relationships/hyperlink" Target="https://alpha.midjourney.com/jobs/9bf3783e-f8f6-4bbf-b78e-1ab8f2751edd?index=3" TargetMode="External"/><Relationship Id="rId964" Type="http://schemas.openxmlformats.org/officeDocument/2006/relationships/hyperlink" Target="https://alpha.midjourney.com/jobs/057d309d-d004-4fbb-85bf-9f9f1a066608?index=3" TargetMode="External"/><Relationship Id="rId721" Type="http://schemas.openxmlformats.org/officeDocument/2006/relationships/hyperlink" Target="https://alpha.midjourney.com/jobs/b8ede178-5b2a-48c9-8590-edff0fab188f?index=1" TargetMode="External"/><Relationship Id="rId963" Type="http://schemas.openxmlformats.org/officeDocument/2006/relationships/hyperlink" Target="https://alpha.midjourney.com/jobs/42693e88-ca4f-4a7a-a2be-74411b6895cb?index=2" TargetMode="External"/><Relationship Id="rId720" Type="http://schemas.openxmlformats.org/officeDocument/2006/relationships/hyperlink" Target="https://alpha.midjourney.com/jobs/06e001ac-4ecf-4823-94e1-8dd68d2b05b7?index=1" TargetMode="External"/><Relationship Id="rId962" Type="http://schemas.openxmlformats.org/officeDocument/2006/relationships/hyperlink" Target="https://alpha.midjourney.com/jobs/2db381e4-758b-4f94-bff1-1e032ad14d5b?index=0" TargetMode="External"/><Relationship Id="rId727" Type="http://schemas.openxmlformats.org/officeDocument/2006/relationships/hyperlink" Target="https://alpha.midjourney.com/jobs/10744971-91da-4603-9a30-c882162ef0b7?index=1" TargetMode="External"/><Relationship Id="rId969" Type="http://schemas.openxmlformats.org/officeDocument/2006/relationships/hyperlink" Target="https://alpha.midjourney.com/jobs/dd82c4f3-911b-4612-a06e-69d65ac6c951?index=0" TargetMode="External"/><Relationship Id="rId726" Type="http://schemas.openxmlformats.org/officeDocument/2006/relationships/hyperlink" Target="https://alpha.midjourney.com/jobs/2df60f72-ae91-42ff-b736-7b07706da614?index=0" TargetMode="External"/><Relationship Id="rId968" Type="http://schemas.openxmlformats.org/officeDocument/2006/relationships/hyperlink" Target="https://alpha.midjourney.com/jobs/3f6cf86c-a20b-48ba-9764-e840f53833d3?index=0" TargetMode="External"/><Relationship Id="rId725" Type="http://schemas.openxmlformats.org/officeDocument/2006/relationships/hyperlink" Target="https://alpha.midjourney.com/jobs/b463c1a6-da7b-45d1-b9df-9c0118388788?index=3" TargetMode="External"/><Relationship Id="rId967" Type="http://schemas.openxmlformats.org/officeDocument/2006/relationships/hyperlink" Target="https://alpha.midjourney.com/jobs/5190a1dd-f7bf-4e00-b502-3218c8396f35?index=0" TargetMode="External"/><Relationship Id="rId724" Type="http://schemas.openxmlformats.org/officeDocument/2006/relationships/hyperlink" Target="https://alpha.midjourney.com/jobs/e829a262-4a18-4388-8c7f-8584048fc4ff?index=3" TargetMode="External"/><Relationship Id="rId966" Type="http://schemas.openxmlformats.org/officeDocument/2006/relationships/hyperlink" Target="https://alpha.midjourney.com/jobs/b6b028b1-6920-4dde-9694-73d589c7969e?index=1" TargetMode="External"/><Relationship Id="rId69" Type="http://schemas.openxmlformats.org/officeDocument/2006/relationships/hyperlink" Target="https://alpha.midjourney.com/jobs/c4d3570a-e402-453c-89c3-0ec343f16195?index=2" TargetMode="External"/><Relationship Id="rId961" Type="http://schemas.openxmlformats.org/officeDocument/2006/relationships/hyperlink" Target="https://alpha.midjourney.com/jobs/a890381a-6618-4bda-b41f-c17f3157a96a?index=3" TargetMode="External"/><Relationship Id="rId960" Type="http://schemas.openxmlformats.org/officeDocument/2006/relationships/hyperlink" Target="https://alpha.midjourney.com/jobs/34694f1a-f509-4223-8b31-9c8aae8cdece?index=0"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06e001ac-4ecf-4823-94e1-8dd68d2b05b7?index=3" TargetMode="External"/><Relationship Id="rId718" Type="http://schemas.openxmlformats.org/officeDocument/2006/relationships/hyperlink" Target="https://alpha.midjourney.com/jobs/94f65a34-356e-4cee-ac91-40001b561c9e?index=2" TargetMode="External"/><Relationship Id="rId717" Type="http://schemas.openxmlformats.org/officeDocument/2006/relationships/hyperlink" Target="https://alpha.midjourney.com/jobs/94f65a34-356e-4cee-ac91-40001b561c9e?index=0" TargetMode="External"/><Relationship Id="rId959" Type="http://schemas.openxmlformats.org/officeDocument/2006/relationships/hyperlink" Target="https://alpha.midjourney.com/jobs/110f3bf6-8abd-466d-9916-d5f4531b5662?index=3" TargetMode="External"/><Relationship Id="rId712" Type="http://schemas.openxmlformats.org/officeDocument/2006/relationships/hyperlink" Target="https://alpha.midjourney.com/jobs/b64fcfaa-f524-4106-97e4-999815c35ba8?index=1" TargetMode="External"/><Relationship Id="rId954" Type="http://schemas.openxmlformats.org/officeDocument/2006/relationships/hyperlink" Target="https://alpha.midjourney.com/jobs/fb864f4a-d8ba-4e0f-b68d-ded3b127b150?index=0" TargetMode="External"/><Relationship Id="rId711" Type="http://schemas.openxmlformats.org/officeDocument/2006/relationships/hyperlink" Target="https://alpha.midjourney.com/jobs/762ada30-e1d4-42fd-9cb5-0890aa7ebf5e?index=1" TargetMode="External"/><Relationship Id="rId953" Type="http://schemas.openxmlformats.org/officeDocument/2006/relationships/hyperlink" Target="https://alpha.midjourney.com/jobs/e5d24bd7-3153-4f93-9be1-39048146a93a?index=0" TargetMode="External"/><Relationship Id="rId710" Type="http://schemas.openxmlformats.org/officeDocument/2006/relationships/hyperlink" Target="https://alpha.midjourney.com/jobs/a45d38bf-1bbc-418f-83d2-652c7d2f34d7?index=1" TargetMode="External"/><Relationship Id="rId952" Type="http://schemas.openxmlformats.org/officeDocument/2006/relationships/hyperlink" Target="https://alpha.midjourney.com/jobs/e5d24bd7-3153-4f93-9be1-39048146a93a?index=3" TargetMode="External"/><Relationship Id="rId951" Type="http://schemas.openxmlformats.org/officeDocument/2006/relationships/hyperlink" Target="https://alpha.midjourney.com/jobs/ca7c1b3c-407d-4968-9845-22c5da6b23d6?index=3" TargetMode="External"/><Relationship Id="rId716" Type="http://schemas.openxmlformats.org/officeDocument/2006/relationships/hyperlink" Target="https://alpha.midjourney.com/jobs/38f3775f-1bfe-4229-8836-86361ca30379?index=1" TargetMode="External"/><Relationship Id="rId958" Type="http://schemas.openxmlformats.org/officeDocument/2006/relationships/hyperlink" Target="https://alpha.midjourney.com/jobs/3b01ef46-8788-46d1-a60a-8dcc32182dd0?index=0" TargetMode="External"/><Relationship Id="rId715" Type="http://schemas.openxmlformats.org/officeDocument/2006/relationships/hyperlink" Target="https://alpha.midjourney.com/jobs/38f3775f-1bfe-4229-8836-86361ca30379?index=0" TargetMode="External"/><Relationship Id="rId957" Type="http://schemas.openxmlformats.org/officeDocument/2006/relationships/hyperlink" Target="https://alpha.midjourney.com/jobs/0d76b2b2-77d8-47f8-94c1-6ed325d5a45a?index=1" TargetMode="External"/><Relationship Id="rId714" Type="http://schemas.openxmlformats.org/officeDocument/2006/relationships/hyperlink" Target="https://alpha.midjourney.com/jobs/e224a083-95f6-49e2-8c7f-dadfbba98f31?index=2" TargetMode="External"/><Relationship Id="rId956" Type="http://schemas.openxmlformats.org/officeDocument/2006/relationships/hyperlink" Target="https://alpha.midjourney.com/jobs/309667e3-9709-4077-8563-7cf140bf1479?index=0" TargetMode="External"/><Relationship Id="rId713" Type="http://schemas.openxmlformats.org/officeDocument/2006/relationships/hyperlink" Target="https://alpha.midjourney.com/jobs/7e524fb9-e723-4ade-b636-4fc0ba247ccf?index=3" TargetMode="External"/><Relationship Id="rId955" Type="http://schemas.openxmlformats.org/officeDocument/2006/relationships/hyperlink" Target="https://alpha.midjourney.com/jobs/dd9ab03e-052b-4097-af6c-3b3cadeb1397?index=1" TargetMode="External"/><Relationship Id="rId59" Type="http://schemas.openxmlformats.org/officeDocument/2006/relationships/hyperlink" Target="https://alpha.midjourney.com/jobs/1f07f7a9-7dee-4e5f-8dfa-56eb67811678?index=1" TargetMode="External"/><Relationship Id="rId58" Type="http://schemas.openxmlformats.org/officeDocument/2006/relationships/hyperlink" Target="https://alpha.midjourney.com/jobs/2892cac4-ecfc-4b4f-a4e9-1eb61a4971a8?index=3" TargetMode="External"/><Relationship Id="rId950" Type="http://schemas.openxmlformats.org/officeDocument/2006/relationships/hyperlink" Target="https://alpha.midjourney.com/jobs/514b7e19-3768-488b-b1b3-299534fdd868?index=1" TargetMode="External"/><Relationship Id="rId590" Type="http://schemas.openxmlformats.org/officeDocument/2006/relationships/hyperlink" Target="https://alpha.midjourney.com/jobs/af6bbace-c1a5-4a89-859d-e260f362a5a4?index=2" TargetMode="External"/><Relationship Id="rId107" Type="http://schemas.openxmlformats.org/officeDocument/2006/relationships/hyperlink" Target="https://alpha.midjourney.com/jobs/12474128-0863-4da2-aff8-997b73fe9878?index=3" TargetMode="External"/><Relationship Id="rId349" Type="http://schemas.openxmlformats.org/officeDocument/2006/relationships/hyperlink" Target="https://alpha.midjourney.com/jobs/4ccb8031-ae89-47b6-a633-e16eac63166b?index=3" TargetMode="External"/><Relationship Id="rId106" Type="http://schemas.openxmlformats.org/officeDocument/2006/relationships/hyperlink" Target="https://alpha.midjourney.com/jobs/c2526578-9eb7-4bfc-b6cd-0f981333543c?index=1" TargetMode="External"/><Relationship Id="rId348" Type="http://schemas.openxmlformats.org/officeDocument/2006/relationships/hyperlink" Target="https://alpha.midjourney.com/jobs/7bb8e808-62d2-41bb-8749-200a9089a3e9?index=2" TargetMode="External"/><Relationship Id="rId105" Type="http://schemas.openxmlformats.org/officeDocument/2006/relationships/hyperlink" Target="https://alpha.midjourney.com/jobs/804192d1-d6b1-471f-8286-b2c1ae535674?index=3" TargetMode="External"/><Relationship Id="rId347" Type="http://schemas.openxmlformats.org/officeDocument/2006/relationships/hyperlink" Target="https://alpha.midjourney.com/jobs/658a4dd0-bf6d-47e7-86d8-52ee52a8f214?index=2" TargetMode="External"/><Relationship Id="rId589" Type="http://schemas.openxmlformats.org/officeDocument/2006/relationships/hyperlink" Target="https://alpha.midjourney.com/jobs/b4c3f4b0-05dc-4917-a882-3e522fb1d744?index=1" TargetMode="External"/><Relationship Id="rId104" Type="http://schemas.openxmlformats.org/officeDocument/2006/relationships/hyperlink" Target="https://alpha.midjourney.com/jobs/ff5ef09d-ca5a-4078-8295-e865d3f5ef86?index=3" TargetMode="External"/><Relationship Id="rId346" Type="http://schemas.openxmlformats.org/officeDocument/2006/relationships/hyperlink" Target="https://alpha.midjourney.com/jobs/436c6169-6856-4831-9b5e-36c538fafa7c?index=3" TargetMode="External"/><Relationship Id="rId588" Type="http://schemas.openxmlformats.org/officeDocument/2006/relationships/hyperlink" Target="https://alpha.midjourney.com/jobs/b4c3f4b0-05dc-4917-a882-3e522fb1d744?index=3" TargetMode="External"/><Relationship Id="rId109" Type="http://schemas.openxmlformats.org/officeDocument/2006/relationships/hyperlink" Target="https://alpha.midjourney.com/jobs/9062fc96-38af-4b94-bb8b-58724ee3e784?index=3" TargetMode="External"/><Relationship Id="rId1170" Type="http://schemas.openxmlformats.org/officeDocument/2006/relationships/hyperlink" Target="https://alpha.midjourney.com/jobs/3bce2cc2-7905-4055-a5c5-f61caeece66e?index=1" TargetMode="External"/><Relationship Id="rId108" Type="http://schemas.openxmlformats.org/officeDocument/2006/relationships/hyperlink" Target="https://alpha.midjourney.com/jobs/65856a62-0cc5-4789-aeaa-4499b714d3e5?index=0" TargetMode="External"/><Relationship Id="rId1171" Type="http://schemas.openxmlformats.org/officeDocument/2006/relationships/hyperlink" Target="https://alpha.midjourney.com/jobs/dd8db80a-be81-42cd-8117-d370f2fdce6b?index=1" TargetMode="External"/><Relationship Id="rId341" Type="http://schemas.openxmlformats.org/officeDocument/2006/relationships/hyperlink" Target="https://alpha.midjourney.com/jobs/ded5b3c8-a989-40e4-8be3-5ac67cf41736?index=0" TargetMode="External"/><Relationship Id="rId583" Type="http://schemas.openxmlformats.org/officeDocument/2006/relationships/hyperlink" Target="https://alpha.midjourney.com/jobs/8300a565-8179-4b9c-9445-18cd11e30feb?index=2" TargetMode="External"/><Relationship Id="rId1172" Type="http://schemas.openxmlformats.org/officeDocument/2006/relationships/hyperlink" Target="https://alpha.midjourney.com/jobs/8bc651f8-5a74-46c8-a338-5e7470e20d29?index=1" TargetMode="External"/><Relationship Id="rId340" Type="http://schemas.openxmlformats.org/officeDocument/2006/relationships/hyperlink" Target="https://alpha.midjourney.com/jobs/fe6e9b6c-1cca-4a3d-b1ff-7bb7fd6ebc36?index=0" TargetMode="External"/><Relationship Id="rId582" Type="http://schemas.openxmlformats.org/officeDocument/2006/relationships/hyperlink" Target="https://alpha.midjourney.com/jobs/6a68bc3e-bd7f-4880-954d-ff357e0580c0?index=2" TargetMode="External"/><Relationship Id="rId1173" Type="http://schemas.openxmlformats.org/officeDocument/2006/relationships/hyperlink" Target="https://alpha.midjourney.com/jobs/b22ff1f1-e6fc-4125-8cea-7232f92d9b45?index=2" TargetMode="External"/><Relationship Id="rId581" Type="http://schemas.openxmlformats.org/officeDocument/2006/relationships/hyperlink" Target="https://alpha.midjourney.com/jobs/1896af7e-08b8-4744-8b7a-ffb98cf9d3de?index=1" TargetMode="External"/><Relationship Id="rId1174" Type="http://schemas.openxmlformats.org/officeDocument/2006/relationships/hyperlink" Target="https://alpha.midjourney.com/jobs/269c73b0-be3d-48c0-ac52-459559b29a4f?index=1" TargetMode="External"/><Relationship Id="rId580" Type="http://schemas.openxmlformats.org/officeDocument/2006/relationships/hyperlink" Target="https://alpha.midjourney.com/jobs/c9d4bd01-17d8-4d2f-9739-b9d56ab0d774?index=0" TargetMode="External"/><Relationship Id="rId1175" Type="http://schemas.openxmlformats.org/officeDocument/2006/relationships/hyperlink" Target="https://alpha.midjourney.com/jobs/9b189e33-907b-4b73-9d91-41505c20174c?index=2" TargetMode="External"/><Relationship Id="rId103" Type="http://schemas.openxmlformats.org/officeDocument/2006/relationships/hyperlink" Target="https://alpha.midjourney.com/jobs/68687551-a06f-4550-bc88-6c49a58ac029?index=2" TargetMode="External"/><Relationship Id="rId345" Type="http://schemas.openxmlformats.org/officeDocument/2006/relationships/hyperlink" Target="https://alpha.midjourney.com/jobs/5b8a0ee5-409e-4609-8aba-0c49858830f9?index=0" TargetMode="External"/><Relationship Id="rId587" Type="http://schemas.openxmlformats.org/officeDocument/2006/relationships/hyperlink" Target="https://alpha.midjourney.com/jobs/aa227e04-65dd-48c2-abfd-6e6fa6008da2?index=3" TargetMode="External"/><Relationship Id="rId1176" Type="http://schemas.openxmlformats.org/officeDocument/2006/relationships/hyperlink" Target="https://alpha.midjourney.com/jobs/486584b2-e68e-44a9-a038-0edfd1135259?index=3" TargetMode="External"/><Relationship Id="rId102" Type="http://schemas.openxmlformats.org/officeDocument/2006/relationships/hyperlink" Target="https://alpha.midjourney.com/jobs/903c649b-d0e0-4b79-8d43-b2091e120243?index=0" TargetMode="External"/><Relationship Id="rId344" Type="http://schemas.openxmlformats.org/officeDocument/2006/relationships/hyperlink" Target="https://alpha.midjourney.com/jobs/5b8a0ee5-409e-4609-8aba-0c49858830f9?index=3" TargetMode="External"/><Relationship Id="rId586" Type="http://schemas.openxmlformats.org/officeDocument/2006/relationships/hyperlink" Target="https://alpha.midjourney.com/jobs/aa227e04-65dd-48c2-abfd-6e6fa6008da2?index=0" TargetMode="External"/><Relationship Id="rId1177" Type="http://schemas.openxmlformats.org/officeDocument/2006/relationships/hyperlink" Target="https://alpha.midjourney.com/jobs/5303463c-59b3-4fb2-94c4-4a297ae0ad1a?index=1" TargetMode="External"/><Relationship Id="rId101" Type="http://schemas.openxmlformats.org/officeDocument/2006/relationships/hyperlink" Target="https://alpha.midjourney.com/jobs/903c649b-d0e0-4b79-8d43-b2091e120243?index=3" TargetMode="External"/><Relationship Id="rId343" Type="http://schemas.openxmlformats.org/officeDocument/2006/relationships/hyperlink" Target="https://alpha.midjourney.com/jobs/affa39b4-9e17-48c4-8895-78b1f433b9f7?index=0" TargetMode="External"/><Relationship Id="rId585" Type="http://schemas.openxmlformats.org/officeDocument/2006/relationships/hyperlink" Target="https://alpha.midjourney.com/jobs/8eec2fb9-6cc5-4526-b1b2-63f80ac65f95?index=1" TargetMode="External"/><Relationship Id="rId1178" Type="http://schemas.openxmlformats.org/officeDocument/2006/relationships/hyperlink" Target="https://alpha.midjourney.com/jobs/6c892b4d-9f53-4686-88b5-2ef14a829397?index=1" TargetMode="External"/><Relationship Id="rId100" Type="http://schemas.openxmlformats.org/officeDocument/2006/relationships/hyperlink" Target="https://alpha.midjourney.com/jobs/ff5ef09d-ca5a-4078-8295-e865d3f5ef86?index=1" TargetMode="External"/><Relationship Id="rId342" Type="http://schemas.openxmlformats.org/officeDocument/2006/relationships/hyperlink" Target="https://alpha.midjourney.com/jobs/7f5227db-8efa-4198-aad8-a7303c4834f9?index=0" TargetMode="External"/><Relationship Id="rId584" Type="http://schemas.openxmlformats.org/officeDocument/2006/relationships/hyperlink" Target="https://alpha.midjourney.com/jobs/7953e818-8128-4a30-b696-521dc3af66e0?index=2" TargetMode="External"/><Relationship Id="rId1179" Type="http://schemas.openxmlformats.org/officeDocument/2006/relationships/hyperlink" Target="https://alpha.midjourney.com/jobs/6c892b4d-9f53-4686-88b5-2ef14a829397?index=0" TargetMode="External"/><Relationship Id="rId1169" Type="http://schemas.openxmlformats.org/officeDocument/2006/relationships/hyperlink" Target="https://alpha.midjourney.com/jobs/902f686b-2aa6-427e-aa01-bd0121e13b27?index=1" TargetMode="External"/><Relationship Id="rId338" Type="http://schemas.openxmlformats.org/officeDocument/2006/relationships/hyperlink" Target="https://alpha.midjourney.com/jobs/e641b986-4bf2-46ee-bff1-f15abfe257b6?index=0" TargetMode="External"/><Relationship Id="rId337" Type="http://schemas.openxmlformats.org/officeDocument/2006/relationships/hyperlink" Target="https://alpha.midjourney.com/jobs/081fdde2-8231-41d5-aa5c-be3ff2f37b5d?index=2" TargetMode="External"/><Relationship Id="rId579" Type="http://schemas.openxmlformats.org/officeDocument/2006/relationships/hyperlink" Target="https://alpha.midjourney.com/jobs/c9d4bd01-17d8-4d2f-9739-b9d56ab0d774?index=2" TargetMode="External"/><Relationship Id="rId336" Type="http://schemas.openxmlformats.org/officeDocument/2006/relationships/hyperlink" Target="https://alpha.midjourney.com/jobs/78be4041-6983-4fec-ac2f-158748bc0f07?index=1" TargetMode="External"/><Relationship Id="rId578" Type="http://schemas.openxmlformats.org/officeDocument/2006/relationships/hyperlink" Target="https://alpha.midjourney.com/jobs/4472fa6e-c6fb-4157-b854-c8e1d2b42995?index=3" TargetMode="External"/><Relationship Id="rId335" Type="http://schemas.openxmlformats.org/officeDocument/2006/relationships/hyperlink" Target="https://alpha.midjourney.com/jobs/7dd032d6-0ed5-4d3f-926c-322526d5acea?index=3" TargetMode="External"/><Relationship Id="rId577" Type="http://schemas.openxmlformats.org/officeDocument/2006/relationships/hyperlink" Target="https://alpha.midjourney.com/jobs/cad89887-2107-4a4a-a838-1f9e91e99c08?index=0" TargetMode="External"/><Relationship Id="rId339" Type="http://schemas.openxmlformats.org/officeDocument/2006/relationships/hyperlink" Target="https://alpha.midjourney.com/jobs/7f7e7244-f70d-4340-bc00-db8ba5869d51?index=0" TargetMode="External"/><Relationship Id="rId1160" Type="http://schemas.openxmlformats.org/officeDocument/2006/relationships/hyperlink" Target="https://alpha.midjourney.com/jobs/83ca19e2-2e10-4948-8314-32f44a89dd14?index=2" TargetMode="External"/><Relationship Id="rId330" Type="http://schemas.openxmlformats.org/officeDocument/2006/relationships/hyperlink" Target="https://alpha.midjourney.com/jobs/54179720-6bdf-4c71-8029-954ac967324e?index=2" TargetMode="External"/><Relationship Id="rId572" Type="http://schemas.openxmlformats.org/officeDocument/2006/relationships/hyperlink" Target="https://alpha.midjourney.com/jobs/1c4b3aa0-24ce-4b0d-932d-a4ef2357ffd3?index=3" TargetMode="External"/><Relationship Id="rId1161" Type="http://schemas.openxmlformats.org/officeDocument/2006/relationships/hyperlink" Target="https://alpha.midjourney.com/jobs/3fd9ed41-930b-449c-a0d8-a582a3a8dc51?index=0" TargetMode="External"/><Relationship Id="rId571" Type="http://schemas.openxmlformats.org/officeDocument/2006/relationships/hyperlink" Target="https://alpha.midjourney.com/jobs/2d0e2890-33fe-48d4-b23e-7e57b1b55461?index=2" TargetMode="External"/><Relationship Id="rId1162" Type="http://schemas.openxmlformats.org/officeDocument/2006/relationships/hyperlink" Target="https://alpha.midjourney.com/jobs/00267bdd-11c8-4813-bb0a-c2bdd022a05b?index=0" TargetMode="External"/><Relationship Id="rId570" Type="http://schemas.openxmlformats.org/officeDocument/2006/relationships/hyperlink" Target="https://alpha.midjourney.com/jobs/c4613f86-a57d-47d7-a262-96719837ce9c?index=1" TargetMode="External"/><Relationship Id="rId1163" Type="http://schemas.openxmlformats.org/officeDocument/2006/relationships/hyperlink" Target="https://alpha.midjourney.com/jobs/6107e5e2-617d-4d5b-a627-cf5deb354a6e?index=3" TargetMode="External"/><Relationship Id="rId1164" Type="http://schemas.openxmlformats.org/officeDocument/2006/relationships/hyperlink" Target="https://alpha.midjourney.com/jobs/45147fdd-22bb-48d5-8aa9-4356dcba8b46?index=3" TargetMode="External"/><Relationship Id="rId334" Type="http://schemas.openxmlformats.org/officeDocument/2006/relationships/hyperlink" Target="https://alpha.midjourney.com/jobs/7daae98b-96af-490a-abb0-c40d53d449c6?index=1" TargetMode="External"/><Relationship Id="rId576" Type="http://schemas.openxmlformats.org/officeDocument/2006/relationships/hyperlink" Target="https://alpha.midjourney.com/jobs/cad89887-2107-4a4a-a838-1f9e91e99c08?index=3" TargetMode="External"/><Relationship Id="rId1165" Type="http://schemas.openxmlformats.org/officeDocument/2006/relationships/hyperlink" Target="https://alpha.midjourney.com/jobs/b38389ae-b105-4352-ac14-8ca725bda834?index=1" TargetMode="External"/><Relationship Id="rId333" Type="http://schemas.openxmlformats.org/officeDocument/2006/relationships/hyperlink" Target="https://alpha.midjourney.com/jobs/ff085a28-2be3-400f-b0aa-dfbaad7ad260?index=3" TargetMode="External"/><Relationship Id="rId575" Type="http://schemas.openxmlformats.org/officeDocument/2006/relationships/hyperlink" Target="https://alpha.midjourney.com/jobs/e18914ea-b88b-4850-b270-9a974e0f9c38?index=3" TargetMode="External"/><Relationship Id="rId1166" Type="http://schemas.openxmlformats.org/officeDocument/2006/relationships/hyperlink" Target="https://alpha.midjourney.com/jobs/c6073419-0b0b-47be-b834-e6de5a6e38db?index=1" TargetMode="External"/><Relationship Id="rId332" Type="http://schemas.openxmlformats.org/officeDocument/2006/relationships/hyperlink" Target="https://alpha.midjourney.com/jobs/21aae87c-bcf0-4967-94c8-66c12bd2dd5f?index=2" TargetMode="External"/><Relationship Id="rId574" Type="http://schemas.openxmlformats.org/officeDocument/2006/relationships/hyperlink" Target="https://alpha.midjourney.com/jobs/a7bc418c-0990-4a3f-bc7d-3afbdf436f51?index=3" TargetMode="External"/><Relationship Id="rId1167" Type="http://schemas.openxmlformats.org/officeDocument/2006/relationships/hyperlink" Target="https://alpha.midjourney.com/jobs/c6073419-0b0b-47be-b834-e6de5a6e38db?index=2" TargetMode="External"/><Relationship Id="rId331" Type="http://schemas.openxmlformats.org/officeDocument/2006/relationships/hyperlink" Target="https://alpha.midjourney.com/jobs/9abdcae0-7389-454b-bde3-fb534aec9fa4?index=1" TargetMode="External"/><Relationship Id="rId573" Type="http://schemas.openxmlformats.org/officeDocument/2006/relationships/hyperlink" Target="https://alpha.midjourney.com/jobs/f7f3688f-3853-44d1-bca6-d995d6876cc0?index=3" TargetMode="External"/><Relationship Id="rId1168" Type="http://schemas.openxmlformats.org/officeDocument/2006/relationships/hyperlink" Target="https://alpha.midjourney.com/jobs/56ad7b68-b4aa-44c6-ba28-2093ea5e6556?index=3" TargetMode="External"/><Relationship Id="rId370" Type="http://schemas.openxmlformats.org/officeDocument/2006/relationships/hyperlink" Target="https://alpha.midjourney.com/jobs/739a58d2-3c6f-4364-ab8f-ebafeec197d5?index=0" TargetMode="External"/><Relationship Id="rId129" Type="http://schemas.openxmlformats.org/officeDocument/2006/relationships/hyperlink" Target="https://alpha.midjourney.com/jobs/e6e0a2be-8317-493d-9a2a-cb227f34a270?index=0" TargetMode="External"/><Relationship Id="rId128" Type="http://schemas.openxmlformats.org/officeDocument/2006/relationships/hyperlink" Target="https://alpha.midjourney.com/jobs/5af4932e-1176-4e5d-a15a-6e1142f73928?index=2" TargetMode="External"/><Relationship Id="rId127" Type="http://schemas.openxmlformats.org/officeDocument/2006/relationships/hyperlink" Target="https://alpha.midjourney.com/jobs/bdfca501-4b58-4f97-83e7-bcf89c7e7f5e?index=0" TargetMode="External"/><Relationship Id="rId369" Type="http://schemas.openxmlformats.org/officeDocument/2006/relationships/hyperlink" Target="https://alpha.midjourney.com/jobs/3254d5f3-70c2-4778-9d74-447ca7154551?index=0" TargetMode="External"/><Relationship Id="rId126" Type="http://schemas.openxmlformats.org/officeDocument/2006/relationships/hyperlink" Target="https://alpha.midjourney.com/jobs/da9010de-44c1-42bf-8bbc-f7eb026c1882?index=2" TargetMode="External"/><Relationship Id="rId368" Type="http://schemas.openxmlformats.org/officeDocument/2006/relationships/hyperlink" Target="https://alpha.midjourney.com/jobs/1b8a54a1-1648-471a-8773-d33323edfc6c?index=1" TargetMode="External"/><Relationship Id="rId1190" Type="http://schemas.openxmlformats.org/officeDocument/2006/relationships/hyperlink" Target="https://alpha.midjourney.com/jobs/f118c9e8-6691-4568-b982-bdee8c4d3c48?index=1" TargetMode="External"/><Relationship Id="rId1191" Type="http://schemas.openxmlformats.org/officeDocument/2006/relationships/hyperlink" Target="https://alpha.midjourney.com/jobs/b66028ef-5e3a-4038-a5ee-304d9808015f?index=2" TargetMode="External"/><Relationship Id="rId1192" Type="http://schemas.openxmlformats.org/officeDocument/2006/relationships/hyperlink" Target="https://alpha.midjourney.com/jobs/1f413697-4aa9-4268-8632-34cae7b439c3?index=3" TargetMode="External"/><Relationship Id="rId1193" Type="http://schemas.openxmlformats.org/officeDocument/2006/relationships/hyperlink" Target="https://alpha.midjourney.com/jobs/798e9110-e3d6-4bea-912e-3edf1190348b?index=0" TargetMode="External"/><Relationship Id="rId121" Type="http://schemas.openxmlformats.org/officeDocument/2006/relationships/hyperlink" Target="https://alpha.midjourney.com/jobs/2780038d-6258-4c7a-a5e0-700cdfe423f9?index=0" TargetMode="External"/><Relationship Id="rId363" Type="http://schemas.openxmlformats.org/officeDocument/2006/relationships/hyperlink" Target="https://alpha.midjourney.com/jobs/f54cfacb-1e42-4493-ae44-75344ca090eb?index=0" TargetMode="External"/><Relationship Id="rId1194" Type="http://schemas.openxmlformats.org/officeDocument/2006/relationships/hyperlink" Target="https://alpha.midjourney.com/jobs/c1f6934b-b3f3-4886-b338-7f2a1e30579d?index=0" TargetMode="External"/><Relationship Id="rId120" Type="http://schemas.openxmlformats.org/officeDocument/2006/relationships/hyperlink" Target="https://alpha.midjourney.com/jobs/ab137782-70f1-4ba3-840a-49cf4fda7bbe?index=3" TargetMode="External"/><Relationship Id="rId362" Type="http://schemas.openxmlformats.org/officeDocument/2006/relationships/hyperlink" Target="https://alpha.midjourney.com/jobs/f54cfacb-1e42-4493-ae44-75344ca090eb?index=3" TargetMode="External"/><Relationship Id="rId1195" Type="http://schemas.openxmlformats.org/officeDocument/2006/relationships/hyperlink" Target="https://alpha.midjourney.com/jobs/c1f6934b-b3f3-4886-b338-7f2a1e30579d?index=3" TargetMode="External"/><Relationship Id="rId361" Type="http://schemas.openxmlformats.org/officeDocument/2006/relationships/hyperlink" Target="https://alpha.midjourney.com/jobs/4b0ae33e-48b0-4a70-bfe7-b7fb1ce19584?index=1" TargetMode="External"/><Relationship Id="rId1196" Type="http://schemas.openxmlformats.org/officeDocument/2006/relationships/hyperlink" Target="https://alpha.midjourney.com/jobs/1e429c2b-5a05-49ab-9489-c12018649b91?index=3" TargetMode="External"/><Relationship Id="rId360" Type="http://schemas.openxmlformats.org/officeDocument/2006/relationships/hyperlink" Target="https://alpha.midjourney.com/jobs/1b37b6ab-c626-42c3-a564-3b3f1a292370?index=3" TargetMode="External"/><Relationship Id="rId1197" Type="http://schemas.openxmlformats.org/officeDocument/2006/relationships/hyperlink" Target="https://alpha.midjourney.com/jobs/73e183ab-cd8f-4e66-b328-a4226a72e32b?index=1" TargetMode="External"/><Relationship Id="rId125" Type="http://schemas.openxmlformats.org/officeDocument/2006/relationships/hyperlink" Target="https://alpha.midjourney.com/jobs/42ab612c-d4a4-4640-b0eb-a0098355068a?index=1" TargetMode="External"/><Relationship Id="rId367" Type="http://schemas.openxmlformats.org/officeDocument/2006/relationships/hyperlink" Target="https://alpha.midjourney.com/jobs/248cc2ef-d54f-4c1d-9f95-f808eebe5123?index=1" TargetMode="External"/><Relationship Id="rId1198" Type="http://schemas.openxmlformats.org/officeDocument/2006/relationships/hyperlink" Target="https://alpha.midjourney.com/jobs/93428f42-6dac-49ed-8e69-43a69015a590?index=0" TargetMode="External"/><Relationship Id="rId124" Type="http://schemas.openxmlformats.org/officeDocument/2006/relationships/hyperlink" Target="https://alpha.midjourney.com/jobs/42ab612c-d4a4-4640-b0eb-a0098355068a?index=2" TargetMode="External"/><Relationship Id="rId366" Type="http://schemas.openxmlformats.org/officeDocument/2006/relationships/hyperlink" Target="https://alpha.midjourney.com/jobs/eb3f1d41-8b02-4a4e-9e85-b717a42a61d7?index=0" TargetMode="External"/><Relationship Id="rId1199" Type="http://schemas.openxmlformats.org/officeDocument/2006/relationships/hyperlink" Target="https://alpha.midjourney.com/jobs/62caf3af-4107-40ab-861f-b8b9f3da8602?index=2" TargetMode="External"/><Relationship Id="rId123" Type="http://schemas.openxmlformats.org/officeDocument/2006/relationships/hyperlink" Target="https://alpha.midjourney.com/jobs/bb160c1d-6202-4543-88a9-152dadcce248?index=2" TargetMode="External"/><Relationship Id="rId365" Type="http://schemas.openxmlformats.org/officeDocument/2006/relationships/hyperlink" Target="https://alpha.midjourney.com/jobs/7d6a21a3-e2bd-43f2-aa74-e2d49596992c?index=0" TargetMode="External"/><Relationship Id="rId122" Type="http://schemas.openxmlformats.org/officeDocument/2006/relationships/hyperlink" Target="https://alpha.midjourney.com/jobs/20fb2d42-8fe0-4690-82e2-b7936769540e?index=1" TargetMode="External"/><Relationship Id="rId364" Type="http://schemas.openxmlformats.org/officeDocument/2006/relationships/hyperlink" Target="https://alpha.midjourney.com/jobs/dd03d379-c986-4895-b4bb-66fda0d2eb11?index=2" TargetMode="External"/><Relationship Id="rId95" Type="http://schemas.openxmlformats.org/officeDocument/2006/relationships/hyperlink" Target="https://alpha.midjourney.com/jobs/011a319f-3ec2-43a4-ae07-e31e88bbcfcf?index=2" TargetMode="External"/><Relationship Id="rId94" Type="http://schemas.openxmlformats.org/officeDocument/2006/relationships/hyperlink" Target="https://alpha.midjourney.com/jobs/a05bda9e-586e-49de-8c32-0f6e47fd8831?index=2" TargetMode="External"/><Relationship Id="rId97" Type="http://schemas.openxmlformats.org/officeDocument/2006/relationships/hyperlink" Target="https://alpha.midjourney.com/jobs/7515835a-18c0-492f-95bd-2b1b2539a4df?index=1" TargetMode="External"/><Relationship Id="rId96" Type="http://schemas.openxmlformats.org/officeDocument/2006/relationships/hyperlink" Target="https://alpha.midjourney.com/jobs/34302934-0ce2-4d12-9b6b-bcbfb2dd2748?index=0" TargetMode="External"/><Relationship Id="rId99" Type="http://schemas.openxmlformats.org/officeDocument/2006/relationships/hyperlink" Target="https://alpha.midjourney.com/jobs/faebf78e-524b-4699-86cf-5a06ec2912c9?index=0" TargetMode="External"/><Relationship Id="rId98" Type="http://schemas.openxmlformats.org/officeDocument/2006/relationships/hyperlink" Target="https://alpha.midjourney.com/jobs/219392dd-7217-4d08-88a4-07fe545e4e60?index=0" TargetMode="External"/><Relationship Id="rId91" Type="http://schemas.openxmlformats.org/officeDocument/2006/relationships/hyperlink" Target="https://alpha.midjourney.com/jobs/e799950f-85b6-4223-b8ea-bc9ef93d3c23?index=1" TargetMode="External"/><Relationship Id="rId90" Type="http://schemas.openxmlformats.org/officeDocument/2006/relationships/hyperlink" Target="https://alpha.midjourney.com/jobs/85566897-5ef8-42df-8c72-36628a9dd9fc?index=1" TargetMode="External"/><Relationship Id="rId93" Type="http://schemas.openxmlformats.org/officeDocument/2006/relationships/hyperlink" Target="https://alpha.midjourney.com/jobs/957a1f61-1c1b-4a33-82ab-c17bcc78d8f9?index=0" TargetMode="External"/><Relationship Id="rId92" Type="http://schemas.openxmlformats.org/officeDocument/2006/relationships/hyperlink" Target="https://alpha.midjourney.com/jobs/957a1f61-1c1b-4a33-82ab-c17bcc78d8f9?index=1" TargetMode="External"/><Relationship Id="rId118" Type="http://schemas.openxmlformats.org/officeDocument/2006/relationships/hyperlink" Target="https://alpha.midjourney.com/jobs/4cc82fb7-ff66-4625-86b9-bd6b6019e512?index=2" TargetMode="External"/><Relationship Id="rId117" Type="http://schemas.openxmlformats.org/officeDocument/2006/relationships/hyperlink" Target="https://alpha.midjourney.com/jobs/02764ac5-6b69-4645-b186-6ada5c5faed8?index=3" TargetMode="External"/><Relationship Id="rId359" Type="http://schemas.openxmlformats.org/officeDocument/2006/relationships/hyperlink" Target="https://alpha.midjourney.com/jobs/d1d4e43a-6294-4cca-b9e9-a8a9b7c14773?index=2" TargetMode="External"/><Relationship Id="rId116" Type="http://schemas.openxmlformats.org/officeDocument/2006/relationships/hyperlink" Target="https://alpha.midjourney.com/jobs/cd0a04f4-a1cb-40f4-910e-eb46d3902255?index=0" TargetMode="External"/><Relationship Id="rId358" Type="http://schemas.openxmlformats.org/officeDocument/2006/relationships/hyperlink" Target="https://alpha.midjourney.com/jobs/e7c5e4fe-638b-4178-857e-6623f117ac1e?index=3" TargetMode="External"/><Relationship Id="rId115" Type="http://schemas.openxmlformats.org/officeDocument/2006/relationships/hyperlink" Target="https://alpha.midjourney.com/jobs/93adb4ae-5796-400d-8a5b-0445ab93be6c?index=3" TargetMode="External"/><Relationship Id="rId357" Type="http://schemas.openxmlformats.org/officeDocument/2006/relationships/hyperlink" Target="https://alpha.midjourney.com/jobs/23146584-f12d-4df7-9044-bc3fddd5aed1?index=2" TargetMode="External"/><Relationship Id="rId599" Type="http://schemas.openxmlformats.org/officeDocument/2006/relationships/hyperlink" Target="https://alpha.midjourney.com/jobs/8cc237fc-a571-4903-b553-94f9efeddb14?index=1" TargetMode="External"/><Relationship Id="rId1180" Type="http://schemas.openxmlformats.org/officeDocument/2006/relationships/hyperlink" Target="https://alpha.midjourney.com/jobs/8ddea716-e1f9-491b-aca2-f52b67ebc68d?index=0" TargetMode="External"/><Relationship Id="rId1181" Type="http://schemas.openxmlformats.org/officeDocument/2006/relationships/hyperlink" Target="https://alpha.midjourney.com/jobs/20c46836-19bc-4c62-8431-98b2760b75d0?index=3" TargetMode="External"/><Relationship Id="rId119" Type="http://schemas.openxmlformats.org/officeDocument/2006/relationships/hyperlink" Target="https://alpha.midjourney.com/jobs/172ae98b-46c0-4825-b85b-219a47dfecc0?index=2" TargetMode="External"/><Relationship Id="rId1182" Type="http://schemas.openxmlformats.org/officeDocument/2006/relationships/hyperlink" Target="https://alpha.midjourney.com/jobs/20c46836-19bc-4c62-8431-98b2760b75d0?index=2" TargetMode="External"/><Relationship Id="rId110" Type="http://schemas.openxmlformats.org/officeDocument/2006/relationships/hyperlink" Target="https://alpha.midjourney.com/jobs/f0b193a4-3e5e-45a0-b6e9-a1b7fcfb4f49?index=2" TargetMode="External"/><Relationship Id="rId352" Type="http://schemas.openxmlformats.org/officeDocument/2006/relationships/hyperlink" Target="https://alpha.midjourney.com/jobs/d85c9fc4-fcbf-4427-9461-c7d69924fd22?index=3" TargetMode="External"/><Relationship Id="rId594" Type="http://schemas.openxmlformats.org/officeDocument/2006/relationships/hyperlink" Target="https://alpha.midjourney.com/jobs/a770b241-fcb3-4872-830b-d7c0ffd5ae73?index=3" TargetMode="External"/><Relationship Id="rId1183" Type="http://schemas.openxmlformats.org/officeDocument/2006/relationships/hyperlink" Target="https://alpha.midjourney.com/jobs/149f71d5-4d94-4947-8b64-95192764e495?index=3" TargetMode="External"/><Relationship Id="rId351" Type="http://schemas.openxmlformats.org/officeDocument/2006/relationships/hyperlink" Target="https://alpha.midjourney.com/jobs/33f7cc2c-e93d-4e2c-9b65-000f7fec5b4d?index=3" TargetMode="External"/><Relationship Id="rId593" Type="http://schemas.openxmlformats.org/officeDocument/2006/relationships/hyperlink" Target="https://alpha.midjourney.com/jobs/058ca6a3-cba6-4255-a098-e15d86ecc1d3?index=3" TargetMode="External"/><Relationship Id="rId1184" Type="http://schemas.openxmlformats.org/officeDocument/2006/relationships/hyperlink" Target="https://alpha.midjourney.com/jobs/67b753bb-9933-44e4-9173-3b0063249ccb?index=0" TargetMode="External"/><Relationship Id="rId350" Type="http://schemas.openxmlformats.org/officeDocument/2006/relationships/hyperlink" Target="https://alpha.midjourney.com/jobs/7f81eb9e-f062-46de-9105-f93730a4e7fb?index=0" TargetMode="External"/><Relationship Id="rId592" Type="http://schemas.openxmlformats.org/officeDocument/2006/relationships/hyperlink" Target="https://alpha.midjourney.com/jobs/18828197-cdfc-419a-ae08-acae2277df70?index=0" TargetMode="External"/><Relationship Id="rId1185" Type="http://schemas.openxmlformats.org/officeDocument/2006/relationships/hyperlink" Target="https://alpha.midjourney.com/jobs/6739ef37-0162-403e-aa5f-1618dfc3f388?index=1" TargetMode="External"/><Relationship Id="rId591" Type="http://schemas.openxmlformats.org/officeDocument/2006/relationships/hyperlink" Target="https://alpha.midjourney.com/jobs/18828197-cdfc-419a-ae08-acae2277df70?index=1" TargetMode="External"/><Relationship Id="rId1186" Type="http://schemas.openxmlformats.org/officeDocument/2006/relationships/hyperlink" Target="https://alpha.midjourney.com/jobs/ead00509-22e1-4300-a2f5-37e68b0be839?index=1" TargetMode="External"/><Relationship Id="rId114" Type="http://schemas.openxmlformats.org/officeDocument/2006/relationships/hyperlink" Target="https://alpha.midjourney.com/jobs/d19499fa-993e-4909-94ee-2b9c8761e795?index=1" TargetMode="External"/><Relationship Id="rId356" Type="http://schemas.openxmlformats.org/officeDocument/2006/relationships/hyperlink" Target="https://alpha.midjourney.com/jobs/3ece9766-fbca-4a9f-b43c-ceacdfd34356?index=0" TargetMode="External"/><Relationship Id="rId598" Type="http://schemas.openxmlformats.org/officeDocument/2006/relationships/hyperlink" Target="https://alpha.midjourney.com/jobs/7de8364c-0f5a-4d7b-b841-1f453c148129?index=0" TargetMode="External"/><Relationship Id="rId1187" Type="http://schemas.openxmlformats.org/officeDocument/2006/relationships/hyperlink" Target="https://alpha.midjourney.com/jobs/46a0753e-b7f5-4268-a101-deb73939d6be?index=2" TargetMode="External"/><Relationship Id="rId113" Type="http://schemas.openxmlformats.org/officeDocument/2006/relationships/hyperlink" Target="https://alpha.midjourney.com/jobs/0852a4f6-c4cd-4d01-a719-8673b0ba2f74?index=1" TargetMode="External"/><Relationship Id="rId355" Type="http://schemas.openxmlformats.org/officeDocument/2006/relationships/hyperlink" Target="https://alpha.midjourney.com/jobs/7b986382-842d-4894-bfa5-8f3a13c28048?index=1" TargetMode="External"/><Relationship Id="rId597" Type="http://schemas.openxmlformats.org/officeDocument/2006/relationships/hyperlink" Target="https://alpha.midjourney.com/jobs/b2dbb6cd-e386-4a06-bf27-555adcb9d763?index=2" TargetMode="External"/><Relationship Id="rId1188" Type="http://schemas.openxmlformats.org/officeDocument/2006/relationships/hyperlink" Target="https://alpha.midjourney.com/jobs/ead00509-22e1-4300-a2f5-37e68b0be839?index=0" TargetMode="External"/><Relationship Id="rId112" Type="http://schemas.openxmlformats.org/officeDocument/2006/relationships/hyperlink" Target="https://alpha.midjourney.com/jobs/bce13b19-a5b7-4895-991c-a343e7295bea?index=2" TargetMode="External"/><Relationship Id="rId354" Type="http://schemas.openxmlformats.org/officeDocument/2006/relationships/hyperlink" Target="https://alpha.midjourney.com/jobs/7b986382-842d-4894-bfa5-8f3a13c28048?index=2" TargetMode="External"/><Relationship Id="rId596" Type="http://schemas.openxmlformats.org/officeDocument/2006/relationships/hyperlink" Target="https://alpha.midjourney.com/jobs/ce889b3b-91f9-4ff2-add2-e60285c57b17?index=1" TargetMode="External"/><Relationship Id="rId1189" Type="http://schemas.openxmlformats.org/officeDocument/2006/relationships/hyperlink" Target="https://alpha.midjourney.com/jobs/f118c9e8-6691-4568-b982-bdee8c4d3c48?index=2" TargetMode="External"/><Relationship Id="rId111" Type="http://schemas.openxmlformats.org/officeDocument/2006/relationships/hyperlink" Target="https://alpha.midjourney.com/jobs/2593ed6f-b67a-4e7f-a8f9-a36157ed8f86?index=1" TargetMode="External"/><Relationship Id="rId353" Type="http://schemas.openxmlformats.org/officeDocument/2006/relationships/hyperlink" Target="https://alpha.midjourney.com/jobs/ded1343a-822d-4000-b96d-307220437a47?index=3" TargetMode="External"/><Relationship Id="rId595" Type="http://schemas.openxmlformats.org/officeDocument/2006/relationships/hyperlink" Target="https://alpha.midjourney.com/jobs/1702a29f-fe1f-40f0-aeb3-2892a3f1c0bc?index=2" TargetMode="External"/><Relationship Id="rId1136" Type="http://schemas.openxmlformats.org/officeDocument/2006/relationships/hyperlink" Target="https://alpha.midjourney.com/jobs/965359e2-5cae-4adb-b129-ffb698e60485?index=0" TargetMode="External"/><Relationship Id="rId1137" Type="http://schemas.openxmlformats.org/officeDocument/2006/relationships/hyperlink" Target="https://alpha.midjourney.com/jobs/196d79c9-72fd-4002-a986-7a5aaf9b8ca2?index=1" TargetMode="External"/><Relationship Id="rId1138" Type="http://schemas.openxmlformats.org/officeDocument/2006/relationships/hyperlink" Target="https://alpha.midjourney.com/jobs/85c573d7-2cdf-43a9-85ba-f42642bf4f47?index=3" TargetMode="External"/><Relationship Id="rId1139" Type="http://schemas.openxmlformats.org/officeDocument/2006/relationships/hyperlink" Target="https://alpha.midjourney.com/jobs/85c573d7-2cdf-43a9-85ba-f42642bf4f47?index=2" TargetMode="External"/><Relationship Id="rId305" Type="http://schemas.openxmlformats.org/officeDocument/2006/relationships/hyperlink" Target="https://alpha.midjourney.com/jobs/ac379b8f-0976-49e8-9984-afd4fa85d72d?index=0" TargetMode="External"/><Relationship Id="rId547" Type="http://schemas.openxmlformats.org/officeDocument/2006/relationships/hyperlink" Target="https://alpha.midjourney.com/jobs/a70a1341-a55b-41e0-af0e-c975f47bf9b4?index=0" TargetMode="External"/><Relationship Id="rId789" Type="http://schemas.openxmlformats.org/officeDocument/2006/relationships/hyperlink" Target="https://alpha.midjourney.com/jobs/1aa17e4b-0cfc-4e1a-8aba-d422bd1262f8?index=3" TargetMode="External"/><Relationship Id="rId304" Type="http://schemas.openxmlformats.org/officeDocument/2006/relationships/hyperlink" Target="https://alpha.midjourney.com/jobs/ac379b8f-0976-49e8-9984-afd4fa85d72d?index=2" TargetMode="External"/><Relationship Id="rId546" Type="http://schemas.openxmlformats.org/officeDocument/2006/relationships/hyperlink" Target="https://alpha.midjourney.com/jobs/54b00b16-65a7-4baa-b8e3-37fd71f85d8f?index=3" TargetMode="External"/><Relationship Id="rId788" Type="http://schemas.openxmlformats.org/officeDocument/2006/relationships/hyperlink" Target="https://alpha.midjourney.com/jobs/78b50fc7-c88b-4266-af01-f6310f7c66b6?index=1" TargetMode="External"/><Relationship Id="rId303" Type="http://schemas.openxmlformats.org/officeDocument/2006/relationships/hyperlink" Target="https://alpha.midjourney.com/jobs/88722dbd-81e5-4a88-b7b1-4d119407e4eb?index=2" TargetMode="External"/><Relationship Id="rId545" Type="http://schemas.openxmlformats.org/officeDocument/2006/relationships/hyperlink" Target="https://alpha.midjourney.com/jobs/fdf1b8f9-ccc0-4aaa-8191-4fab233512d4?index=0" TargetMode="External"/><Relationship Id="rId787" Type="http://schemas.openxmlformats.org/officeDocument/2006/relationships/hyperlink" Target="https://alpha.midjourney.com/jobs/3b4089d0-bf4d-4a94-bb35-c0b4906f1216?index=0" TargetMode="External"/><Relationship Id="rId302" Type="http://schemas.openxmlformats.org/officeDocument/2006/relationships/hyperlink" Target="https://alpha.midjourney.com/jobs/648f33e0-f155-4776-b3ef-cb6a2da47ad2?index=0" TargetMode="External"/><Relationship Id="rId544" Type="http://schemas.openxmlformats.org/officeDocument/2006/relationships/hyperlink" Target="https://alpha.midjourney.com/jobs/8d1657bf-8d7f-4836-b474-5c1cff1916c0?index=2" TargetMode="External"/><Relationship Id="rId786" Type="http://schemas.openxmlformats.org/officeDocument/2006/relationships/hyperlink" Target="https://alpha.midjourney.com/jobs/5a15d0ed-7e2b-4bc5-843e-bf70a3693e5e?index=0" TargetMode="External"/><Relationship Id="rId309" Type="http://schemas.openxmlformats.org/officeDocument/2006/relationships/hyperlink" Target="https://alpha.midjourney.com/jobs/c014fa78-9b56-4e92-9380-05f3c1bc63f2?index=3" TargetMode="External"/><Relationship Id="rId308" Type="http://schemas.openxmlformats.org/officeDocument/2006/relationships/hyperlink" Target="https://alpha.midjourney.com/jobs/23c28003-cb9d-4252-b47e-eb31b79c4746?index=3" TargetMode="External"/><Relationship Id="rId307" Type="http://schemas.openxmlformats.org/officeDocument/2006/relationships/hyperlink" Target="https://alpha.midjourney.com/jobs/92e4fd9a-ec61-456e-ae1a-ccf89544238d?index=1" TargetMode="External"/><Relationship Id="rId549" Type="http://schemas.openxmlformats.org/officeDocument/2006/relationships/hyperlink" Target="https://alpha.midjourney.com/jobs/4ff343f0-4546-4f8f-bb97-7214850f4953?index=1" TargetMode="External"/><Relationship Id="rId306" Type="http://schemas.openxmlformats.org/officeDocument/2006/relationships/hyperlink" Target="https://alpha.midjourney.com/jobs/ce81bdef-692d-43ea-9dce-a4b313702bd0?index=2" TargetMode="External"/><Relationship Id="rId548" Type="http://schemas.openxmlformats.org/officeDocument/2006/relationships/hyperlink" Target="https://alpha.midjourney.com/jobs/81588d14-ce8b-416b-ab7d-351ff14b045b?index=1" TargetMode="External"/><Relationship Id="rId781" Type="http://schemas.openxmlformats.org/officeDocument/2006/relationships/hyperlink" Target="https://alpha.midjourney.com/jobs/6cbb2b81-50d4-40ad-b747-ec46393643e1?index=1" TargetMode="External"/><Relationship Id="rId780" Type="http://schemas.openxmlformats.org/officeDocument/2006/relationships/hyperlink" Target="https://alpha.midjourney.com/jobs/6cbb2b81-50d4-40ad-b747-ec46393643e1?index=3" TargetMode="External"/><Relationship Id="rId1130" Type="http://schemas.openxmlformats.org/officeDocument/2006/relationships/hyperlink" Target="https://alpha.midjourney.com/jobs/daddadee-b55d-401a-adec-44c82a9e917d?index=1" TargetMode="External"/><Relationship Id="rId1131" Type="http://schemas.openxmlformats.org/officeDocument/2006/relationships/hyperlink" Target="https://alpha.midjourney.com/jobs/5ffb57a6-694c-47cf-a742-db40c1703c48?index=1" TargetMode="External"/><Relationship Id="rId301" Type="http://schemas.openxmlformats.org/officeDocument/2006/relationships/hyperlink" Target="https://alpha.midjourney.com/jobs/48fb748c-ced1-4a11-b902-08569b23ea3e?index=3" TargetMode="External"/><Relationship Id="rId543" Type="http://schemas.openxmlformats.org/officeDocument/2006/relationships/hyperlink" Target="https://alpha.midjourney.com/jobs/1c7bdaca-4cf8-4915-ae8e-aacfc7c209d2?index=3" TargetMode="External"/><Relationship Id="rId785" Type="http://schemas.openxmlformats.org/officeDocument/2006/relationships/hyperlink" Target="https://alpha.midjourney.com/jobs/92a991cd-e307-4753-906a-519a0c62105d?index=3" TargetMode="External"/><Relationship Id="rId1132" Type="http://schemas.openxmlformats.org/officeDocument/2006/relationships/hyperlink" Target="https://alpha.midjourney.com/jobs/4da0b68d-28af-4dde-a253-1c020edd6335?index=3" TargetMode="External"/><Relationship Id="rId300" Type="http://schemas.openxmlformats.org/officeDocument/2006/relationships/hyperlink" Target="https://alpha.midjourney.com/jobs/bace0219-18ab-4fad-b1cf-6dd7f636ba09?index=1" TargetMode="External"/><Relationship Id="rId542" Type="http://schemas.openxmlformats.org/officeDocument/2006/relationships/hyperlink" Target="https://alpha.midjourney.com/jobs/cb3ef15b-833e-4f93-9735-f5e82d3fc66a?index=0" TargetMode="External"/><Relationship Id="rId784" Type="http://schemas.openxmlformats.org/officeDocument/2006/relationships/hyperlink" Target="https://alpha.midjourney.com/jobs/5a15d0ed-7e2b-4bc5-843e-bf70a3693e5e?index=1" TargetMode="External"/><Relationship Id="rId1133" Type="http://schemas.openxmlformats.org/officeDocument/2006/relationships/hyperlink" Target="https://alpha.midjourney.com/jobs/69af7a08-96cc-4e74-9187-954be8881728?index=2" TargetMode="External"/><Relationship Id="rId541" Type="http://schemas.openxmlformats.org/officeDocument/2006/relationships/hyperlink" Target="https://alpha.midjourney.com/jobs/284a6f4c-c46f-4a01-9341-585d947f44bd?index=1" TargetMode="External"/><Relationship Id="rId783" Type="http://schemas.openxmlformats.org/officeDocument/2006/relationships/hyperlink" Target="https://alpha.midjourney.com/jobs/4163fbff-fc6e-4102-a952-85b519a3d421?index=2" TargetMode="External"/><Relationship Id="rId1134" Type="http://schemas.openxmlformats.org/officeDocument/2006/relationships/hyperlink" Target="https://alpha.midjourney.com/jobs/d40b4ea5-79ba-483b-88bf-1aa4af3ab4c0?index=0" TargetMode="External"/><Relationship Id="rId540" Type="http://schemas.openxmlformats.org/officeDocument/2006/relationships/hyperlink" Target="https://alpha.midjourney.com/jobs/b950d7fe-0373-44bc-876b-60878bbaa0ab?index=1" TargetMode="External"/><Relationship Id="rId782" Type="http://schemas.openxmlformats.org/officeDocument/2006/relationships/hyperlink" Target="https://alpha.midjourney.com/jobs/98223da5-e9ab-403d-be92-42edfdeb232d?index=1" TargetMode="External"/><Relationship Id="rId1135" Type="http://schemas.openxmlformats.org/officeDocument/2006/relationships/hyperlink" Target="https://alpha.midjourney.com/jobs/965359e2-5cae-4adb-b129-ffb698e60485?index=2" TargetMode="External"/><Relationship Id="rId1125" Type="http://schemas.openxmlformats.org/officeDocument/2006/relationships/hyperlink" Target="https://www.midjourney.com/jobs/e7678ed2-bc5b-40da-a284-57aab18a35b3?index=1" TargetMode="External"/><Relationship Id="rId1126" Type="http://schemas.openxmlformats.org/officeDocument/2006/relationships/hyperlink" Target="https://alpha.midjourney.com/jobs/8f5ae3e2-dfc9-4a76-8cf5-00a6d1c78db6?index=1" TargetMode="External"/><Relationship Id="rId1127" Type="http://schemas.openxmlformats.org/officeDocument/2006/relationships/hyperlink" Target="https://alpha.midjourney.com/jobs/6437093e-a986-45c7-980b-51516c02106c?index=1" TargetMode="External"/><Relationship Id="rId1128" Type="http://schemas.openxmlformats.org/officeDocument/2006/relationships/hyperlink" Target="https://alpha.midjourney.com/jobs/6034d887-e0b2-48be-9f74-002ac9b14e5a?index=2" TargetMode="External"/><Relationship Id="rId1129" Type="http://schemas.openxmlformats.org/officeDocument/2006/relationships/hyperlink" Target="https://alpha.midjourney.com/jobs/6034d887-e0b2-48be-9f74-002ac9b14e5a?index=3" TargetMode="External"/><Relationship Id="rId536" Type="http://schemas.openxmlformats.org/officeDocument/2006/relationships/hyperlink" Target="https://alpha.midjourney.com/jobs/ef758448-e6c6-4375-a43a-ca7ef038fb25?index=0" TargetMode="External"/><Relationship Id="rId778" Type="http://schemas.openxmlformats.org/officeDocument/2006/relationships/hyperlink" Target="https://alpha.midjourney.com/jobs/06aecf02-8df2-4041-bf0d-fe6ddf1c506d?index=1" TargetMode="External"/><Relationship Id="rId535" Type="http://schemas.openxmlformats.org/officeDocument/2006/relationships/hyperlink" Target="https://alpha.midjourney.com/jobs/8681b697-3ab5-4ab3-8d4d-13ada408b719?index=2" TargetMode="External"/><Relationship Id="rId777" Type="http://schemas.openxmlformats.org/officeDocument/2006/relationships/hyperlink" Target="https://alpha.midjourney.com/jobs/06aecf02-8df2-4041-bf0d-fe6ddf1c506d?index=3" TargetMode="External"/><Relationship Id="rId534" Type="http://schemas.openxmlformats.org/officeDocument/2006/relationships/hyperlink" Target="https://alpha.midjourney.com/jobs/7ebb9929-e2ad-442f-b9a8-ea6f82e7e006?index=3" TargetMode="External"/><Relationship Id="rId776" Type="http://schemas.openxmlformats.org/officeDocument/2006/relationships/hyperlink" Target="https://alpha.midjourney.com/jobs/ecbf8e81-c009-4e9e-b245-7c6d2d4b01e2?index=2" TargetMode="External"/><Relationship Id="rId533" Type="http://schemas.openxmlformats.org/officeDocument/2006/relationships/hyperlink" Target="https://alpha.midjourney.com/jobs/3f24055e-e0a2-47c1-8470-64c33d0f6866?index=2" TargetMode="External"/><Relationship Id="rId775" Type="http://schemas.openxmlformats.org/officeDocument/2006/relationships/hyperlink" Target="https://alpha.midjourney.com/jobs/5dc009ad-ce99-4a88-9749-a25a3795dab9?index=2" TargetMode="External"/><Relationship Id="rId539" Type="http://schemas.openxmlformats.org/officeDocument/2006/relationships/hyperlink" Target="https://alpha.midjourney.com/jobs/460856be-5a5a-4e01-880f-a9cc4ae12568?index=3" TargetMode="External"/><Relationship Id="rId538" Type="http://schemas.openxmlformats.org/officeDocument/2006/relationships/hyperlink" Target="https://alpha.midjourney.com/jobs/49574fbd-fd5a-42b4-ba67-f1956f3a5a0d?index=1" TargetMode="External"/><Relationship Id="rId537" Type="http://schemas.openxmlformats.org/officeDocument/2006/relationships/hyperlink" Target="https://alpha.midjourney.com/jobs/4ebf7027-ca2f-44a2-9f30-1afa66999935?index=3" TargetMode="External"/><Relationship Id="rId779" Type="http://schemas.openxmlformats.org/officeDocument/2006/relationships/hyperlink" Target="https://alpha.midjourney.com/jobs/d51d3493-9845-494e-abcd-8b4dda1b4954?index=3" TargetMode="External"/><Relationship Id="rId770" Type="http://schemas.openxmlformats.org/officeDocument/2006/relationships/hyperlink" Target="https://alpha.midjourney.com/jobs/b489dec3-9c93-4f7a-a86e-aaa05d7279fd?index=0" TargetMode="External"/><Relationship Id="rId1120" Type="http://schemas.openxmlformats.org/officeDocument/2006/relationships/hyperlink" Target="https://alpha.midjourney.com/jobs/6c433f49-6ea9-4361-8f87-4ec5684ed783?index=0" TargetMode="External"/><Relationship Id="rId532" Type="http://schemas.openxmlformats.org/officeDocument/2006/relationships/hyperlink" Target="https://alpha.midjourney.com/jobs/64dbf7d3-51d9-49d7-826e-908e3f7f1760?index=0" TargetMode="External"/><Relationship Id="rId774" Type="http://schemas.openxmlformats.org/officeDocument/2006/relationships/hyperlink" Target="https://alpha.midjourney.com/jobs/89a4af33-8c31-4818-8eb6-f9969b2c2213?index=3" TargetMode="External"/><Relationship Id="rId1121" Type="http://schemas.openxmlformats.org/officeDocument/2006/relationships/hyperlink" Target="https://alpha.midjourney.com/jobs/1738366c-6bfe-4e93-ae68-fc64ade112c2?index=0" TargetMode="External"/><Relationship Id="rId531" Type="http://schemas.openxmlformats.org/officeDocument/2006/relationships/hyperlink" Target="https://alpha.midjourney.com/jobs/64dbf7d3-51d9-49d7-826e-908e3f7f1760?index=1" TargetMode="External"/><Relationship Id="rId773" Type="http://schemas.openxmlformats.org/officeDocument/2006/relationships/hyperlink" Target="https://alpha.midjourney.com/jobs/89a4af33-8c31-4818-8eb6-f9969b2c2213?index=1" TargetMode="External"/><Relationship Id="rId1122" Type="http://schemas.openxmlformats.org/officeDocument/2006/relationships/hyperlink" Target="https://www.midjourney.com/jobs/08adc7c0-5814-4f2a-9b13-b88efe40751e?index=3" TargetMode="External"/><Relationship Id="rId530" Type="http://schemas.openxmlformats.org/officeDocument/2006/relationships/hyperlink" Target="https://alpha.midjourney.com/jobs/8e48c3ce-1b90-4253-abcc-2da0b25ad425?index=1" TargetMode="External"/><Relationship Id="rId772" Type="http://schemas.openxmlformats.org/officeDocument/2006/relationships/hyperlink" Target="https://alpha.midjourney.com/jobs/84026d48-d440-4fbe-acd4-072430cb1aa9?index=3" TargetMode="External"/><Relationship Id="rId1123" Type="http://schemas.openxmlformats.org/officeDocument/2006/relationships/hyperlink" Target="https://www.midjourney.com/jobs/08adc7c0-5814-4f2a-9b13-b88efe40751e?index=0" TargetMode="External"/><Relationship Id="rId771" Type="http://schemas.openxmlformats.org/officeDocument/2006/relationships/hyperlink" Target="https://alpha.midjourney.com/jobs/f0ba1bb6-73d9-4919-bcab-c5dbd66466c8?index=2" TargetMode="External"/><Relationship Id="rId1124" Type="http://schemas.openxmlformats.org/officeDocument/2006/relationships/hyperlink" Target="https://www.midjourney.com/jobs/5e43144d-d6b4-4bd5-94b6-0a6ddeeb751d?index=1" TargetMode="External"/><Relationship Id="rId1158" Type="http://schemas.openxmlformats.org/officeDocument/2006/relationships/hyperlink" Target="https://alpha.midjourney.com/jobs/aa9fce64-251f-4480-9658-e135cc083f2f?index=1" TargetMode="External"/><Relationship Id="rId1159" Type="http://schemas.openxmlformats.org/officeDocument/2006/relationships/hyperlink" Target="https://alpha.midjourney.com/jobs/83ca19e2-2e10-4948-8314-32f44a89dd14?index=0" TargetMode="External"/><Relationship Id="rId327" Type="http://schemas.openxmlformats.org/officeDocument/2006/relationships/hyperlink" Target="https://alpha.midjourney.com/jobs/fcedc117-8f07-44fd-9b27-38403dc905eb?index=2" TargetMode="External"/><Relationship Id="rId569" Type="http://schemas.openxmlformats.org/officeDocument/2006/relationships/hyperlink" Target="https://alpha.midjourney.com/jobs/2d0e2890-33fe-48d4-b23e-7e57b1b55461?index=3" TargetMode="External"/><Relationship Id="rId326" Type="http://schemas.openxmlformats.org/officeDocument/2006/relationships/hyperlink" Target="https://alpha.midjourney.com/jobs/ebc002b1-7bb9-479e-a1ce-ea1c8ddf987b?index=1" TargetMode="External"/><Relationship Id="rId568" Type="http://schemas.openxmlformats.org/officeDocument/2006/relationships/hyperlink" Target="https://alpha.midjourney.com/jobs/7f3fc151-552c-4fdc-8562-e0fb8c45fd4e?index=1" TargetMode="External"/><Relationship Id="rId325" Type="http://schemas.openxmlformats.org/officeDocument/2006/relationships/hyperlink" Target="https://alpha.midjourney.com/jobs/0c3b1178-de16-46bc-a164-f1739f41cd16?index=0" TargetMode="External"/><Relationship Id="rId567" Type="http://schemas.openxmlformats.org/officeDocument/2006/relationships/hyperlink" Target="https://alpha.midjourney.com/jobs/f49f8020-8320-4fdc-ae76-8030c07ee2b5?index=0" TargetMode="External"/><Relationship Id="rId324" Type="http://schemas.openxmlformats.org/officeDocument/2006/relationships/hyperlink" Target="https://alpha.midjourney.com/jobs/4529965a-161b-46fc-84ef-11b6aa6505c0?index=1" TargetMode="External"/><Relationship Id="rId566" Type="http://schemas.openxmlformats.org/officeDocument/2006/relationships/hyperlink" Target="https://alpha.midjourney.com/jobs/f1e95a77-2ca1-473a-a951-6d24ac381780?index=1" TargetMode="External"/><Relationship Id="rId329" Type="http://schemas.openxmlformats.org/officeDocument/2006/relationships/hyperlink" Target="https://alpha.midjourney.com/jobs/61c81789-079d-4284-bc11-8f18bf858e7a?index=0" TargetMode="External"/><Relationship Id="rId328" Type="http://schemas.openxmlformats.org/officeDocument/2006/relationships/hyperlink" Target="https://alpha.midjourney.com/jobs/fcedc117-8f07-44fd-9b27-38403dc905eb?index=1" TargetMode="External"/><Relationship Id="rId561" Type="http://schemas.openxmlformats.org/officeDocument/2006/relationships/hyperlink" Target="https://alpha.midjourney.com/jobs/9978fdf6-d358-4abc-9d71-d32a8d78e40a?index=1" TargetMode="External"/><Relationship Id="rId1150" Type="http://schemas.openxmlformats.org/officeDocument/2006/relationships/hyperlink" Target="https://alpha.midjourney.com/jobs/536be7d1-2d21-45f4-bfdb-02a9b21c5e66?index=1" TargetMode="External"/><Relationship Id="rId560" Type="http://schemas.openxmlformats.org/officeDocument/2006/relationships/hyperlink" Target="https://alpha.midjourney.com/jobs/2627db62-ac7f-48d3-8657-931ef0586217?index=0" TargetMode="External"/><Relationship Id="rId1151" Type="http://schemas.openxmlformats.org/officeDocument/2006/relationships/hyperlink" Target="https://alpha.midjourney.com/jobs/1e1bd9f6-96ea-406f-974f-434655312d3b?index=3" TargetMode="External"/><Relationship Id="rId1152" Type="http://schemas.openxmlformats.org/officeDocument/2006/relationships/hyperlink" Target="https://alpha.midjourney.com/jobs/f1211b88-62fa-426d-8d5c-1600fcd5f5df?index=0" TargetMode="External"/><Relationship Id="rId1153" Type="http://schemas.openxmlformats.org/officeDocument/2006/relationships/hyperlink" Target="https://alpha.midjourney.com/jobs/3851d550-a918-4f53-b99a-bfc3302de693?index=0" TargetMode="External"/><Relationship Id="rId323" Type="http://schemas.openxmlformats.org/officeDocument/2006/relationships/hyperlink" Target="https://alpha.midjourney.com/jobs/90b1ef17-1840-43a4-a96b-9d42245755e5?index=2" TargetMode="External"/><Relationship Id="rId565" Type="http://schemas.openxmlformats.org/officeDocument/2006/relationships/hyperlink" Target="https://alpha.midjourney.com/jobs/f1e95a77-2ca1-473a-a951-6d24ac381780?index=0" TargetMode="External"/><Relationship Id="rId1154" Type="http://schemas.openxmlformats.org/officeDocument/2006/relationships/hyperlink" Target="https://alpha.midjourney.com/jobs/0c9b53cd-fba5-4d00-8281-9e91de81aea9?index=2" TargetMode="External"/><Relationship Id="rId322" Type="http://schemas.openxmlformats.org/officeDocument/2006/relationships/hyperlink" Target="https://alpha.midjourney.com/jobs/edfa0ecc-62fe-4e23-8bad-51f3f37c3e52?index=0" TargetMode="External"/><Relationship Id="rId564" Type="http://schemas.openxmlformats.org/officeDocument/2006/relationships/hyperlink" Target="https://alpha.midjourney.com/jobs/71ad0300-4ba1-428b-8822-b9eb4533ed5b?index=2" TargetMode="External"/><Relationship Id="rId1155" Type="http://schemas.openxmlformats.org/officeDocument/2006/relationships/hyperlink" Target="https://alpha.midjourney.com/jobs/d99cb0f7-fc12-4e74-a569-5fef07f85b4e?index=1" TargetMode="External"/><Relationship Id="rId321" Type="http://schemas.openxmlformats.org/officeDocument/2006/relationships/hyperlink" Target="https://alpha.midjourney.com/jobs/64365801-a467-48b5-80fe-b2e14b46c622?index=3" TargetMode="External"/><Relationship Id="rId563" Type="http://schemas.openxmlformats.org/officeDocument/2006/relationships/hyperlink" Target="https://alpha.midjourney.com/jobs/0e512ffb-8345-4946-84e7-5131a9bbf7ae?index=0" TargetMode="External"/><Relationship Id="rId1156" Type="http://schemas.openxmlformats.org/officeDocument/2006/relationships/hyperlink" Target="https://alpha.midjourney.com/jobs/af6a0250-7732-4e39-bbac-1d3a31bcf23d?index=2" TargetMode="External"/><Relationship Id="rId320" Type="http://schemas.openxmlformats.org/officeDocument/2006/relationships/hyperlink" Target="https://alpha.midjourney.com/jobs/a18746cf-975e-483a-9c0c-94c134cf6af2?index=1" TargetMode="External"/><Relationship Id="rId562" Type="http://schemas.openxmlformats.org/officeDocument/2006/relationships/hyperlink" Target="https://alpha.midjourney.com/jobs/0e512ffb-8345-4946-84e7-5131a9bbf7ae?index=2" TargetMode="External"/><Relationship Id="rId1157" Type="http://schemas.openxmlformats.org/officeDocument/2006/relationships/hyperlink" Target="https://alpha.midjourney.com/jobs/03f8c222-acef-4fe3-b41a-a19dc4b74217?index=2" TargetMode="External"/><Relationship Id="rId1147" Type="http://schemas.openxmlformats.org/officeDocument/2006/relationships/hyperlink" Target="https://alpha.midjourney.com/jobs/ec0b3c0a-3f13-42a9-8ae5-ccd3a2bde246?index=0" TargetMode="External"/><Relationship Id="rId1148" Type="http://schemas.openxmlformats.org/officeDocument/2006/relationships/hyperlink" Target="https://alpha.midjourney.com/jobs/b7288a40-3f0f-413c-b7e7-0bd65060a3f9?index=1" TargetMode="External"/><Relationship Id="rId1149" Type="http://schemas.openxmlformats.org/officeDocument/2006/relationships/hyperlink" Target="https://alpha.midjourney.com/jobs/bf521d3a-8081-4e0f-803f-ab3292dfb2cf?index=1" TargetMode="External"/><Relationship Id="rId316" Type="http://schemas.openxmlformats.org/officeDocument/2006/relationships/hyperlink" Target="https://alpha.midjourney.com/jobs/8267de13-464b-4475-8b89-635cac0d70bd?index=0" TargetMode="External"/><Relationship Id="rId558" Type="http://schemas.openxmlformats.org/officeDocument/2006/relationships/hyperlink" Target="https://alpha.midjourney.com/jobs/cd68eca5-b2a0-4c1c-8754-be10ef5594c4?index=2" TargetMode="External"/><Relationship Id="rId315" Type="http://schemas.openxmlformats.org/officeDocument/2006/relationships/hyperlink" Target="https://alpha.midjourney.com/jobs/855584b6-ff81-449c-bfc8-776b89e2e1b6?index=3" TargetMode="External"/><Relationship Id="rId557" Type="http://schemas.openxmlformats.org/officeDocument/2006/relationships/hyperlink" Target="https://alpha.midjourney.com/jobs/ffb1e104-375b-4f63-8128-521e20f32108?index=3" TargetMode="External"/><Relationship Id="rId799" Type="http://schemas.openxmlformats.org/officeDocument/2006/relationships/hyperlink" Target="https://alpha.midjourney.com/jobs/5af8b654-da9f-4dd4-a0df-9904431dd0aa?index=2" TargetMode="External"/><Relationship Id="rId314" Type="http://schemas.openxmlformats.org/officeDocument/2006/relationships/hyperlink" Target="https://alpha.midjourney.com/jobs/855584b6-ff81-449c-bfc8-776b89e2e1b6?index=2" TargetMode="External"/><Relationship Id="rId556" Type="http://schemas.openxmlformats.org/officeDocument/2006/relationships/hyperlink" Target="https://alpha.midjourney.com/jobs/60b4cdd1-0eb4-42fa-9e84-240b001d2af7?index=1" TargetMode="External"/><Relationship Id="rId798" Type="http://schemas.openxmlformats.org/officeDocument/2006/relationships/hyperlink" Target="https://alpha.midjourney.com/jobs/0be0113f-6c45-41fa-b908-b4fb6dafd0af?index=1" TargetMode="External"/><Relationship Id="rId313" Type="http://schemas.openxmlformats.org/officeDocument/2006/relationships/hyperlink" Target="https://alpha.midjourney.com/jobs/d8a56be5-0fe5-434b-a77a-b6146873ea1a?index=0" TargetMode="External"/><Relationship Id="rId555" Type="http://schemas.openxmlformats.org/officeDocument/2006/relationships/hyperlink" Target="https://alpha.midjourney.com/jobs/14c4af69-8e71-4174-ab81-7b2daa2c165f?index=3" TargetMode="External"/><Relationship Id="rId797" Type="http://schemas.openxmlformats.org/officeDocument/2006/relationships/hyperlink" Target="https://alpha.midjourney.com/jobs/eead3c4e-a8ac-4276-8742-a41f4a027d95?index=1" TargetMode="External"/><Relationship Id="rId319" Type="http://schemas.openxmlformats.org/officeDocument/2006/relationships/hyperlink" Target="https://alpha.midjourney.com/jobs/a18746cf-975e-483a-9c0c-94c134cf6af2?index=3" TargetMode="External"/><Relationship Id="rId318" Type="http://schemas.openxmlformats.org/officeDocument/2006/relationships/hyperlink" Target="https://alpha.midjourney.com/jobs/ce13cd47-a205-4d28-96b0-bdf906fae89f?index=0" TargetMode="External"/><Relationship Id="rId317" Type="http://schemas.openxmlformats.org/officeDocument/2006/relationships/hyperlink" Target="https://alpha.midjourney.com/jobs/855584b6-ff81-449c-bfc8-776b89e2e1b6?index=0" TargetMode="External"/><Relationship Id="rId559" Type="http://schemas.openxmlformats.org/officeDocument/2006/relationships/hyperlink" Target="https://alpha.midjourney.com/jobs/cd68eca5-b2a0-4c1c-8754-be10ef5594c4?index=0" TargetMode="External"/><Relationship Id="rId550" Type="http://schemas.openxmlformats.org/officeDocument/2006/relationships/hyperlink" Target="https://alpha.midjourney.com/jobs/4ff343f0-4546-4f8f-bb97-7214850f4953?index=3" TargetMode="External"/><Relationship Id="rId792" Type="http://schemas.openxmlformats.org/officeDocument/2006/relationships/hyperlink" Target="https://alpha.midjourney.com/jobs/0c710866-fc1d-4c12-b44c-e13a1ae37407?index=1" TargetMode="External"/><Relationship Id="rId791" Type="http://schemas.openxmlformats.org/officeDocument/2006/relationships/hyperlink" Target="https://alpha.midjourney.com/jobs/c3087eef-7469-4826-9f20-8b251ac86aad?index=2" TargetMode="External"/><Relationship Id="rId1140" Type="http://schemas.openxmlformats.org/officeDocument/2006/relationships/hyperlink" Target="https://alpha.midjourney.com/jobs/03a2e0f0-0e78-4772-8448-9731440cc43d?index=2" TargetMode="External"/><Relationship Id="rId790" Type="http://schemas.openxmlformats.org/officeDocument/2006/relationships/hyperlink" Target="https://alpha.midjourney.com/jobs/5716ac68-4e00-4b29-9696-033a3bf329f0?index=0" TargetMode="External"/><Relationship Id="rId1141" Type="http://schemas.openxmlformats.org/officeDocument/2006/relationships/hyperlink" Target="https://alpha.midjourney.com/jobs/2199afb2-fdf9-42e4-8447-bbcb2272b0ee?index=0" TargetMode="External"/><Relationship Id="rId1142" Type="http://schemas.openxmlformats.org/officeDocument/2006/relationships/hyperlink" Target="https://alpha.midjourney.com/jobs/984b55bf-b5a7-4a25-9fc5-02259acf2ebb?index=1" TargetMode="External"/><Relationship Id="rId312" Type="http://schemas.openxmlformats.org/officeDocument/2006/relationships/hyperlink" Target="https://alpha.midjourney.com/jobs/d8a56be5-0fe5-434b-a77a-b6146873ea1a?index=3" TargetMode="External"/><Relationship Id="rId554" Type="http://schemas.openxmlformats.org/officeDocument/2006/relationships/hyperlink" Target="https://alpha.midjourney.com/jobs/c05760f1-f3cd-41ec-8511-d7268f2ece64?index=2" TargetMode="External"/><Relationship Id="rId796" Type="http://schemas.openxmlformats.org/officeDocument/2006/relationships/hyperlink" Target="https://alpha.midjourney.com/jobs/b6937e53-11e4-443e-81dd-10370da6f07f?index=2" TargetMode="External"/><Relationship Id="rId1143" Type="http://schemas.openxmlformats.org/officeDocument/2006/relationships/hyperlink" Target="https://alpha.midjourney.com/jobs/daa6b7c8-fdcf-4ec8-802a-6dd477e86ad5?index=2" TargetMode="External"/><Relationship Id="rId311" Type="http://schemas.openxmlformats.org/officeDocument/2006/relationships/hyperlink" Target="https://alpha.midjourney.com/jobs/ea69db27-0094-46a2-957d-df9c6587cd8f?index=1" TargetMode="External"/><Relationship Id="rId553" Type="http://schemas.openxmlformats.org/officeDocument/2006/relationships/hyperlink" Target="https://alpha.midjourney.com/jobs/c05760f1-f3cd-41ec-8511-d7268f2ece64?index=0" TargetMode="External"/><Relationship Id="rId795" Type="http://schemas.openxmlformats.org/officeDocument/2006/relationships/hyperlink" Target="https://alpha.midjourney.com/jobs/d7107579-6d7c-4f5d-9453-a4c93ecba7ba?index=2" TargetMode="External"/><Relationship Id="rId1144" Type="http://schemas.openxmlformats.org/officeDocument/2006/relationships/hyperlink" Target="https://alpha.midjourney.com/jobs/4b8d1c9e-330c-46fd-ac72-b136abc7bf79?index=3" TargetMode="External"/><Relationship Id="rId310" Type="http://schemas.openxmlformats.org/officeDocument/2006/relationships/hyperlink" Target="https://alpha.midjourney.com/jobs/c014fa78-9b56-4e92-9380-05f3c1bc63f2?index=0" TargetMode="External"/><Relationship Id="rId552" Type="http://schemas.openxmlformats.org/officeDocument/2006/relationships/hyperlink" Target="https://alpha.midjourney.com/jobs/c05760f1-f3cd-41ec-8511-d7268f2ece64?index=3" TargetMode="External"/><Relationship Id="rId794" Type="http://schemas.openxmlformats.org/officeDocument/2006/relationships/hyperlink" Target="https://alpha.midjourney.com/jobs/d7107579-6d7c-4f5d-9453-a4c93ecba7ba?index=1" TargetMode="External"/><Relationship Id="rId1145" Type="http://schemas.openxmlformats.org/officeDocument/2006/relationships/hyperlink" Target="https://alpha.midjourney.com/jobs/e7b96ab0-2dc6-467c-845d-3ea0adbd0be1?index=2" TargetMode="External"/><Relationship Id="rId551" Type="http://schemas.openxmlformats.org/officeDocument/2006/relationships/hyperlink" Target="https://alpha.midjourney.com/jobs/f73f0149-0f46-4732-a763-e53b93a1af4c?index=2" TargetMode="External"/><Relationship Id="rId793" Type="http://schemas.openxmlformats.org/officeDocument/2006/relationships/hyperlink" Target="https://alpha.midjourney.com/jobs/9bc47bf6-4360-4c92-a9f6-de43a34d4321?index=2" TargetMode="External"/><Relationship Id="rId1146" Type="http://schemas.openxmlformats.org/officeDocument/2006/relationships/hyperlink" Target="https://alpha.midjourney.com/jobs/e7b96ab0-2dc6-467c-845d-3ea0adbd0be1?index=0" TargetMode="External"/><Relationship Id="rId297" Type="http://schemas.openxmlformats.org/officeDocument/2006/relationships/hyperlink" Target="https://alpha.midjourney.com/jobs/b1f8f3d5-445f-4c75-8c69-dc3c00dd6a2a?index=1" TargetMode="External"/><Relationship Id="rId296" Type="http://schemas.openxmlformats.org/officeDocument/2006/relationships/hyperlink" Target="https://alpha.midjourney.com/jobs/b1f8f3d5-445f-4c75-8c69-dc3c00dd6a2a?index=3" TargetMode="External"/><Relationship Id="rId295" Type="http://schemas.openxmlformats.org/officeDocument/2006/relationships/hyperlink" Target="https://alpha.midjourney.com/jobs/b6935539-efed-401f-850a-d485cb53a209?index=2" TargetMode="External"/><Relationship Id="rId294" Type="http://schemas.openxmlformats.org/officeDocument/2006/relationships/hyperlink" Target="https://alpha.midjourney.com/jobs/efc96ed0-d87b-4d29-bb86-f29795728bf8?index=2" TargetMode="External"/><Relationship Id="rId299" Type="http://schemas.openxmlformats.org/officeDocument/2006/relationships/hyperlink" Target="https://alpha.midjourney.com/jobs/bace0219-18ab-4fad-b1cf-6dd7f636ba09?index=3" TargetMode="External"/><Relationship Id="rId298" Type="http://schemas.openxmlformats.org/officeDocument/2006/relationships/hyperlink" Target="https://alpha.midjourney.com/jobs/b782234a-ae27-4ab3-a874-11519512ecce?index=1" TargetMode="External"/><Relationship Id="rId271" Type="http://schemas.openxmlformats.org/officeDocument/2006/relationships/hyperlink" Target="https://alpha.midjourney.com/jobs/4675fbf5-6bfc-4c8a-9092-aaf4e3643f28?index=2" TargetMode="External"/><Relationship Id="rId270" Type="http://schemas.openxmlformats.org/officeDocument/2006/relationships/hyperlink" Target="https://alpha.midjourney.com/jobs/0ac155c4-dccd-49ea-a6ba-b70dd8d8e9a3?index=2" TargetMode="External"/><Relationship Id="rId269" Type="http://schemas.openxmlformats.org/officeDocument/2006/relationships/hyperlink" Target="https://alpha.midjourney.com/jobs/712bc1b1-a311-4c9e-8fd3-9084faf62db5?index=2" TargetMode="External"/><Relationship Id="rId264" Type="http://schemas.openxmlformats.org/officeDocument/2006/relationships/hyperlink" Target="https://alpha.midjourney.com/jobs/9d22a6ef-3cfd-4390-83a1-bcb607bfc60e?index=0" TargetMode="External"/><Relationship Id="rId263" Type="http://schemas.openxmlformats.org/officeDocument/2006/relationships/hyperlink" Target="https://alpha.midjourney.com/jobs/bb66d639-f343-4845-af2a-5eb193006647?index=0" TargetMode="External"/><Relationship Id="rId262" Type="http://schemas.openxmlformats.org/officeDocument/2006/relationships/hyperlink" Target="https://alpha.midjourney.com/jobs/aa3828cc-da5b-44fd-a991-7dfa8d358eca?index=1" TargetMode="External"/><Relationship Id="rId261" Type="http://schemas.openxmlformats.org/officeDocument/2006/relationships/hyperlink" Target="https://alpha.midjourney.com/jobs/b5789562-2e2e-4ceb-8443-0ae424a3c7dd?index=3" TargetMode="External"/><Relationship Id="rId268" Type="http://schemas.openxmlformats.org/officeDocument/2006/relationships/hyperlink" Target="https://alpha.midjourney.com/jobs/712bc1b1-a311-4c9e-8fd3-9084faf62db5?index=1" TargetMode="External"/><Relationship Id="rId267" Type="http://schemas.openxmlformats.org/officeDocument/2006/relationships/hyperlink" Target="https://alpha.midjourney.com/jobs/edce3cff-dccc-4dd6-927a-c86b99379750?index=1" TargetMode="External"/><Relationship Id="rId266" Type="http://schemas.openxmlformats.org/officeDocument/2006/relationships/hyperlink" Target="https://alpha.midjourney.com/jobs/4a4fcd20-cf99-4f08-98be-e4a9a21447fd?index=2" TargetMode="External"/><Relationship Id="rId265" Type="http://schemas.openxmlformats.org/officeDocument/2006/relationships/hyperlink" Target="https://alpha.midjourney.com/jobs/9d22a6ef-3cfd-4390-83a1-bcb607bfc60e?index=2" TargetMode="External"/><Relationship Id="rId260" Type="http://schemas.openxmlformats.org/officeDocument/2006/relationships/hyperlink" Target="https://alpha.midjourney.com/jobs/87f09264-db69-471c-a5b1-db98d924778f?index=3" TargetMode="External"/><Relationship Id="rId259" Type="http://schemas.openxmlformats.org/officeDocument/2006/relationships/hyperlink" Target="https://alpha.midjourney.com/jobs/87f09264-db69-471c-a5b1-db98d924778f?index=0" TargetMode="External"/><Relationship Id="rId258" Type="http://schemas.openxmlformats.org/officeDocument/2006/relationships/hyperlink" Target="https://alpha.midjourney.com/jobs/53760255-c6fe-4c4c-ac76-95aa017993f9?index=1" TargetMode="External"/><Relationship Id="rId253" Type="http://schemas.openxmlformats.org/officeDocument/2006/relationships/hyperlink" Target="https://alpha.midjourney.com/jobs/792d59ef-82cf-4773-9eb4-65105c9208ec?index=2" TargetMode="External"/><Relationship Id="rId495" Type="http://schemas.openxmlformats.org/officeDocument/2006/relationships/hyperlink" Target="https://alpha.midjourney.com/jobs/ce917096-e668-418b-8741-693ddbec1b5e?index=3" TargetMode="External"/><Relationship Id="rId252" Type="http://schemas.openxmlformats.org/officeDocument/2006/relationships/hyperlink" Target="https://alpha.midjourney.com/jobs/e4901e8f-dc64-4a32-8b4e-4db18f9edb34?index=2" TargetMode="External"/><Relationship Id="rId494" Type="http://schemas.openxmlformats.org/officeDocument/2006/relationships/hyperlink" Target="https://alpha.midjourney.com/jobs/16b422f4-9fd2-4bb1-9674-585e0409a383?index=3" TargetMode="External"/><Relationship Id="rId251" Type="http://schemas.openxmlformats.org/officeDocument/2006/relationships/hyperlink" Target="https://alpha.midjourney.com/jobs/12dd80f9-bb06-4d38-91d8-e146559471c0?index=0" TargetMode="External"/><Relationship Id="rId493" Type="http://schemas.openxmlformats.org/officeDocument/2006/relationships/hyperlink" Target="https://alpha.midjourney.com/jobs/4623ba22-8900-4ec0-baf7-811a3eacf3be?index=1" TargetMode="External"/><Relationship Id="rId250" Type="http://schemas.openxmlformats.org/officeDocument/2006/relationships/hyperlink" Target="https://alpha.midjourney.com/jobs/6e8217f3-8ac2-45b0-8dc4-ef5352b479ea?index=2" TargetMode="External"/><Relationship Id="rId492" Type="http://schemas.openxmlformats.org/officeDocument/2006/relationships/hyperlink" Target="https://alpha.midjourney.com/jobs/16ae4b70-d224-42db-b6b6-ecf2124ed295?index=0" TargetMode="External"/><Relationship Id="rId257" Type="http://schemas.openxmlformats.org/officeDocument/2006/relationships/hyperlink" Target="https://alpha.midjourney.com/jobs/841174db-5c68-41e8-819a-09fa028c5943?index=0" TargetMode="External"/><Relationship Id="rId499" Type="http://schemas.openxmlformats.org/officeDocument/2006/relationships/hyperlink" Target="https://alpha.midjourney.com/jobs/c6262938-a0bb-4c14-a59f-2cd741aebb5d?index=2" TargetMode="External"/><Relationship Id="rId256" Type="http://schemas.openxmlformats.org/officeDocument/2006/relationships/hyperlink" Target="https://alpha.midjourney.com/jobs/841174db-5c68-41e8-819a-09fa028c5943?index=3" TargetMode="External"/><Relationship Id="rId498" Type="http://schemas.openxmlformats.org/officeDocument/2006/relationships/hyperlink" Target="https://alpha.midjourney.com/jobs/44b8a171-093e-48a9-b7dd-0eb68cf31160?index=0" TargetMode="External"/><Relationship Id="rId255" Type="http://schemas.openxmlformats.org/officeDocument/2006/relationships/hyperlink" Target="https://alpha.midjourney.com/jobs/8f47bfa6-8da8-478d-aba1-dff1a5520f1c?index=0" TargetMode="External"/><Relationship Id="rId497" Type="http://schemas.openxmlformats.org/officeDocument/2006/relationships/hyperlink" Target="https://alpha.midjourney.com/jobs/993d4901-e479-4c23-8e37-374cc886632f?index=0" TargetMode="External"/><Relationship Id="rId254" Type="http://schemas.openxmlformats.org/officeDocument/2006/relationships/hyperlink" Target="https://alpha.midjourney.com/jobs/61d71d29-7f19-4719-9f9d-b595a90e7eac?index=3" TargetMode="External"/><Relationship Id="rId496" Type="http://schemas.openxmlformats.org/officeDocument/2006/relationships/hyperlink" Target="https://alpha.midjourney.com/jobs/dce6223e-4d4d-4a94-b8ed-94d249a1b876?index=2" TargetMode="External"/><Relationship Id="rId293" Type="http://schemas.openxmlformats.org/officeDocument/2006/relationships/hyperlink" Target="https://alpha.midjourney.com/jobs/3f700745-93e9-491e-b302-0f3b8129cd3a?index=3" TargetMode="External"/><Relationship Id="rId292" Type="http://schemas.openxmlformats.org/officeDocument/2006/relationships/hyperlink" Target="https://alpha.midjourney.com/jobs/304afcfd-7894-408f-9075-b9665b0da9bb?index=1" TargetMode="External"/><Relationship Id="rId291" Type="http://schemas.openxmlformats.org/officeDocument/2006/relationships/hyperlink" Target="https://alpha.midjourney.com/jobs/c9877abe-5367-4550-95bd-009c5ca1c395?index=2" TargetMode="External"/><Relationship Id="rId290" Type="http://schemas.openxmlformats.org/officeDocument/2006/relationships/hyperlink" Target="https://alpha.midjourney.com/jobs/2ddb8064-c0f9-4c6e-bd7c-5450e649e0ba?index=0" TargetMode="External"/><Relationship Id="rId286" Type="http://schemas.openxmlformats.org/officeDocument/2006/relationships/hyperlink" Target="https://alpha.midjourney.com/jobs/9f59a1ed-24af-4d99-acaa-6a2a05df2427?index=3" TargetMode="External"/><Relationship Id="rId285" Type="http://schemas.openxmlformats.org/officeDocument/2006/relationships/hyperlink" Target="https://alpha.midjourney.com/jobs/7fc25a68-b33f-47f1-a6ec-9553717b1c97?index=1" TargetMode="External"/><Relationship Id="rId284" Type="http://schemas.openxmlformats.org/officeDocument/2006/relationships/hyperlink" Target="https://alpha.midjourney.com/jobs/7fc25a68-b33f-47f1-a6ec-9553717b1c97?index=0" TargetMode="External"/><Relationship Id="rId283" Type="http://schemas.openxmlformats.org/officeDocument/2006/relationships/hyperlink" Target="https://alpha.midjourney.com/jobs/a57b5b64-f263-4fdf-af6b-1b93580bfe5e?index=0" TargetMode="External"/><Relationship Id="rId289" Type="http://schemas.openxmlformats.org/officeDocument/2006/relationships/hyperlink" Target="https://alpha.midjourney.com/jobs/2ddb8064-c0f9-4c6e-bd7c-5450e649e0ba?index=1" TargetMode="External"/><Relationship Id="rId288" Type="http://schemas.openxmlformats.org/officeDocument/2006/relationships/hyperlink" Target="https://alpha.midjourney.com/jobs/fb929c6c-57e6-433a-a266-d6503efa9f59?index=3" TargetMode="External"/><Relationship Id="rId287" Type="http://schemas.openxmlformats.org/officeDocument/2006/relationships/hyperlink" Target="https://alpha.midjourney.com/jobs/8572f917-df31-4408-8707-1d30d6ca5130?index=2" TargetMode="External"/><Relationship Id="rId282" Type="http://schemas.openxmlformats.org/officeDocument/2006/relationships/hyperlink" Target="https://alpha.midjourney.com/jobs/99049fea-fc5d-4752-b9db-6d8c91ccc8ae?index=2" TargetMode="External"/><Relationship Id="rId281" Type="http://schemas.openxmlformats.org/officeDocument/2006/relationships/hyperlink" Target="https://alpha.midjourney.com/jobs/8c585bc8-5180-439e-8adb-c3a47c0150fe?index=2" TargetMode="External"/><Relationship Id="rId280" Type="http://schemas.openxmlformats.org/officeDocument/2006/relationships/hyperlink" Target="https://alpha.midjourney.com/jobs/a3874385-0194-4c0f-ba14-08b4d7628a67?index=1" TargetMode="External"/><Relationship Id="rId275" Type="http://schemas.openxmlformats.org/officeDocument/2006/relationships/hyperlink" Target="https://alpha.midjourney.com/jobs/c0bbf41e-da40-447a-8817-ba761c755907?index=1" TargetMode="External"/><Relationship Id="rId274" Type="http://schemas.openxmlformats.org/officeDocument/2006/relationships/hyperlink" Target="https://alpha.midjourney.com/jobs/47e93cbb-0e71-491a-a49b-5685172b96b1?index=2" TargetMode="External"/><Relationship Id="rId273" Type="http://schemas.openxmlformats.org/officeDocument/2006/relationships/hyperlink" Target="https://alpha.midjourney.com/jobs/8ccfe4e3-0dd5-4f9c-be98-1629ec29694f?index=2" TargetMode="External"/><Relationship Id="rId272" Type="http://schemas.openxmlformats.org/officeDocument/2006/relationships/hyperlink" Target="https://alpha.midjourney.com/jobs/8ccfe4e3-0dd5-4f9c-be98-1629ec29694f?index=0" TargetMode="External"/><Relationship Id="rId279" Type="http://schemas.openxmlformats.org/officeDocument/2006/relationships/hyperlink" Target="https://alpha.midjourney.com/jobs/eaad0536-abea-4999-883c-e3e793929cf4?index=3" TargetMode="External"/><Relationship Id="rId278" Type="http://schemas.openxmlformats.org/officeDocument/2006/relationships/hyperlink" Target="https://alpha.midjourney.com/jobs/e30e77bd-955e-4e8e-afe4-eae7161982c4?index=3" TargetMode="External"/><Relationship Id="rId277" Type="http://schemas.openxmlformats.org/officeDocument/2006/relationships/hyperlink" Target="https://alpha.midjourney.com/jobs/0a1168a7-16a3-4022-b822-fd13a508a624?index=0" TargetMode="External"/><Relationship Id="rId276" Type="http://schemas.openxmlformats.org/officeDocument/2006/relationships/hyperlink" Target="https://alpha.midjourney.com/jobs/e27864a6-cc07-4984-b181-922b584c0d96?index=3" TargetMode="External"/><Relationship Id="rId907" Type="http://schemas.openxmlformats.org/officeDocument/2006/relationships/hyperlink" Target="https://alpha.midjourney.com/jobs/c94ebe95-2550-4104-aa4d-1fb9ab6ec79b?index=0" TargetMode="External"/><Relationship Id="rId906" Type="http://schemas.openxmlformats.org/officeDocument/2006/relationships/hyperlink" Target="https://alpha.midjourney.com/jobs/29a727a2-e00d-48c6-a41e-570e773070a3?index=0" TargetMode="External"/><Relationship Id="rId905" Type="http://schemas.openxmlformats.org/officeDocument/2006/relationships/hyperlink" Target="https://alpha.midjourney.com/jobs/1ee877c7-69cb-4902-bfd2-efc3d72ba15b?index=0" TargetMode="External"/><Relationship Id="rId904" Type="http://schemas.openxmlformats.org/officeDocument/2006/relationships/hyperlink" Target="https://alpha.midjourney.com/jobs/1ee877c7-69cb-4902-bfd2-efc3d72ba15b?index=2" TargetMode="External"/><Relationship Id="rId909" Type="http://schemas.openxmlformats.org/officeDocument/2006/relationships/hyperlink" Target="https://alpha.midjourney.com/jobs/ee4faeba-2f6a-47e5-83d6-2d5a67471d77?index=1" TargetMode="External"/><Relationship Id="rId908" Type="http://schemas.openxmlformats.org/officeDocument/2006/relationships/hyperlink" Target="https://alpha.midjourney.com/jobs/518bf4f9-11be-4f69-b853-63d66a200ddc?index=0" TargetMode="External"/><Relationship Id="rId903" Type="http://schemas.openxmlformats.org/officeDocument/2006/relationships/hyperlink" Target="https://alpha.midjourney.com/jobs/37c10154-7476-4026-890c-6f49fe955787?index=3" TargetMode="External"/><Relationship Id="rId902" Type="http://schemas.openxmlformats.org/officeDocument/2006/relationships/hyperlink" Target="https://alpha.midjourney.com/jobs/ddce92f6-9667-4f94-aedd-3ec10f6e1d0e?index=0" TargetMode="External"/><Relationship Id="rId901" Type="http://schemas.openxmlformats.org/officeDocument/2006/relationships/hyperlink" Target="https://alpha.midjourney.com/jobs/20cdce45-1642-4ee6-90dc-0fb39b65eeaf?index=3" TargetMode="External"/><Relationship Id="rId900" Type="http://schemas.openxmlformats.org/officeDocument/2006/relationships/hyperlink" Target="https://alpha.midjourney.com/jobs/8f5f7154-98a1-4cba-922c-1374417a73c6?index=2" TargetMode="External"/><Relationship Id="rId929" Type="http://schemas.openxmlformats.org/officeDocument/2006/relationships/hyperlink" Target="https://alpha.midjourney.com/jobs/cf39914b-09eb-4de3-b6fb-186dec55d252?index=2" TargetMode="External"/><Relationship Id="rId928" Type="http://schemas.openxmlformats.org/officeDocument/2006/relationships/hyperlink" Target="https://alpha.midjourney.com/jobs/1290b799-7274-4730-b0f9-d40fe763a9a3?index=1" TargetMode="External"/><Relationship Id="rId927" Type="http://schemas.openxmlformats.org/officeDocument/2006/relationships/hyperlink" Target="https://alpha.midjourney.com/jobs/60321d02-a28d-47f0-8642-d42f9b49fac5?index=0" TargetMode="External"/><Relationship Id="rId926" Type="http://schemas.openxmlformats.org/officeDocument/2006/relationships/hyperlink" Target="https://alpha.midjourney.com/jobs/42eced4e-b70a-454f-9e59-b34c026f6853?index=3" TargetMode="External"/><Relationship Id="rId921" Type="http://schemas.openxmlformats.org/officeDocument/2006/relationships/hyperlink" Target="https://alpha.midjourney.com/jobs/bcecf6af-d421-4426-b939-1bfe1135a3af?index=0" TargetMode="External"/><Relationship Id="rId920" Type="http://schemas.openxmlformats.org/officeDocument/2006/relationships/hyperlink" Target="https://alpha.midjourney.com/jobs/0d47aacf-f872-453a-9e76-46be5b8c0d58?index=0" TargetMode="External"/><Relationship Id="rId925" Type="http://schemas.openxmlformats.org/officeDocument/2006/relationships/hyperlink" Target="https://alpha.midjourney.com/jobs/488941f3-bc56-4cb1-9719-d15323861de6?index=2" TargetMode="External"/><Relationship Id="rId924" Type="http://schemas.openxmlformats.org/officeDocument/2006/relationships/hyperlink" Target="https://alpha.midjourney.com/jobs/5e80afa2-0581-4114-aa65-25b6c2551688?index=1" TargetMode="External"/><Relationship Id="rId923" Type="http://schemas.openxmlformats.org/officeDocument/2006/relationships/hyperlink" Target="https://alpha.midjourney.com/jobs/35991119-7ba6-4c24-a87b-b4c394a58d6d?index=3" TargetMode="External"/><Relationship Id="rId922" Type="http://schemas.openxmlformats.org/officeDocument/2006/relationships/hyperlink" Target="https://alpha.midjourney.com/jobs/15bb684b-3f7f-4bfb-aa19-82f80bb37242?index=1" TargetMode="External"/><Relationship Id="rId918" Type="http://schemas.openxmlformats.org/officeDocument/2006/relationships/hyperlink" Target="https://alpha.midjourney.com/jobs/fb648043-749a-4606-a195-bdadd5ff8f55?index=2" TargetMode="External"/><Relationship Id="rId917" Type="http://schemas.openxmlformats.org/officeDocument/2006/relationships/hyperlink" Target="https://alpha.midjourney.com/jobs/e0288bb4-ece3-44b8-bcd6-0c2118d6102b?index=0" TargetMode="External"/><Relationship Id="rId916" Type="http://schemas.openxmlformats.org/officeDocument/2006/relationships/hyperlink" Target="https://alpha.midjourney.com/jobs/3d3fd5da-11ee-4372-bd75-6ea0bc00cd4c?index=0" TargetMode="External"/><Relationship Id="rId915" Type="http://schemas.openxmlformats.org/officeDocument/2006/relationships/hyperlink" Target="https://alpha.midjourney.com/jobs/3c61384c-db9d-4a99-8274-8f5b7feac1b0?index=0" TargetMode="External"/><Relationship Id="rId919" Type="http://schemas.openxmlformats.org/officeDocument/2006/relationships/hyperlink" Target="https://alpha.midjourney.com/jobs/ffedd623-bb69-4d4e-90ef-c4df4720e9e1?index=2" TargetMode="External"/><Relationship Id="rId910" Type="http://schemas.openxmlformats.org/officeDocument/2006/relationships/hyperlink" Target="https://alpha.midjourney.com/jobs/b13d4b38-4043-4d72-8b94-3b6c276f71c2?index=0" TargetMode="External"/><Relationship Id="rId914" Type="http://schemas.openxmlformats.org/officeDocument/2006/relationships/hyperlink" Target="https://alpha.midjourney.com/jobs/4e465558-f513-40cf-a15c-ba4a014ce281?index=3" TargetMode="External"/><Relationship Id="rId913" Type="http://schemas.openxmlformats.org/officeDocument/2006/relationships/hyperlink" Target="https://alpha.midjourney.com/jobs/4e465558-f513-40cf-a15c-ba4a014ce281?index=1" TargetMode="External"/><Relationship Id="rId912" Type="http://schemas.openxmlformats.org/officeDocument/2006/relationships/hyperlink" Target="https://alpha.midjourney.com/jobs/b13d4b38-4043-4d72-8b94-3b6c276f71c2?index=1" TargetMode="External"/><Relationship Id="rId911" Type="http://schemas.openxmlformats.org/officeDocument/2006/relationships/hyperlink" Target="https://alpha.midjourney.com/jobs/b13d4b38-4043-4d72-8b94-3b6c276f71c2?index=3" TargetMode="External"/><Relationship Id="rId1213" Type="http://schemas.openxmlformats.org/officeDocument/2006/relationships/hyperlink" Target="https://alpha.midjourney.com/jobs/ec5ac332-b6b1-4b86-8b06-ac7403f17f1b?index=3" TargetMode="External"/><Relationship Id="rId1214" Type="http://schemas.openxmlformats.org/officeDocument/2006/relationships/hyperlink" Target="https://alpha.midjourney.com/jobs/ec5ac332-b6b1-4b86-8b06-ac7403f17f1b?index=1" TargetMode="External"/><Relationship Id="rId1215" Type="http://schemas.openxmlformats.org/officeDocument/2006/relationships/hyperlink" Target="https://alpha.midjourney.com/jobs/0910dc1c-1abc-4850-9805-126bdbab7799?index=2" TargetMode="External"/><Relationship Id="rId1216" Type="http://schemas.openxmlformats.org/officeDocument/2006/relationships/hyperlink" Target="https://alpha.midjourney.com/jobs/e44b464d-8fb8-4785-b44d-30862c9b331d?index=0" TargetMode="External"/><Relationship Id="rId1217" Type="http://schemas.openxmlformats.org/officeDocument/2006/relationships/hyperlink" Target="https://alpha.midjourney.com/jobs/96c24ece-da8e-4b60-8c0c-6a196a1ae3db?index=3" TargetMode="External"/><Relationship Id="rId1218" Type="http://schemas.openxmlformats.org/officeDocument/2006/relationships/hyperlink" Target="https://alpha.midjourney.com/jobs/ddcde53e-854f-4732-a6b4-8592770ca20e?index=2" TargetMode="External"/><Relationship Id="rId1219" Type="http://schemas.openxmlformats.org/officeDocument/2006/relationships/hyperlink" Target="https://alpha.midjourney.com/jobs/f4d57316-24c9-4c3b-ba22-0de6b33bb37e?index=0" TargetMode="External"/><Relationship Id="rId629" Type="http://schemas.openxmlformats.org/officeDocument/2006/relationships/hyperlink" Target="https://alpha.midjourney.com/jobs/b1a05e1b-d3e7-4c3b-8a21-e208cfcab472?index=0" TargetMode="External"/><Relationship Id="rId624" Type="http://schemas.openxmlformats.org/officeDocument/2006/relationships/hyperlink" Target="https://alpha.midjourney.com/jobs/d5d7a3d8-bc57-4d5e-9030-e092ef28934d?index=1" TargetMode="External"/><Relationship Id="rId866" Type="http://schemas.openxmlformats.org/officeDocument/2006/relationships/hyperlink" Target="https://alpha.midjourney.com/jobs/ded6b164-2889-42a4-b1f9-04282827ce15?index=0" TargetMode="External"/><Relationship Id="rId623" Type="http://schemas.openxmlformats.org/officeDocument/2006/relationships/hyperlink" Target="https://alpha.midjourney.com/jobs/1b7457f5-ab2d-4751-b1f3-3957be5a28c2?index=2" TargetMode="External"/><Relationship Id="rId865" Type="http://schemas.openxmlformats.org/officeDocument/2006/relationships/hyperlink" Target="https://alpha.midjourney.com/jobs/94fd87fd-6fe5-4515-b144-4c4f0d68d57f?index=1" TargetMode="External"/><Relationship Id="rId622" Type="http://schemas.openxmlformats.org/officeDocument/2006/relationships/hyperlink" Target="https://alpha.midjourney.com/jobs/2a3b4bb4-107d-4a0e-82e5-32c1dc607528?index=0" TargetMode="External"/><Relationship Id="rId864" Type="http://schemas.openxmlformats.org/officeDocument/2006/relationships/hyperlink" Target="https://alpha.midjourney.com/jobs/2ab65831-7f8c-4cc5-8d16-dd8600a5c55d?index=1" TargetMode="External"/><Relationship Id="rId621" Type="http://schemas.openxmlformats.org/officeDocument/2006/relationships/hyperlink" Target="https://alpha.midjourney.com/jobs/cd0955a7-8a85-43d7-97b8-c639bd21502c?index=3" TargetMode="External"/><Relationship Id="rId863" Type="http://schemas.openxmlformats.org/officeDocument/2006/relationships/hyperlink" Target="https://alpha.midjourney.com/jobs/f6e8a559-f4fc-4cf8-b9f5-569b484cff1b?index=2" TargetMode="External"/><Relationship Id="rId628" Type="http://schemas.openxmlformats.org/officeDocument/2006/relationships/hyperlink" Target="https://alpha.midjourney.com/jobs/d04ef1e9-013f-4c58-8d1d-7d6410f55644?index=3" TargetMode="External"/><Relationship Id="rId627" Type="http://schemas.openxmlformats.org/officeDocument/2006/relationships/hyperlink" Target="https://alpha.midjourney.com/jobs/104896b4-1644-44c0-97cb-a115a5a27f3b?index=0" TargetMode="External"/><Relationship Id="rId869" Type="http://schemas.openxmlformats.org/officeDocument/2006/relationships/hyperlink" Target="https://alpha.midjourney.com/jobs/b08502a5-5aca-438a-94dd-8131f6449d0f?index=0" TargetMode="External"/><Relationship Id="rId626" Type="http://schemas.openxmlformats.org/officeDocument/2006/relationships/hyperlink" Target="https://alpha.midjourney.com/jobs/834cdaa2-b2f5-4156-998e-506a5ca68984?index=2" TargetMode="External"/><Relationship Id="rId868" Type="http://schemas.openxmlformats.org/officeDocument/2006/relationships/hyperlink" Target="https://alpha.midjourney.com/jobs/68756729-3a30-4b41-b769-c6867a043cb9?index=3" TargetMode="External"/><Relationship Id="rId625" Type="http://schemas.openxmlformats.org/officeDocument/2006/relationships/hyperlink" Target="https://alpha.midjourney.com/jobs/d75ae876-16de-4a4f-80fb-098c3204e2e3?index=2" TargetMode="External"/><Relationship Id="rId867" Type="http://schemas.openxmlformats.org/officeDocument/2006/relationships/hyperlink" Target="https://alpha.midjourney.com/jobs/0a06d262-0fba-46b7-8b36-c0577450e03f?index=2" TargetMode="External"/><Relationship Id="rId620" Type="http://schemas.openxmlformats.org/officeDocument/2006/relationships/hyperlink" Target="https://alpha.midjourney.com/jobs/8edd484f-1cb1-4f1f-933e-b6506442c848?index=1" TargetMode="External"/><Relationship Id="rId862" Type="http://schemas.openxmlformats.org/officeDocument/2006/relationships/hyperlink" Target="https://alpha.midjourney.com/jobs/f6e8a559-f4fc-4cf8-b9f5-569b484cff1b?index=1" TargetMode="External"/><Relationship Id="rId861" Type="http://schemas.openxmlformats.org/officeDocument/2006/relationships/hyperlink" Target="https://alpha.midjourney.com/jobs/a3158ad4-0ab7-45c4-aed6-9ab285a23027?index=2" TargetMode="External"/><Relationship Id="rId1210" Type="http://schemas.openxmlformats.org/officeDocument/2006/relationships/hyperlink" Target="https://alpha.midjourney.com/jobs/ac3477a2-e364-4e6c-b7e2-76d9019e05c3?index=1" TargetMode="External"/><Relationship Id="rId860" Type="http://schemas.openxmlformats.org/officeDocument/2006/relationships/hyperlink" Target="https://alpha.midjourney.com/jobs/86478582-4086-482d-9ccd-7d3de2bc5fb8?index=0" TargetMode="External"/><Relationship Id="rId1211" Type="http://schemas.openxmlformats.org/officeDocument/2006/relationships/hyperlink" Target="https://alpha.midjourney.com/jobs/5f29509f-1055-4e02-9c83-06ffd01c33bf?index=3" TargetMode="External"/><Relationship Id="rId1212" Type="http://schemas.openxmlformats.org/officeDocument/2006/relationships/hyperlink" Target="https://alpha.midjourney.com/jobs/2233b7d5-964b-446e-9579-03639cb3415b?index=0" TargetMode="External"/><Relationship Id="rId1202" Type="http://schemas.openxmlformats.org/officeDocument/2006/relationships/hyperlink" Target="https://alpha.midjourney.com/jobs/cda9e665-f4f8-47ac-8a96-6bb29eb7cff1?index=2" TargetMode="External"/><Relationship Id="rId1203" Type="http://schemas.openxmlformats.org/officeDocument/2006/relationships/hyperlink" Target="https://alpha.midjourney.com/jobs/050c77d2-5182-4382-b5bc-db641bf5cec5?index=2" TargetMode="External"/><Relationship Id="rId1204" Type="http://schemas.openxmlformats.org/officeDocument/2006/relationships/hyperlink" Target="https://alpha.midjourney.com/jobs/9c28fb54-8e94-4d81-8f7f-af5a9d185ca2?index=2" TargetMode="External"/><Relationship Id="rId1205" Type="http://schemas.openxmlformats.org/officeDocument/2006/relationships/hyperlink" Target="https://alpha.midjourney.com/jobs/d18a97fb-acf3-40be-b0ea-1d03a5d4f718?index=0" TargetMode="External"/><Relationship Id="rId1206" Type="http://schemas.openxmlformats.org/officeDocument/2006/relationships/hyperlink" Target="https://alpha.midjourney.com/jobs/9f0a0352-c8d7-4fc0-81bd-e0646e75ec05?index=2" TargetMode="External"/><Relationship Id="rId1207" Type="http://schemas.openxmlformats.org/officeDocument/2006/relationships/hyperlink" Target="https://alpha.midjourney.com/jobs/79f7eebb-4b11-44f5-97ee-ae9bab80f048?index=2" TargetMode="External"/><Relationship Id="rId1208" Type="http://schemas.openxmlformats.org/officeDocument/2006/relationships/hyperlink" Target="https://alpha.midjourney.com/jobs/e39d57f2-0251-4a7d-83b3-fbf31cdf863d?index=1" TargetMode="External"/><Relationship Id="rId1209" Type="http://schemas.openxmlformats.org/officeDocument/2006/relationships/hyperlink" Target="https://alpha.midjourney.com/jobs/ca25e5d3-d262-4f14-9b5c-79a9a9086431?index=2" TargetMode="External"/><Relationship Id="rId619" Type="http://schemas.openxmlformats.org/officeDocument/2006/relationships/hyperlink" Target="https://alpha.midjourney.com/jobs/08e98d57-c82d-41bf-974e-2594723e8387?index=3" TargetMode="External"/><Relationship Id="rId618" Type="http://schemas.openxmlformats.org/officeDocument/2006/relationships/hyperlink" Target="https://alpha.midjourney.com/jobs/9d1c0ad9-d7ac-48b5-8887-39cdbcde27cd?index=2" TargetMode="External"/><Relationship Id="rId613" Type="http://schemas.openxmlformats.org/officeDocument/2006/relationships/hyperlink" Target="https://alpha.midjourney.com/jobs/c6991389-b3bd-41f0-94f8-3a128fa5ced1?index=3" TargetMode="External"/><Relationship Id="rId855" Type="http://schemas.openxmlformats.org/officeDocument/2006/relationships/hyperlink" Target="https://alpha.midjourney.com/jobs/70740339-f369-4a1a-ad6a-212daf6b27c2?index=1" TargetMode="External"/><Relationship Id="rId612" Type="http://schemas.openxmlformats.org/officeDocument/2006/relationships/hyperlink" Target="https://alpha.midjourney.com/jobs/2ba47d27-dbef-49be-8e14-890b895409a3?index=2" TargetMode="External"/><Relationship Id="rId854" Type="http://schemas.openxmlformats.org/officeDocument/2006/relationships/hyperlink" Target="https://alpha.midjourney.com/jobs/6f794a01-5504-4ec7-bb5a-ac0c8f5716c9?index=1" TargetMode="External"/><Relationship Id="rId611" Type="http://schemas.openxmlformats.org/officeDocument/2006/relationships/hyperlink" Target="https://alpha.midjourney.com/jobs/cbeba22e-057c-463e-8a6c-d84fec4e4147?index=0" TargetMode="External"/><Relationship Id="rId853" Type="http://schemas.openxmlformats.org/officeDocument/2006/relationships/hyperlink" Target="https://alpha.midjourney.com/jobs/841dd73b-7d36-4a8a-8a78-c022ece5f065?index=3" TargetMode="External"/><Relationship Id="rId610" Type="http://schemas.openxmlformats.org/officeDocument/2006/relationships/hyperlink" Target="https://alpha.midjourney.com/jobs/b1d61053-bd99-4609-9c8c-ba7d1af8873a?index=2" TargetMode="External"/><Relationship Id="rId852" Type="http://schemas.openxmlformats.org/officeDocument/2006/relationships/hyperlink" Target="https://alpha.midjourney.com/jobs/368b24f9-1c00-4779-a36d-f23591683de3?index=2" TargetMode="External"/><Relationship Id="rId617" Type="http://schemas.openxmlformats.org/officeDocument/2006/relationships/hyperlink" Target="https://alpha.midjourney.com/jobs/a40c6919-d2e2-4cdd-a1de-4ce6a532def9?index=3" TargetMode="External"/><Relationship Id="rId859" Type="http://schemas.openxmlformats.org/officeDocument/2006/relationships/hyperlink" Target="https://alpha.midjourney.com/jobs/2eac0e7f-1057-4e7a-8328-509c0dceae16?index=0" TargetMode="External"/><Relationship Id="rId616" Type="http://schemas.openxmlformats.org/officeDocument/2006/relationships/hyperlink" Target="https://alpha.midjourney.com/jobs/e9ced58e-d729-4c3b-b959-01736c8f312f?index=1" TargetMode="External"/><Relationship Id="rId858" Type="http://schemas.openxmlformats.org/officeDocument/2006/relationships/hyperlink" Target="https://alpha.midjourney.com/jobs/a660357f-f781-484d-9c02-d4107b2b1921?index=3" TargetMode="External"/><Relationship Id="rId615" Type="http://schemas.openxmlformats.org/officeDocument/2006/relationships/hyperlink" Target="https://alpha.midjourney.com/jobs/22a8f992-981f-46f6-9814-6acd4fd78883?index=2" TargetMode="External"/><Relationship Id="rId857" Type="http://schemas.openxmlformats.org/officeDocument/2006/relationships/hyperlink" Target="https://alpha.midjourney.com/jobs/8e937feb-8227-422d-8f90-e44a4d7fed4a?index=1" TargetMode="External"/><Relationship Id="rId614" Type="http://schemas.openxmlformats.org/officeDocument/2006/relationships/hyperlink" Target="https://alpha.midjourney.com/jobs/5bd0ca22-a83a-414a-9139-c2092a485671?index=1" TargetMode="External"/><Relationship Id="rId856" Type="http://schemas.openxmlformats.org/officeDocument/2006/relationships/hyperlink" Target="https://alpha.midjourney.com/jobs/4954a71b-620f-4810-9cea-b02f6b424cae?index=2" TargetMode="External"/><Relationship Id="rId851" Type="http://schemas.openxmlformats.org/officeDocument/2006/relationships/hyperlink" Target="https://alpha.midjourney.com/jobs/cc8f43a5-20c6-4de5-94aa-485ac5585189?index=1" TargetMode="External"/><Relationship Id="rId850" Type="http://schemas.openxmlformats.org/officeDocument/2006/relationships/hyperlink" Target="https://alpha.midjourney.com/jobs/cc8f43a5-20c6-4de5-94aa-485ac5585189?index=2" TargetMode="External"/><Relationship Id="rId1200" Type="http://schemas.openxmlformats.org/officeDocument/2006/relationships/hyperlink" Target="https://alpha.midjourney.com/jobs/9f44ec3c-8312-484b-bc3f-b055f211334b?index=1" TargetMode="External"/><Relationship Id="rId1201" Type="http://schemas.openxmlformats.org/officeDocument/2006/relationships/hyperlink" Target="https://alpha.midjourney.com/jobs/cda9e665-f4f8-47ac-8a96-6bb29eb7cff1?index=0" TargetMode="External"/><Relationship Id="rId1235" Type="http://schemas.openxmlformats.org/officeDocument/2006/relationships/hyperlink" Target="https://alpha.midjourney.com/jobs/db1f3de1-0533-4f8c-a65c-105967c191dc?index=3" TargetMode="External"/><Relationship Id="rId1236" Type="http://schemas.openxmlformats.org/officeDocument/2006/relationships/hyperlink" Target="https://alpha.midjourney.com/jobs/db1f3de1-0533-4f8c-a65c-105967c191dc?index=1" TargetMode="External"/><Relationship Id="rId1237" Type="http://schemas.openxmlformats.org/officeDocument/2006/relationships/hyperlink" Target="https://alpha.midjourney.com/jobs/aa4f4836-a96e-4518-a17b-ce46077f02bd?index=3" TargetMode="External"/><Relationship Id="rId1238" Type="http://schemas.openxmlformats.org/officeDocument/2006/relationships/hyperlink" Target="https://alpha.midjourney.com/jobs/aa4f4836-a96e-4518-a17b-ce46077f02bd?index=0" TargetMode="External"/><Relationship Id="rId1239" Type="http://schemas.openxmlformats.org/officeDocument/2006/relationships/hyperlink" Target="https://alpha.midjourney.com/jobs/09b86ab5-112c-406d-a18f-eeeb76fc1db5?index=2" TargetMode="External"/><Relationship Id="rId409" Type="http://schemas.openxmlformats.org/officeDocument/2006/relationships/hyperlink" Target="https://alpha.midjourney.com/jobs/e8e96f76-94bd-41ae-b1bd-4ca96aebdd1e?index=3" TargetMode="External"/><Relationship Id="rId404" Type="http://schemas.openxmlformats.org/officeDocument/2006/relationships/hyperlink" Target="https://alpha.midjourney.com/jobs/f4364281-c341-4325-823b-cc159f62e3fa?index=3" TargetMode="External"/><Relationship Id="rId646" Type="http://schemas.openxmlformats.org/officeDocument/2006/relationships/hyperlink" Target="https://alpha.midjourney.com/jobs/b697235d-58dc-46a5-852e-9cf127307d53?index=2" TargetMode="External"/><Relationship Id="rId888" Type="http://schemas.openxmlformats.org/officeDocument/2006/relationships/hyperlink" Target="https://alpha.midjourney.com/jobs/2ce31b6e-a291-48f4-a0c1-403152383537?index=0" TargetMode="External"/><Relationship Id="rId403" Type="http://schemas.openxmlformats.org/officeDocument/2006/relationships/hyperlink" Target="https://alpha.midjourney.com/jobs/736a8fe4-c031-4266-a180-8d5fa8d7a20c?index=3" TargetMode="External"/><Relationship Id="rId645" Type="http://schemas.openxmlformats.org/officeDocument/2006/relationships/hyperlink" Target="https://alpha.midjourney.com/jobs/9a06b103-b5a9-4d2f-a06c-f2a3692244cc?index=0" TargetMode="External"/><Relationship Id="rId887" Type="http://schemas.openxmlformats.org/officeDocument/2006/relationships/hyperlink" Target="https://alpha.midjourney.com/jobs/387b5688-00d1-43e1-994b-f1166a9f9f07?index=2" TargetMode="External"/><Relationship Id="rId402" Type="http://schemas.openxmlformats.org/officeDocument/2006/relationships/hyperlink" Target="https://alpha.midjourney.com/jobs/97987280-b216-408a-9bcb-dd348cfcb803?index=1" TargetMode="External"/><Relationship Id="rId644" Type="http://schemas.openxmlformats.org/officeDocument/2006/relationships/hyperlink" Target="https://alpha.midjourney.com/jobs/4b96f219-952d-4629-9ea5-07d8b6625b64?index=3" TargetMode="External"/><Relationship Id="rId886" Type="http://schemas.openxmlformats.org/officeDocument/2006/relationships/hyperlink" Target="https://alpha.midjourney.com/jobs/383d2d7d-4882-42d2-a387-a8f0955ab3ee?index=0" TargetMode="External"/><Relationship Id="rId401" Type="http://schemas.openxmlformats.org/officeDocument/2006/relationships/hyperlink" Target="https://alpha.midjourney.com/jobs/258f8be4-8fc8-47e9-9423-4d7e9f7e209b?index=0" TargetMode="External"/><Relationship Id="rId643" Type="http://schemas.openxmlformats.org/officeDocument/2006/relationships/hyperlink" Target="https://alpha.midjourney.com/jobs/615b65df-6059-4623-9a52-ba6e23fd19a8?index=1" TargetMode="External"/><Relationship Id="rId885" Type="http://schemas.openxmlformats.org/officeDocument/2006/relationships/hyperlink" Target="https://alpha.midjourney.com/jobs/efb2dd81-b6be-4417-ac5f-7d627f4b4e0c?index=0" TargetMode="External"/><Relationship Id="rId408" Type="http://schemas.openxmlformats.org/officeDocument/2006/relationships/hyperlink" Target="https://alpha.midjourney.com/jobs/04e07353-17ab-4846-84bc-818bc402f09d?index=1" TargetMode="External"/><Relationship Id="rId407" Type="http://schemas.openxmlformats.org/officeDocument/2006/relationships/hyperlink" Target="https://alpha.midjourney.com/jobs/c0768680-bd4c-4545-846f-002afd6a854b?index=0" TargetMode="External"/><Relationship Id="rId649" Type="http://schemas.openxmlformats.org/officeDocument/2006/relationships/hyperlink" Target="https://alpha.midjourney.com/jobs/48ee5064-30f0-4f2f-bf04-ffa46a4af4b3?index=2" TargetMode="External"/><Relationship Id="rId406" Type="http://schemas.openxmlformats.org/officeDocument/2006/relationships/hyperlink" Target="https://alpha.midjourney.com/jobs/3ffc8199-7676-44a0-b357-0e6a826b2531?index=1" TargetMode="External"/><Relationship Id="rId648" Type="http://schemas.openxmlformats.org/officeDocument/2006/relationships/hyperlink" Target="https://alpha.midjourney.com/jobs/88e3f9b4-074b-4645-969f-b36b4a03b283?index=0" TargetMode="External"/><Relationship Id="rId405" Type="http://schemas.openxmlformats.org/officeDocument/2006/relationships/hyperlink" Target="https://alpha.midjourney.com/jobs/f4364281-c341-4325-823b-cc159f62e3fa?index=1" TargetMode="External"/><Relationship Id="rId647" Type="http://schemas.openxmlformats.org/officeDocument/2006/relationships/hyperlink" Target="https://alpha.midjourney.com/jobs/fbd01acd-ec46-450e-a41b-df9c33a118ab?index=1" TargetMode="External"/><Relationship Id="rId889" Type="http://schemas.openxmlformats.org/officeDocument/2006/relationships/hyperlink" Target="https://alpha.midjourney.com/jobs/2ce31b6e-a291-48f4-a0c1-403152383537?index=3" TargetMode="External"/><Relationship Id="rId880" Type="http://schemas.openxmlformats.org/officeDocument/2006/relationships/hyperlink" Target="https://alpha.midjourney.com/jobs/cdf9f2d4-9c5b-4463-889d-566fda0c3ba0?index=0" TargetMode="External"/><Relationship Id="rId1230" Type="http://schemas.openxmlformats.org/officeDocument/2006/relationships/hyperlink" Target="https://alpha.midjourney.com/jobs/5d05060b-90d2-498e-a31c-61d7573c6a6b?index=2" TargetMode="External"/><Relationship Id="rId400" Type="http://schemas.openxmlformats.org/officeDocument/2006/relationships/hyperlink" Target="https://alpha.midjourney.com/jobs/cb44e85d-870b-4bc6-8948-450c772daf5c?index=0" TargetMode="External"/><Relationship Id="rId642" Type="http://schemas.openxmlformats.org/officeDocument/2006/relationships/hyperlink" Target="https://alpha.midjourney.com/jobs/615b65df-6059-4623-9a52-ba6e23fd19a8?index=0" TargetMode="External"/><Relationship Id="rId884" Type="http://schemas.openxmlformats.org/officeDocument/2006/relationships/hyperlink" Target="https://alpha.midjourney.com/jobs/bb398dc4-8526-4fa4-a38b-9191edd4b28f?index=3" TargetMode="External"/><Relationship Id="rId1231" Type="http://schemas.openxmlformats.org/officeDocument/2006/relationships/hyperlink" Target="https://alpha.midjourney.com/jobs/df77b7df-a1e5-4977-84d7-2340fa346f1e?index=3" TargetMode="External"/><Relationship Id="rId641" Type="http://schemas.openxmlformats.org/officeDocument/2006/relationships/hyperlink" Target="https://alpha.midjourney.com/jobs/615b65df-6059-4623-9a52-ba6e23fd19a8?index=3" TargetMode="External"/><Relationship Id="rId883" Type="http://schemas.openxmlformats.org/officeDocument/2006/relationships/hyperlink" Target="https://alpha.midjourney.com/jobs/4935ac9c-8ab4-4c9d-957a-10586754da6a?index=3" TargetMode="External"/><Relationship Id="rId1232" Type="http://schemas.openxmlformats.org/officeDocument/2006/relationships/hyperlink" Target="https://alpha.midjourney.com/jobs/f2ccdb12-9be6-494f-a6ca-913a79e5a654?index=1" TargetMode="External"/><Relationship Id="rId640" Type="http://schemas.openxmlformats.org/officeDocument/2006/relationships/hyperlink" Target="https://alpha.midjourney.com/jobs/51236e4b-aa09-40de-ae37-9c9b9cd7e7e5?index=0" TargetMode="External"/><Relationship Id="rId882" Type="http://schemas.openxmlformats.org/officeDocument/2006/relationships/hyperlink" Target="https://alpha.midjourney.com/jobs/d65799d4-2b4c-4a67-b3db-92ab18625712?index=1" TargetMode="External"/><Relationship Id="rId1233" Type="http://schemas.openxmlformats.org/officeDocument/2006/relationships/hyperlink" Target="https://alpha.midjourney.com/jobs/754bff8c-b781-4afb-85ec-bec3f03f5cad?index=1" TargetMode="External"/><Relationship Id="rId881" Type="http://schemas.openxmlformats.org/officeDocument/2006/relationships/hyperlink" Target="https://alpha.midjourney.com/jobs/88105867-8090-4172-bfce-1b89be7bbf4d?index=3" TargetMode="External"/><Relationship Id="rId1234" Type="http://schemas.openxmlformats.org/officeDocument/2006/relationships/hyperlink" Target="https://alpha.midjourney.com/jobs/6b0fcc24-c288-4ec5-af4f-0bcaf82c2ddc?index=1" TargetMode="External"/><Relationship Id="rId1224" Type="http://schemas.openxmlformats.org/officeDocument/2006/relationships/hyperlink" Target="https://alpha.midjourney.com/jobs/ca62d294-e9f6-4d0e-894f-e496fd4d5a7c?index=0" TargetMode="External"/><Relationship Id="rId1225" Type="http://schemas.openxmlformats.org/officeDocument/2006/relationships/hyperlink" Target="https://alpha.midjourney.com/jobs/44df3ce6-8c69-4541-8469-a956481257a8?index=1" TargetMode="External"/><Relationship Id="rId1226" Type="http://schemas.openxmlformats.org/officeDocument/2006/relationships/hyperlink" Target="https://alpha.midjourney.com/jobs/8c043611-a6de-4127-b476-d2921f918989?index=2" TargetMode="External"/><Relationship Id="rId1227" Type="http://schemas.openxmlformats.org/officeDocument/2006/relationships/hyperlink" Target="https://alpha.midjourney.com/jobs/4389bdbb-7782-4158-b5e9-2271b0509efd?index=0" TargetMode="External"/><Relationship Id="rId1228" Type="http://schemas.openxmlformats.org/officeDocument/2006/relationships/hyperlink" Target="https://alpha.midjourney.com/jobs/01862b9a-925e-4960-9b59-dc1accdb43d0?index=2" TargetMode="External"/><Relationship Id="rId1229" Type="http://schemas.openxmlformats.org/officeDocument/2006/relationships/hyperlink" Target="https://alpha.midjourney.com/jobs/fb0b2848-d85f-41ff-bd3b-2373abe1848d?index=0" TargetMode="External"/><Relationship Id="rId635" Type="http://schemas.openxmlformats.org/officeDocument/2006/relationships/hyperlink" Target="https://alpha.midjourney.com/jobs/80b0da3a-75e9-4521-9a8a-d80a02376aef?index=3" TargetMode="External"/><Relationship Id="rId877" Type="http://schemas.openxmlformats.org/officeDocument/2006/relationships/hyperlink" Target="https://alpha.midjourney.com/jobs/d88283a5-5792-42c5-aec4-2d68e2006546?index=0" TargetMode="External"/><Relationship Id="rId634" Type="http://schemas.openxmlformats.org/officeDocument/2006/relationships/hyperlink" Target="https://alpha.midjourney.com/jobs/aee22cf0-e1c9-45a5-a846-dba786d16a8c?index=2" TargetMode="External"/><Relationship Id="rId876" Type="http://schemas.openxmlformats.org/officeDocument/2006/relationships/hyperlink" Target="https://alpha.midjourney.com/jobs/80a1b34c-eee4-4dc4-b941-3a15ce682d1a?index=2" TargetMode="External"/><Relationship Id="rId633" Type="http://schemas.openxmlformats.org/officeDocument/2006/relationships/hyperlink" Target="https://alpha.midjourney.com/jobs/ca45b97d-ac28-459d-8fb9-5efff2a635e4?index=1" TargetMode="External"/><Relationship Id="rId875" Type="http://schemas.openxmlformats.org/officeDocument/2006/relationships/hyperlink" Target="https://alpha.midjourney.com/jobs/2f33e1b3-2e0e-4026-a457-bf83bf9f691d?index=0" TargetMode="External"/><Relationship Id="rId632" Type="http://schemas.openxmlformats.org/officeDocument/2006/relationships/hyperlink" Target="https://alpha.midjourney.com/jobs/ca45b97d-ac28-459d-8fb9-5efff2a635e4?index=0" TargetMode="External"/><Relationship Id="rId874" Type="http://schemas.openxmlformats.org/officeDocument/2006/relationships/hyperlink" Target="https://alpha.midjourney.com/jobs/50c1849f-5f11-4883-935d-7b2180147df1?index=3" TargetMode="External"/><Relationship Id="rId639" Type="http://schemas.openxmlformats.org/officeDocument/2006/relationships/hyperlink" Target="https://alpha.midjourney.com/jobs/51236e4b-aa09-40de-ae37-9c9b9cd7e7e5?index=2" TargetMode="External"/><Relationship Id="rId638" Type="http://schemas.openxmlformats.org/officeDocument/2006/relationships/hyperlink" Target="https://alpha.midjourney.com/jobs/6aaaa00b-e42b-42c5-ba0e-45f3ec7aae7e?index=1" TargetMode="External"/><Relationship Id="rId637" Type="http://schemas.openxmlformats.org/officeDocument/2006/relationships/hyperlink" Target="https://alpha.midjourney.com/jobs/6aaaa00b-e42b-42c5-ba0e-45f3ec7aae7e?index=2" TargetMode="External"/><Relationship Id="rId879" Type="http://schemas.openxmlformats.org/officeDocument/2006/relationships/hyperlink" Target="https://alpha.midjourney.com/jobs/c5875f38-8c50-454f-8f24-5ca55ca271c4?index=1" TargetMode="External"/><Relationship Id="rId636" Type="http://schemas.openxmlformats.org/officeDocument/2006/relationships/hyperlink" Target="https://alpha.midjourney.com/jobs/6449d263-572c-48fd-abea-49b336ed533e?index=0" TargetMode="External"/><Relationship Id="rId878" Type="http://schemas.openxmlformats.org/officeDocument/2006/relationships/hyperlink" Target="https://alpha.midjourney.com/jobs/df435127-4535-4681-b89b-eec4ffa529c7?index=0" TargetMode="External"/><Relationship Id="rId631" Type="http://schemas.openxmlformats.org/officeDocument/2006/relationships/hyperlink" Target="https://alpha.midjourney.com/jobs/f708086f-145d-4ad0-9476-e5c3de78f661?index=3" TargetMode="External"/><Relationship Id="rId873" Type="http://schemas.openxmlformats.org/officeDocument/2006/relationships/hyperlink" Target="https://alpha.midjourney.com/jobs/348510da-2553-4aeb-82e5-38b2cdbccaac?index=1" TargetMode="External"/><Relationship Id="rId1220" Type="http://schemas.openxmlformats.org/officeDocument/2006/relationships/hyperlink" Target="https://alpha.midjourney.com/jobs/88201211-96b8-4414-b374-515cc96e610c?index=3" TargetMode="External"/><Relationship Id="rId630" Type="http://schemas.openxmlformats.org/officeDocument/2006/relationships/hyperlink" Target="https://alpha.midjourney.com/jobs/32c69796-a1fc-4d40-86e1-8b215a05bb23?index=0" TargetMode="External"/><Relationship Id="rId872" Type="http://schemas.openxmlformats.org/officeDocument/2006/relationships/hyperlink" Target="https://alpha.midjourney.com/jobs/f55162d5-e50e-422e-8591-d8fddf15d6e7?index=3" TargetMode="External"/><Relationship Id="rId1221" Type="http://schemas.openxmlformats.org/officeDocument/2006/relationships/hyperlink" Target="https://alpha.midjourney.com/jobs/613ec65e-aa9b-455c-900a-f793e90ff3c6?index=1" TargetMode="External"/><Relationship Id="rId871" Type="http://schemas.openxmlformats.org/officeDocument/2006/relationships/hyperlink" Target="https://alpha.midjourney.com/jobs/51595c18-3b00-4985-8cac-2578e4df451c?index=1" TargetMode="External"/><Relationship Id="rId1222" Type="http://schemas.openxmlformats.org/officeDocument/2006/relationships/hyperlink" Target="https://alpha.midjourney.com/jobs/df77b7df-a1e5-4977-84d7-2340fa346f1e?index=0" TargetMode="External"/><Relationship Id="rId870" Type="http://schemas.openxmlformats.org/officeDocument/2006/relationships/hyperlink" Target="https://alpha.midjourney.com/jobs/274f0ec2-a274-4e22-99ff-109dc900f82e?index=2" TargetMode="External"/><Relationship Id="rId1223" Type="http://schemas.openxmlformats.org/officeDocument/2006/relationships/hyperlink" Target="https://alpha.midjourney.com/jobs/df77b7df-a1e5-4977-84d7-2340fa346f1e?index=1" TargetMode="External"/><Relationship Id="rId829" Type="http://schemas.openxmlformats.org/officeDocument/2006/relationships/hyperlink" Target="https://alpha.midjourney.com/jobs/9c862914-1633-485d-a9af-ebe932f88329?index=3" TargetMode="External"/><Relationship Id="rId828" Type="http://schemas.openxmlformats.org/officeDocument/2006/relationships/hyperlink" Target="https://alpha.midjourney.com/jobs/355c4193-17fe-46f5-a75f-8244d0699eda?index=2" TargetMode="External"/><Relationship Id="rId827" Type="http://schemas.openxmlformats.org/officeDocument/2006/relationships/hyperlink" Target="https://alpha.midjourney.com/jobs/355c4193-17fe-46f5-a75f-8244d0699eda?index=0" TargetMode="External"/><Relationship Id="rId822" Type="http://schemas.openxmlformats.org/officeDocument/2006/relationships/hyperlink" Target="https://alpha.midjourney.com/jobs/3afdfbe5-2fbc-4e8b-9c83-487662da77ea?index=3" TargetMode="External"/><Relationship Id="rId821" Type="http://schemas.openxmlformats.org/officeDocument/2006/relationships/hyperlink" Target="https://alpha.midjourney.com/jobs/f94250ed-9bec-4e95-a78a-a5367e498d63?index=2" TargetMode="External"/><Relationship Id="rId820" Type="http://schemas.openxmlformats.org/officeDocument/2006/relationships/hyperlink" Target="https://alpha.midjourney.com/jobs/2b4746b7-453d-4e3d-aa48-6329b68d1fda?index=1" TargetMode="External"/><Relationship Id="rId826" Type="http://schemas.openxmlformats.org/officeDocument/2006/relationships/hyperlink" Target="https://alpha.midjourney.com/jobs/08837e51-8acd-40e2-9947-b986ecef1f8b?index=3" TargetMode="External"/><Relationship Id="rId825" Type="http://schemas.openxmlformats.org/officeDocument/2006/relationships/hyperlink" Target="https://alpha.midjourney.com/jobs/08837e51-8acd-40e2-9947-b986ecef1f8b?index=2" TargetMode="External"/><Relationship Id="rId824" Type="http://schemas.openxmlformats.org/officeDocument/2006/relationships/hyperlink" Target="https://alpha.midjourney.com/jobs/42d98fdd-4573-4737-a372-114e30992a73?index=3" TargetMode="External"/><Relationship Id="rId823" Type="http://schemas.openxmlformats.org/officeDocument/2006/relationships/hyperlink" Target="https://alpha.midjourney.com/jobs/96487f9a-27d2-43e6-b609-313d1ae7376b?index=0" TargetMode="External"/><Relationship Id="rId819" Type="http://schemas.openxmlformats.org/officeDocument/2006/relationships/hyperlink" Target="https://alpha.midjourney.com/jobs/3437553e-6436-40ea-bbe7-e132ba1721fa?index=0" TargetMode="External"/><Relationship Id="rId818" Type="http://schemas.openxmlformats.org/officeDocument/2006/relationships/hyperlink" Target="https://alpha.midjourney.com/jobs/e4583e2f-8a65-4d6e-bd18-e34443e347d4?index=0" TargetMode="External"/><Relationship Id="rId817" Type="http://schemas.openxmlformats.org/officeDocument/2006/relationships/hyperlink" Target="https://alpha.midjourney.com/jobs/3437553e-6436-40ea-bbe7-e132ba1721fa?index=1" TargetMode="External"/><Relationship Id="rId816" Type="http://schemas.openxmlformats.org/officeDocument/2006/relationships/hyperlink" Target="https://alpha.midjourney.com/jobs/3de38ca0-acf7-47fe-844f-731d8caf3732?index=2" TargetMode="External"/><Relationship Id="rId811" Type="http://schemas.openxmlformats.org/officeDocument/2006/relationships/hyperlink" Target="https://alpha.midjourney.com/jobs/4fdf6f46-9093-45c4-9cce-693164456f42?index=2" TargetMode="External"/><Relationship Id="rId810" Type="http://schemas.openxmlformats.org/officeDocument/2006/relationships/hyperlink" Target="https://alpha.midjourney.com/jobs/9bc62077-e455-483f-9165-0f69014631da?index=1" TargetMode="External"/><Relationship Id="rId815" Type="http://schemas.openxmlformats.org/officeDocument/2006/relationships/hyperlink" Target="https://alpha.midjourney.com/jobs/3de38ca0-acf7-47fe-844f-731d8caf3732?index=1" TargetMode="External"/><Relationship Id="rId814" Type="http://schemas.openxmlformats.org/officeDocument/2006/relationships/hyperlink" Target="https://alpha.midjourney.com/jobs/6a912a49-8111-4beb-9677-f8894ace5ef6?index=0" TargetMode="External"/><Relationship Id="rId813" Type="http://schemas.openxmlformats.org/officeDocument/2006/relationships/hyperlink" Target="https://alpha.midjourney.com/jobs/00a49b0c-0beb-4b22-b8ed-949c80f2fd24?index=1" TargetMode="External"/><Relationship Id="rId812" Type="http://schemas.openxmlformats.org/officeDocument/2006/relationships/hyperlink" Target="https://alpha.midjourney.com/jobs/fe82b490-d8d5-4266-9483-e5e6cc7fed0b?index=1" TargetMode="External"/><Relationship Id="rId609" Type="http://schemas.openxmlformats.org/officeDocument/2006/relationships/hyperlink" Target="https://alpha.midjourney.com/jobs/939e6242-52c0-48ac-b399-3e52fec2a04a?index=0" TargetMode="External"/><Relationship Id="rId608" Type="http://schemas.openxmlformats.org/officeDocument/2006/relationships/hyperlink" Target="https://alpha.midjourney.com/jobs/9782e556-bad6-4ad2-9833-8d831131a5eb?index=1" TargetMode="External"/><Relationship Id="rId607" Type="http://schemas.openxmlformats.org/officeDocument/2006/relationships/hyperlink" Target="https://alpha.midjourney.com/jobs/5c6c381c-6392-4f21-a9e1-c5126a4d283d?index=2" TargetMode="External"/><Relationship Id="rId849" Type="http://schemas.openxmlformats.org/officeDocument/2006/relationships/hyperlink" Target="https://alpha.midjourney.com/jobs/58f469e1-7b8d-44b8-bc46-7633399d832f?index=3" TargetMode="External"/><Relationship Id="rId602" Type="http://schemas.openxmlformats.org/officeDocument/2006/relationships/hyperlink" Target="https://alpha.midjourney.com/jobs/d8f42a0c-63c6-40cf-9275-6ffc2157f99f?index=1" TargetMode="External"/><Relationship Id="rId844" Type="http://schemas.openxmlformats.org/officeDocument/2006/relationships/hyperlink" Target="https://alpha.midjourney.com/jobs/60f4fa59-8404-4637-b4cc-84822ee10408?index=3" TargetMode="External"/><Relationship Id="rId601" Type="http://schemas.openxmlformats.org/officeDocument/2006/relationships/hyperlink" Target="https://alpha.midjourney.com/jobs/1ba85f4c-e36a-405c-84dd-450c9b836a2a?index=0" TargetMode="External"/><Relationship Id="rId843" Type="http://schemas.openxmlformats.org/officeDocument/2006/relationships/hyperlink" Target="https://alpha.midjourney.com/jobs/60f4fa59-8404-4637-b4cc-84822ee10408?index=2" TargetMode="External"/><Relationship Id="rId600" Type="http://schemas.openxmlformats.org/officeDocument/2006/relationships/hyperlink" Target="https://alpha.midjourney.com/jobs/8cc237fc-a571-4903-b553-94f9efeddb14?index=2" TargetMode="External"/><Relationship Id="rId842" Type="http://schemas.openxmlformats.org/officeDocument/2006/relationships/hyperlink" Target="https://alpha.midjourney.com/jobs/60f4fa59-8404-4637-b4cc-84822ee10408?index=1" TargetMode="External"/><Relationship Id="rId841" Type="http://schemas.openxmlformats.org/officeDocument/2006/relationships/hyperlink" Target="https://alpha.midjourney.com/jobs/69392398-99f3-418a-b440-62bf3028e365?index=0" TargetMode="External"/><Relationship Id="rId606" Type="http://schemas.openxmlformats.org/officeDocument/2006/relationships/hyperlink" Target="https://alpha.midjourney.com/jobs/3a69abc9-4dbb-4de3-8916-1f75f4991dac?index=3" TargetMode="External"/><Relationship Id="rId848" Type="http://schemas.openxmlformats.org/officeDocument/2006/relationships/hyperlink" Target="https://alpha.midjourney.com/jobs/63098f38-8ca0-4ef2-aebe-f49b99d438c7?index=1" TargetMode="External"/><Relationship Id="rId605" Type="http://schemas.openxmlformats.org/officeDocument/2006/relationships/hyperlink" Target="https://alpha.midjourney.com/jobs/aff786fd-7fc1-4a2d-9343-59060d86249f?index=0" TargetMode="External"/><Relationship Id="rId847" Type="http://schemas.openxmlformats.org/officeDocument/2006/relationships/hyperlink" Target="https://alpha.midjourney.com/jobs/63098f38-8ca0-4ef2-aebe-f49b99d438c7?index=0" TargetMode="External"/><Relationship Id="rId604" Type="http://schemas.openxmlformats.org/officeDocument/2006/relationships/hyperlink" Target="https://alpha.midjourney.com/jobs/beade48b-dfc3-4b0d-a7b3-e813a507b363?index=0" TargetMode="External"/><Relationship Id="rId846" Type="http://schemas.openxmlformats.org/officeDocument/2006/relationships/hyperlink" Target="https://alpha.midjourney.com/jobs/f5622707-3a33-4f6e-a48d-a0ad27d68cef?index=3" TargetMode="External"/><Relationship Id="rId603" Type="http://schemas.openxmlformats.org/officeDocument/2006/relationships/hyperlink" Target="https://alpha.midjourney.com/jobs/e6884d89-a8ec-43ec-85a8-dcc30ca69669?index=3" TargetMode="External"/><Relationship Id="rId845" Type="http://schemas.openxmlformats.org/officeDocument/2006/relationships/hyperlink" Target="https://alpha.midjourney.com/jobs/b58dc0ce-5fc2-431e-8af7-ef1a4f0ce200?index=1" TargetMode="External"/><Relationship Id="rId840" Type="http://schemas.openxmlformats.org/officeDocument/2006/relationships/hyperlink" Target="https://alpha.midjourney.com/jobs/89013cde-4192-47cd-aaf5-42d2b236e249?index=0" TargetMode="External"/><Relationship Id="rId839" Type="http://schemas.openxmlformats.org/officeDocument/2006/relationships/hyperlink" Target="https://alpha.midjourney.com/jobs/89013cde-4192-47cd-aaf5-42d2b236e249?index=3" TargetMode="External"/><Relationship Id="rId838" Type="http://schemas.openxmlformats.org/officeDocument/2006/relationships/hyperlink" Target="https://alpha.midjourney.com/jobs/c160a400-d22a-45b1-b32c-459ce7fc2bd7?index=3" TargetMode="External"/><Relationship Id="rId833" Type="http://schemas.openxmlformats.org/officeDocument/2006/relationships/hyperlink" Target="https://alpha.midjourney.com/jobs/74be6232-c1e8-45b8-8fc8-d3484bd37ebb?index=0" TargetMode="External"/><Relationship Id="rId832" Type="http://schemas.openxmlformats.org/officeDocument/2006/relationships/hyperlink" Target="https://alpha.midjourney.com/jobs/a9fa523c-5a8a-43f0-96ab-a2000206f5cd?index=3" TargetMode="External"/><Relationship Id="rId831" Type="http://schemas.openxmlformats.org/officeDocument/2006/relationships/hyperlink" Target="https://alpha.midjourney.com/jobs/a9fa523c-5a8a-43f0-96ab-a2000206f5cd?index=2" TargetMode="External"/><Relationship Id="rId830" Type="http://schemas.openxmlformats.org/officeDocument/2006/relationships/hyperlink" Target="https://alpha.midjourney.com/jobs/9bdfe646-e0af-4d06-916f-b5aca401938e?index=2" TargetMode="External"/><Relationship Id="rId837" Type="http://schemas.openxmlformats.org/officeDocument/2006/relationships/hyperlink" Target="https://alpha.midjourney.com/jobs/c160a400-d22a-45b1-b32c-459ce7fc2bd7?index=0" TargetMode="External"/><Relationship Id="rId836" Type="http://schemas.openxmlformats.org/officeDocument/2006/relationships/hyperlink" Target="https://alpha.midjourney.com/jobs/eac8ad84-63f3-4a8c-87fc-19cb680363b6?index=3" TargetMode="External"/><Relationship Id="rId835" Type="http://schemas.openxmlformats.org/officeDocument/2006/relationships/hyperlink" Target="https://alpha.midjourney.com/jobs/0628379f-448a-41df-add6-3fe06c4d2945?index=0" TargetMode="External"/><Relationship Id="rId834" Type="http://schemas.openxmlformats.org/officeDocument/2006/relationships/hyperlink" Target="https://alpha.midjourney.com/jobs/0628379f-448a-41df-add6-3fe06c4d2945?index=3" TargetMode="External"/><Relationship Id="rId1059" Type="http://schemas.openxmlformats.org/officeDocument/2006/relationships/hyperlink" Target="https://www.midjourney.com/jobs/54a955fa-4cf9-4ad7-a49d-3d9d28a206ad?index=1" TargetMode="External"/><Relationship Id="rId228" Type="http://schemas.openxmlformats.org/officeDocument/2006/relationships/hyperlink" Target="https://alpha.midjourney.com/jobs/ae00d456-a481-4034-a8c2-fdb97fffe7f6?index=2" TargetMode="External"/><Relationship Id="rId227" Type="http://schemas.openxmlformats.org/officeDocument/2006/relationships/hyperlink" Target="https://alpha.midjourney.com/jobs/ae00d456-a481-4034-a8c2-fdb97fffe7f6?index=1" TargetMode="External"/><Relationship Id="rId469" Type="http://schemas.openxmlformats.org/officeDocument/2006/relationships/hyperlink" Target="https://alpha.midjourney.com/jobs/eea88919-f1b3-40c0-9f43-d0e3f3705e14?index=2" TargetMode="External"/><Relationship Id="rId226" Type="http://schemas.openxmlformats.org/officeDocument/2006/relationships/hyperlink" Target="https://alpha.midjourney.com/jobs/8c7e4ea8-e35f-4309-86b6-e6a9f1efaecb?index=2" TargetMode="External"/><Relationship Id="rId468" Type="http://schemas.openxmlformats.org/officeDocument/2006/relationships/hyperlink" Target="https://alpha.midjourney.com/jobs/915e002d-0994-4e3b-9b5b-10849e3c35ad?index=2" TargetMode="External"/><Relationship Id="rId225" Type="http://schemas.openxmlformats.org/officeDocument/2006/relationships/hyperlink" Target="https://alpha.midjourney.com/jobs/8c7e4ea8-e35f-4309-86b6-e6a9f1efaecb?index=1" TargetMode="External"/><Relationship Id="rId467" Type="http://schemas.openxmlformats.org/officeDocument/2006/relationships/hyperlink" Target="https://alpha.midjourney.com/jobs/0c8ecc9c-0eba-4e1f-88ef-eb8a6b5bb902?index=0" TargetMode="External"/><Relationship Id="rId229" Type="http://schemas.openxmlformats.org/officeDocument/2006/relationships/hyperlink" Target="https://alpha.midjourney.com/jobs/78ae5a97-8656-4c23-992f-61f8947a1950?index=3" TargetMode="External"/><Relationship Id="rId1050" Type="http://schemas.openxmlformats.org/officeDocument/2006/relationships/hyperlink" Target="https://www.midjourney.com/jobs/f90f6950-8d45-4b82-98fe-6ad9bb1f3bb3?index=3" TargetMode="External"/><Relationship Id="rId220" Type="http://schemas.openxmlformats.org/officeDocument/2006/relationships/hyperlink" Target="https://alpha.midjourney.com/jobs/59d1a1e1-529a-4cc6-b261-fdc197b29a2b?index=1" TargetMode="External"/><Relationship Id="rId462" Type="http://schemas.openxmlformats.org/officeDocument/2006/relationships/hyperlink" Target="https://alpha.midjourney.com/jobs/3500932c-0e0c-496e-8393-7f54603731c9?index=3" TargetMode="External"/><Relationship Id="rId1051" Type="http://schemas.openxmlformats.org/officeDocument/2006/relationships/hyperlink" Target="https://www.midjourney.com/jobs/f90f6950-8d45-4b82-98fe-6ad9bb1f3bb3?index=2" TargetMode="External"/><Relationship Id="rId461" Type="http://schemas.openxmlformats.org/officeDocument/2006/relationships/hyperlink" Target="https://alpha.midjourney.com/jobs/48703433-d069-4669-a233-4fb736b88afa?index=0" TargetMode="External"/><Relationship Id="rId1052" Type="http://schemas.openxmlformats.org/officeDocument/2006/relationships/hyperlink" Target="https://www.midjourney.com/jobs/88ec9dfa-d82b-4beb-804a-4ec0ac518a50?index=2" TargetMode="External"/><Relationship Id="rId460" Type="http://schemas.openxmlformats.org/officeDocument/2006/relationships/hyperlink" Target="https://alpha.midjourney.com/jobs/48703433-d069-4669-a233-4fb736b88afa?index=2" TargetMode="External"/><Relationship Id="rId1053" Type="http://schemas.openxmlformats.org/officeDocument/2006/relationships/hyperlink" Target="https://www.midjourney.com/jobs/83f33e56-5ef0-478d-a89a-26f7c2b2c30c?index=0" TargetMode="External"/><Relationship Id="rId1054" Type="http://schemas.openxmlformats.org/officeDocument/2006/relationships/hyperlink" Target="https://www.midjourney.com/jobs/83f33e56-5ef0-478d-a89a-26f7c2b2c30c?index=3" TargetMode="External"/><Relationship Id="rId224" Type="http://schemas.openxmlformats.org/officeDocument/2006/relationships/hyperlink" Target="https://alpha.midjourney.com/jobs/2245d2f9-6faa-4d4c-9ddb-94e018ca54af?index=2" TargetMode="External"/><Relationship Id="rId466" Type="http://schemas.openxmlformats.org/officeDocument/2006/relationships/hyperlink" Target="https://alpha.midjourney.com/jobs/e1308eb5-a0fa-420c-983e-4f03c2e8e1b1?index=3" TargetMode="External"/><Relationship Id="rId1055" Type="http://schemas.openxmlformats.org/officeDocument/2006/relationships/hyperlink" Target="https://alpha.midjourney.com/jobs/71b45eed-bade-4651-8d78-da13fee0ef92?index=1" TargetMode="External"/><Relationship Id="rId223" Type="http://schemas.openxmlformats.org/officeDocument/2006/relationships/hyperlink" Target="https://alpha.midjourney.com/jobs/2245d2f9-6faa-4d4c-9ddb-94e018ca54af?index=0" TargetMode="External"/><Relationship Id="rId465" Type="http://schemas.openxmlformats.org/officeDocument/2006/relationships/hyperlink" Target="https://alpha.midjourney.com/jobs/ce3cd5be-146d-4747-a725-96d02fce6988?index=3" TargetMode="External"/><Relationship Id="rId1056" Type="http://schemas.openxmlformats.org/officeDocument/2006/relationships/hyperlink" Target="https://alpha.midjourney.com/jobs/f7b1dad7-0ff5-4a35-9e21-55e2d22a8a76?index=1" TargetMode="External"/><Relationship Id="rId222" Type="http://schemas.openxmlformats.org/officeDocument/2006/relationships/hyperlink" Target="https://alpha.midjourney.com/jobs/f076bedf-28b1-43a4-bdf8-5e57ad378122?index=3" TargetMode="External"/><Relationship Id="rId464" Type="http://schemas.openxmlformats.org/officeDocument/2006/relationships/hyperlink" Target="https://alpha.midjourney.com/jobs/ad69563e-8c74-41b0-8e13-8b39afa3b3cf?index=3" TargetMode="External"/><Relationship Id="rId1057" Type="http://schemas.openxmlformats.org/officeDocument/2006/relationships/hyperlink" Target="https://alpha.midjourney.com/jobs/880d9a61-6637-45ed-990d-ecf68850d60e?index=2" TargetMode="External"/><Relationship Id="rId221" Type="http://schemas.openxmlformats.org/officeDocument/2006/relationships/hyperlink" Target="https://alpha.midjourney.com/jobs/33065fbd-b99a-477c-aeda-1e82ea951a22?index=3" TargetMode="External"/><Relationship Id="rId463" Type="http://schemas.openxmlformats.org/officeDocument/2006/relationships/hyperlink" Target="https://alpha.midjourney.com/jobs/888400b6-fc24-4382-9b4f-cb536d1c6259?index=2" TargetMode="External"/><Relationship Id="rId1058" Type="http://schemas.openxmlformats.org/officeDocument/2006/relationships/hyperlink" Target="https://alpha.midjourney.com/jobs/4d2535fc-3c21-4b4f-acf4-ede44d7cc45f?index=1" TargetMode="External"/><Relationship Id="rId1048" Type="http://schemas.openxmlformats.org/officeDocument/2006/relationships/hyperlink" Target="https://alpha.midjourney.com/jobs/43030d91-8b9c-4935-9aab-5de2c288506e?index=2" TargetMode="External"/><Relationship Id="rId1049" Type="http://schemas.openxmlformats.org/officeDocument/2006/relationships/hyperlink" Target="https://www.midjourney.com/jobs/f90f6950-8d45-4b82-98fe-6ad9bb1f3bb3?index=0" TargetMode="External"/><Relationship Id="rId217" Type="http://schemas.openxmlformats.org/officeDocument/2006/relationships/hyperlink" Target="https://alpha.midjourney.com/jobs/f6913507-2389-4765-a6a4-189bde5ce495?index=1" TargetMode="External"/><Relationship Id="rId459" Type="http://schemas.openxmlformats.org/officeDocument/2006/relationships/hyperlink" Target="https://alpha.midjourney.com/jobs/fc65d230-0b7a-4bbd-9653-6fa105e5bcec?index=3" TargetMode="External"/><Relationship Id="rId216" Type="http://schemas.openxmlformats.org/officeDocument/2006/relationships/hyperlink" Target="https://alpha.midjourney.com/jobs/3459e7cd-50f2-4130-be4c-42546280c0e7?index=3" TargetMode="External"/><Relationship Id="rId458" Type="http://schemas.openxmlformats.org/officeDocument/2006/relationships/hyperlink" Target="https://alpha.midjourney.com/jobs/0bfb1ddb-5317-44ca-ac28-18bec4484bb2?index=2" TargetMode="External"/><Relationship Id="rId215" Type="http://schemas.openxmlformats.org/officeDocument/2006/relationships/hyperlink" Target="https://alpha.midjourney.com/jobs/91bb5265-1010-4c14-8a17-c124ec7328be?index=3" TargetMode="External"/><Relationship Id="rId457" Type="http://schemas.openxmlformats.org/officeDocument/2006/relationships/hyperlink" Target="https://alpha.midjourney.com/jobs/eb6b6ed8-09d8-4cb7-8e72-89daeeb5ad45?index=1" TargetMode="External"/><Relationship Id="rId699" Type="http://schemas.openxmlformats.org/officeDocument/2006/relationships/hyperlink" Target="https://alpha.midjourney.com/jobs/74ae0134-7c5f-4b5f-b25f-6d6412423dc0?index=1" TargetMode="External"/><Relationship Id="rId214" Type="http://schemas.openxmlformats.org/officeDocument/2006/relationships/hyperlink" Target="https://alpha.midjourney.com/jobs/15eb18a9-adcc-4ad5-bb1a-b9ca187fa7e5?index=1" TargetMode="External"/><Relationship Id="rId456" Type="http://schemas.openxmlformats.org/officeDocument/2006/relationships/hyperlink" Target="https://alpha.midjourney.com/jobs/0d462342-adfb-4bc1-8852-2f568fbc9684?index=2" TargetMode="External"/><Relationship Id="rId698" Type="http://schemas.openxmlformats.org/officeDocument/2006/relationships/hyperlink" Target="https://alpha.midjourney.com/jobs/b446efd1-d0f0-46e6-bb05-0789f08d931d?index=3" TargetMode="External"/><Relationship Id="rId219" Type="http://schemas.openxmlformats.org/officeDocument/2006/relationships/hyperlink" Target="https://alpha.midjourney.com/jobs/1be84c96-df08-4398-88f9-09e5ad8ff402?index=2" TargetMode="External"/><Relationship Id="rId1280" Type="http://schemas.openxmlformats.org/officeDocument/2006/relationships/hyperlink" Target="https://alpha.midjourney.com/jobs/c9bca36b-de83-404a-9302-2b79d1c2e5a7?index=1" TargetMode="External"/><Relationship Id="rId218" Type="http://schemas.openxmlformats.org/officeDocument/2006/relationships/hyperlink" Target="https://alpha.midjourney.com/jobs/f6913507-2389-4765-a6a4-189bde5ce495?index=2" TargetMode="External"/><Relationship Id="rId1281" Type="http://schemas.openxmlformats.org/officeDocument/2006/relationships/hyperlink" Target="https://alpha.midjourney.com/jobs/c9bca36b-de83-404a-9302-2b79d1c2e5a7?index=3" TargetMode="External"/><Relationship Id="rId451" Type="http://schemas.openxmlformats.org/officeDocument/2006/relationships/hyperlink" Target="https://alpha.midjourney.com/jobs/64811c7a-9306-4518-8d43-b94ca602125b?index=2" TargetMode="External"/><Relationship Id="rId693" Type="http://schemas.openxmlformats.org/officeDocument/2006/relationships/hyperlink" Target="https://alpha.midjourney.com/jobs/2be582e5-299d-470b-9cbc-a89027a4991d?index=3" TargetMode="External"/><Relationship Id="rId1040" Type="http://schemas.openxmlformats.org/officeDocument/2006/relationships/hyperlink" Target="https://alpha.midjourney.com/jobs/c2f4baf1-31f1-4606-bf23-6d1860caa636?index=1" TargetMode="External"/><Relationship Id="rId1282" Type="http://schemas.openxmlformats.org/officeDocument/2006/relationships/hyperlink" Target="https://alpha.midjourney.com/jobs/e638ce50-37c5-4ad8-80d1-84365d8fc508?index=3" TargetMode="External"/><Relationship Id="rId450" Type="http://schemas.openxmlformats.org/officeDocument/2006/relationships/hyperlink" Target="https://alpha.midjourney.com/jobs/35a72dcd-bf6d-4211-a3ec-b4a56e9266de?index=3" TargetMode="External"/><Relationship Id="rId692" Type="http://schemas.openxmlformats.org/officeDocument/2006/relationships/hyperlink" Target="https://alpha.midjourney.com/jobs/82cf010f-86e1-4c76-bba4-1f5a5c122086?index=3" TargetMode="External"/><Relationship Id="rId1041" Type="http://schemas.openxmlformats.org/officeDocument/2006/relationships/hyperlink" Target="https://alpha.midjourney.com/jobs/c2f4baf1-31f1-4606-bf23-6d1860caa636?index=2" TargetMode="External"/><Relationship Id="rId1283" Type="http://schemas.openxmlformats.org/officeDocument/2006/relationships/hyperlink" Target="https://alpha.midjourney.com/jobs/4089ed4a-17f3-4ba8-885d-1a44e0495a57?index=3" TargetMode="External"/><Relationship Id="rId691" Type="http://schemas.openxmlformats.org/officeDocument/2006/relationships/hyperlink" Target="https://alpha.midjourney.com/jobs/82cf010f-86e1-4c76-bba4-1f5a5c122086?index=2" TargetMode="External"/><Relationship Id="rId1042" Type="http://schemas.openxmlformats.org/officeDocument/2006/relationships/hyperlink" Target="https://alpha.midjourney.com/jobs/1051c755-b7be-4af9-b7f5-630390db8721?index=2" TargetMode="External"/><Relationship Id="rId1284" Type="http://schemas.openxmlformats.org/officeDocument/2006/relationships/drawing" Target="../drawings/drawing1.xml"/><Relationship Id="rId690" Type="http://schemas.openxmlformats.org/officeDocument/2006/relationships/hyperlink" Target="https://alpha.midjourney.com/jobs/22a34a29-1762-4b99-a1b7-f4960f0961b3?index=0" TargetMode="External"/><Relationship Id="rId1043" Type="http://schemas.openxmlformats.org/officeDocument/2006/relationships/hyperlink" Target="https://www.midjourney.com/jobs/daa5df80-5847-4fa3-b98f-9e5564d261e0?index=0" TargetMode="External"/><Relationship Id="rId213" Type="http://schemas.openxmlformats.org/officeDocument/2006/relationships/hyperlink" Target="https://alpha.midjourney.com/jobs/c502c751-ced3-4cb3-aa77-ce7cf3c560d4?index=0" TargetMode="External"/><Relationship Id="rId455" Type="http://schemas.openxmlformats.org/officeDocument/2006/relationships/hyperlink" Target="https://alpha.midjourney.com/jobs/95d4bd24-c3f9-417f-be00-e2b02341a172?index=0" TargetMode="External"/><Relationship Id="rId697" Type="http://schemas.openxmlformats.org/officeDocument/2006/relationships/hyperlink" Target="https://alpha.midjourney.com/jobs/b446efd1-d0f0-46e6-bb05-0789f08d931d?index=1" TargetMode="External"/><Relationship Id="rId1044" Type="http://schemas.openxmlformats.org/officeDocument/2006/relationships/hyperlink" Target="https://www.midjourney.com/jobs/daa5df80-5847-4fa3-b98f-9e5564d261e0?index=3" TargetMode="External"/><Relationship Id="rId212" Type="http://schemas.openxmlformats.org/officeDocument/2006/relationships/hyperlink" Target="https://alpha.midjourney.com/jobs/ec1fb5cf-b226-482a-9fd2-005d6f927846?index=1" TargetMode="External"/><Relationship Id="rId454" Type="http://schemas.openxmlformats.org/officeDocument/2006/relationships/hyperlink" Target="https://alpha.midjourney.com/jobs/64a2413c-9261-4124-ba7d-e64c2319aae0?index=0" TargetMode="External"/><Relationship Id="rId696" Type="http://schemas.openxmlformats.org/officeDocument/2006/relationships/hyperlink" Target="https://alpha.midjourney.com/jobs/a3f9b0a5-cf95-46d6-b2ad-b875e23a9b7b?index=1" TargetMode="External"/><Relationship Id="rId1045" Type="http://schemas.openxmlformats.org/officeDocument/2006/relationships/hyperlink" Target="https://www.midjourney.com/jobs/f2f0d1d5-448c-41c9-aeee-7989cce9f4b1?index=0" TargetMode="External"/><Relationship Id="rId211" Type="http://schemas.openxmlformats.org/officeDocument/2006/relationships/hyperlink" Target="https://alpha.midjourney.com/jobs/11cea0b5-15f6-46ea-9c98-85147c5d0c1d?index=2" TargetMode="External"/><Relationship Id="rId453" Type="http://schemas.openxmlformats.org/officeDocument/2006/relationships/hyperlink" Target="https://alpha.midjourney.com/jobs/b7fa891c-92aa-4309-9f37-1140cd8df7b3?index=2" TargetMode="External"/><Relationship Id="rId695" Type="http://schemas.openxmlformats.org/officeDocument/2006/relationships/hyperlink" Target="https://alpha.midjourney.com/jobs/a3f9b0a5-cf95-46d6-b2ad-b875e23a9b7b?index=2" TargetMode="External"/><Relationship Id="rId1046" Type="http://schemas.openxmlformats.org/officeDocument/2006/relationships/hyperlink" Target="https://www.midjourney.com/jobs/ff03a905-8b47-4bd9-928f-24dcb019a190?index=1" TargetMode="External"/><Relationship Id="rId210" Type="http://schemas.openxmlformats.org/officeDocument/2006/relationships/hyperlink" Target="https://alpha.midjourney.com/jobs/cb83f03b-5441-4ab6-acd4-d6c23cfbf1b0?index=1" TargetMode="External"/><Relationship Id="rId452" Type="http://schemas.openxmlformats.org/officeDocument/2006/relationships/hyperlink" Target="https://alpha.midjourney.com/jobs/4f36ce57-0d46-485b-824d-f5324b716d84?index=1" TargetMode="External"/><Relationship Id="rId694" Type="http://schemas.openxmlformats.org/officeDocument/2006/relationships/hyperlink" Target="https://alpha.midjourney.com/jobs/a3f9b0a5-cf95-46d6-b2ad-b875e23a9b7b?index=3" TargetMode="External"/><Relationship Id="rId1047" Type="http://schemas.openxmlformats.org/officeDocument/2006/relationships/hyperlink" Target="https://alpha.midjourney.com/jobs/5ac52d41-3ad4-459d-b8d6-8c2cc855a039?index=3" TargetMode="External"/><Relationship Id="rId491" Type="http://schemas.openxmlformats.org/officeDocument/2006/relationships/hyperlink" Target="https://alpha.midjourney.com/jobs/c0cf7df8-c1a5-454a-bfd0-19b8243d58cc?index=1" TargetMode="External"/><Relationship Id="rId490" Type="http://schemas.openxmlformats.org/officeDocument/2006/relationships/hyperlink" Target="https://alpha.midjourney.com/jobs/01a4f043-f235-41b9-8d46-7b35d6f18030?index=2" TargetMode="External"/><Relationship Id="rId249" Type="http://schemas.openxmlformats.org/officeDocument/2006/relationships/hyperlink" Target="https://alpha.midjourney.com/jobs/54eedfaf-453e-4a49-bd5b-d4012761a293?index=1" TargetMode="External"/><Relationship Id="rId248" Type="http://schemas.openxmlformats.org/officeDocument/2006/relationships/hyperlink" Target="https://alpha.midjourney.com/jobs/9b90030e-860f-496a-a734-a45969d1b0dd?index=1" TargetMode="External"/><Relationship Id="rId247" Type="http://schemas.openxmlformats.org/officeDocument/2006/relationships/hyperlink" Target="https://alpha.midjourney.com/jobs/50351124-cb8d-40c5-ba32-ab7ed7975d03?index=3" TargetMode="External"/><Relationship Id="rId489" Type="http://schemas.openxmlformats.org/officeDocument/2006/relationships/hyperlink" Target="https://alpha.midjourney.com/jobs/aad8229e-1d42-48dd-8179-36ff489b78e3?index=2" TargetMode="External"/><Relationship Id="rId1070" Type="http://schemas.openxmlformats.org/officeDocument/2006/relationships/hyperlink" Target="https://www.midjourney.com/jobs/d7dca630-c76d-42db-8c8e-098b170c9f61?index=0" TargetMode="External"/><Relationship Id="rId1071" Type="http://schemas.openxmlformats.org/officeDocument/2006/relationships/hyperlink" Target="https://alpha.midjourney.com/jobs/317856ec-ed20-49ed-aa6f-417b3a695287?index=1" TargetMode="External"/><Relationship Id="rId1072" Type="http://schemas.openxmlformats.org/officeDocument/2006/relationships/hyperlink" Target="https://alpha.midjourney.com/jobs/770aa79a-c7fa-46dd-a748-a00edc010e27?index=3" TargetMode="External"/><Relationship Id="rId242" Type="http://schemas.openxmlformats.org/officeDocument/2006/relationships/hyperlink" Target="https://alpha.midjourney.com/jobs/e1671c8d-c48c-402d-addf-9a0fccad1761?index=0" TargetMode="External"/><Relationship Id="rId484" Type="http://schemas.openxmlformats.org/officeDocument/2006/relationships/hyperlink" Target="https://alpha.midjourney.com/jobs/ade40824-39ca-4001-a6f9-b17abaa7f8c9?index=2" TargetMode="External"/><Relationship Id="rId1073" Type="http://schemas.openxmlformats.org/officeDocument/2006/relationships/hyperlink" Target="https://alpha.midjourney.com/jobs/b0a01fad-5b86-4e50-8ad8-dad904ba902b?index=2" TargetMode="External"/><Relationship Id="rId241" Type="http://schemas.openxmlformats.org/officeDocument/2006/relationships/hyperlink" Target="https://alpha.midjourney.com/jobs/750ed738-29ba-42b6-8f6f-d878ddac70d4?index=1" TargetMode="External"/><Relationship Id="rId483" Type="http://schemas.openxmlformats.org/officeDocument/2006/relationships/hyperlink" Target="https://alpha.midjourney.com/jobs/89be5e2a-6702-40e7-bb2c-87dce748f051?index=0" TargetMode="External"/><Relationship Id="rId1074" Type="http://schemas.openxmlformats.org/officeDocument/2006/relationships/hyperlink" Target="https://alpha.midjourney.com/jobs/b0a01fad-5b86-4e50-8ad8-dad904ba902b?index=0" TargetMode="External"/><Relationship Id="rId240" Type="http://schemas.openxmlformats.org/officeDocument/2006/relationships/hyperlink" Target="https://alpha.midjourney.com/jobs/5e110d2e-a7e4-436b-bb11-4fb86e1580e9?index=2" TargetMode="External"/><Relationship Id="rId482" Type="http://schemas.openxmlformats.org/officeDocument/2006/relationships/hyperlink" Target="https://alpha.midjourney.com/jobs/5346acfb-9c48-4258-a97e-45266d64b6d2?index=3" TargetMode="External"/><Relationship Id="rId1075" Type="http://schemas.openxmlformats.org/officeDocument/2006/relationships/hyperlink" Target="https://www.midjourney.com/jobs/fe64b7e6-2440-4d46-a4c5-1101d3bf5f3d?index=2" TargetMode="External"/><Relationship Id="rId481" Type="http://schemas.openxmlformats.org/officeDocument/2006/relationships/hyperlink" Target="https://alpha.midjourney.com/jobs/cb5ae9cc-bb0c-4b23-93f2-9aba3eead611?index=0" TargetMode="External"/><Relationship Id="rId1076" Type="http://schemas.openxmlformats.org/officeDocument/2006/relationships/hyperlink" Target="https://www.midjourney.com/jobs/0dc2f6bf-8e60-4443-8ca9-01ae9d2c452f?index=3" TargetMode="External"/><Relationship Id="rId246" Type="http://schemas.openxmlformats.org/officeDocument/2006/relationships/hyperlink" Target="https://alpha.midjourney.com/jobs/914ae491-f842-47a7-972e-d9a4a84c90f6?index=0" TargetMode="External"/><Relationship Id="rId488" Type="http://schemas.openxmlformats.org/officeDocument/2006/relationships/hyperlink" Target="https://alpha.midjourney.com/jobs/1147f4d1-0ebc-4af6-a726-d02c68d60b73?index=2" TargetMode="External"/><Relationship Id="rId1077" Type="http://schemas.openxmlformats.org/officeDocument/2006/relationships/hyperlink" Target="https://www.midjourney.com/jobs/0dc2f6bf-8e60-4443-8ca9-01ae9d2c452f?index=1" TargetMode="External"/><Relationship Id="rId245" Type="http://schemas.openxmlformats.org/officeDocument/2006/relationships/hyperlink" Target="https://alpha.midjourney.com/jobs/5eca18e5-b521-4e2a-9848-bc98673ae4d2?index=0" TargetMode="External"/><Relationship Id="rId487" Type="http://schemas.openxmlformats.org/officeDocument/2006/relationships/hyperlink" Target="https://alpha.midjourney.com/jobs/1147f4d1-0ebc-4af6-a726-d02c68d60b73?index=0" TargetMode="External"/><Relationship Id="rId1078" Type="http://schemas.openxmlformats.org/officeDocument/2006/relationships/hyperlink" Target="https://www.midjourney.com/jobs/46d3e87b-dfdf-4208-b209-43eb59d25124?index=3" TargetMode="External"/><Relationship Id="rId244" Type="http://schemas.openxmlformats.org/officeDocument/2006/relationships/hyperlink" Target="https://alpha.midjourney.com/jobs/01e8e033-593c-490d-a32f-a166ab8baa48?index=2" TargetMode="External"/><Relationship Id="rId486" Type="http://schemas.openxmlformats.org/officeDocument/2006/relationships/hyperlink" Target="https://alpha.midjourney.com/jobs/b817370e-a391-4a6b-9688-f381c88b69b0?index=2" TargetMode="External"/><Relationship Id="rId1079" Type="http://schemas.openxmlformats.org/officeDocument/2006/relationships/hyperlink" Target="https://www.midjourney.com/jobs/e6b4dd99-8a01-416c-8bfc-b09999257964?index=0" TargetMode="External"/><Relationship Id="rId243" Type="http://schemas.openxmlformats.org/officeDocument/2006/relationships/hyperlink" Target="https://alpha.midjourney.com/jobs/ba533218-851c-4bf4-a8d6-1d40dd59d983?index=0" TargetMode="External"/><Relationship Id="rId485" Type="http://schemas.openxmlformats.org/officeDocument/2006/relationships/hyperlink" Target="https://alpha.midjourney.com/jobs/237069bf-4281-4ab7-875e-331a4121cc5c?index=2" TargetMode="External"/><Relationship Id="rId480" Type="http://schemas.openxmlformats.org/officeDocument/2006/relationships/hyperlink" Target="https://alpha.midjourney.com/jobs/36f45aba-7dd3-4234-a291-4a6bd6317f10?index=0" TargetMode="External"/><Relationship Id="rId239" Type="http://schemas.openxmlformats.org/officeDocument/2006/relationships/hyperlink" Target="https://alpha.midjourney.com/jobs/5e110d2e-a7e4-436b-bb11-4fb86e1580e9?index=3" TargetMode="External"/><Relationship Id="rId238" Type="http://schemas.openxmlformats.org/officeDocument/2006/relationships/hyperlink" Target="https://alpha.midjourney.com/jobs/0e687280-8a8e-4bab-ba7e-71eecfd6f625?index=2" TargetMode="External"/><Relationship Id="rId237" Type="http://schemas.openxmlformats.org/officeDocument/2006/relationships/hyperlink" Target="https://alpha.midjourney.com/jobs/a02f660a-1dce-436f-acb5-465e63f5bbc5?index=1" TargetMode="External"/><Relationship Id="rId479" Type="http://schemas.openxmlformats.org/officeDocument/2006/relationships/hyperlink" Target="https://alpha.midjourney.com/jobs/36f45aba-7dd3-4234-a291-4a6bd6317f10?index=2" TargetMode="External"/><Relationship Id="rId236" Type="http://schemas.openxmlformats.org/officeDocument/2006/relationships/hyperlink" Target="https://alpha.midjourney.com/jobs/f8926069-73ab-4045-b918-9cb77758a03b?index=3" TargetMode="External"/><Relationship Id="rId478" Type="http://schemas.openxmlformats.org/officeDocument/2006/relationships/hyperlink" Target="https://alpha.midjourney.com/jobs/da05031f-b161-4dbf-82ed-34f56ec60f8b?index=0" TargetMode="External"/><Relationship Id="rId1060" Type="http://schemas.openxmlformats.org/officeDocument/2006/relationships/hyperlink" Target="https://www.midjourney.com/jobs/3432df11-bef6-4eda-b76e-b4eb16b94be1?index=3" TargetMode="External"/><Relationship Id="rId1061" Type="http://schemas.openxmlformats.org/officeDocument/2006/relationships/hyperlink" Target="https://www.midjourney.com/jobs/3a147f13-6f59-44b7-8b20-2b2f8cbec4e3?index=3" TargetMode="External"/><Relationship Id="rId231" Type="http://schemas.openxmlformats.org/officeDocument/2006/relationships/hyperlink" Target="https://alpha.midjourney.com/jobs/237ccf0b-0f9d-4e23-b6d4-df327207e61c?index=1" TargetMode="External"/><Relationship Id="rId473" Type="http://schemas.openxmlformats.org/officeDocument/2006/relationships/hyperlink" Target="https://alpha.midjourney.com/jobs/c49fa673-bcd1-49dc-a65d-b262aa8d349c?index=3" TargetMode="External"/><Relationship Id="rId1062" Type="http://schemas.openxmlformats.org/officeDocument/2006/relationships/hyperlink" Target="https://www.midjourney.com/jobs/518a6ecb-c3fa-47f3-9af1-951f280135b2?index=0" TargetMode="External"/><Relationship Id="rId230" Type="http://schemas.openxmlformats.org/officeDocument/2006/relationships/hyperlink" Target="https://alpha.midjourney.com/jobs/78ae5a97-8656-4c23-992f-61f8947a1950?index=2" TargetMode="External"/><Relationship Id="rId472" Type="http://schemas.openxmlformats.org/officeDocument/2006/relationships/hyperlink" Target="https://alpha.midjourney.com/jobs/49af1a65-37b2-43e7-abfb-fec1ef5ae6d3?index=2" TargetMode="External"/><Relationship Id="rId1063" Type="http://schemas.openxmlformats.org/officeDocument/2006/relationships/hyperlink" Target="https://www.midjourney.com/jobs/518a6ecb-c3fa-47f3-9af1-951f280135b2?index=2" TargetMode="External"/><Relationship Id="rId471" Type="http://schemas.openxmlformats.org/officeDocument/2006/relationships/hyperlink" Target="https://alpha.midjourney.com/jobs/24410310-250b-4dfc-957c-f04fe0d1851b?index=0" TargetMode="External"/><Relationship Id="rId1064" Type="http://schemas.openxmlformats.org/officeDocument/2006/relationships/hyperlink" Target="https://www.midjourney.com/jobs/d10de1b7-898f-4645-92ce-e778e24c0c6d?index=3" TargetMode="External"/><Relationship Id="rId470" Type="http://schemas.openxmlformats.org/officeDocument/2006/relationships/hyperlink" Target="https://alpha.midjourney.com/jobs/727e14da-bc4a-4671-9e13-4f06e7007152?index=0" TargetMode="External"/><Relationship Id="rId1065" Type="http://schemas.openxmlformats.org/officeDocument/2006/relationships/hyperlink" Target="https://alpha.midjourney.com/jobs/087b55ba-26dd-46a4-86ff-a4e63f4c3748?index=2" TargetMode="External"/><Relationship Id="rId235" Type="http://schemas.openxmlformats.org/officeDocument/2006/relationships/hyperlink" Target="https://alpha.midjourney.com/jobs/02a937b0-dc30-4b61-a80a-775950a47d1e?index=0" TargetMode="External"/><Relationship Id="rId477" Type="http://schemas.openxmlformats.org/officeDocument/2006/relationships/hyperlink" Target="https://alpha.midjourney.com/jobs/da05031f-b161-4dbf-82ed-34f56ec60f8b?index=3" TargetMode="External"/><Relationship Id="rId1066" Type="http://schemas.openxmlformats.org/officeDocument/2006/relationships/hyperlink" Target="https://alpha.midjourney.com/jobs/bba9a8bd-0f23-4f95-9579-deb2950cc017?index=1" TargetMode="External"/><Relationship Id="rId234" Type="http://schemas.openxmlformats.org/officeDocument/2006/relationships/hyperlink" Target="https://alpha.midjourney.com/jobs/68e2c61d-f9ac-435e-8eb9-44ef82724758?index=1" TargetMode="External"/><Relationship Id="rId476" Type="http://schemas.openxmlformats.org/officeDocument/2006/relationships/hyperlink" Target="https://alpha.midjourney.com/jobs/14907b72-ac7b-441a-89c1-206aa74ae3cc?index=3" TargetMode="External"/><Relationship Id="rId1067" Type="http://schemas.openxmlformats.org/officeDocument/2006/relationships/hyperlink" Target="https://alpha.midjourney.com/jobs/b613718a-7155-4eb8-adfc-e37e53ae6e30?index=0" TargetMode="External"/><Relationship Id="rId233" Type="http://schemas.openxmlformats.org/officeDocument/2006/relationships/hyperlink" Target="https://alpha.midjourney.com/jobs/86e09484-75c2-4d9e-b33e-31faa3d4e251?index=2" TargetMode="External"/><Relationship Id="rId475" Type="http://schemas.openxmlformats.org/officeDocument/2006/relationships/hyperlink" Target="https://alpha.midjourney.com/jobs/cbc1003a-54e1-4023-a949-d6248d86958a?index=1" TargetMode="External"/><Relationship Id="rId1068" Type="http://schemas.openxmlformats.org/officeDocument/2006/relationships/hyperlink" Target="https://www.midjourney.com/jobs/ceffc422-8f67-4373-b88f-9001f745346e?index=3" TargetMode="External"/><Relationship Id="rId232" Type="http://schemas.openxmlformats.org/officeDocument/2006/relationships/hyperlink" Target="https://alpha.midjourney.com/jobs/31869c2e-79e0-44a2-bcb2-ef2489f226ad?index=3" TargetMode="External"/><Relationship Id="rId474" Type="http://schemas.openxmlformats.org/officeDocument/2006/relationships/hyperlink" Target="https://alpha.midjourney.com/jobs/b85e9529-2c1c-43be-8887-f8653d2daa3e?index=1" TargetMode="External"/><Relationship Id="rId1069" Type="http://schemas.openxmlformats.org/officeDocument/2006/relationships/hyperlink" Target="https://www.midjourney.com/jobs/329c884d-b09a-4e73-aaa6-624bb2faf437?index=0" TargetMode="External"/><Relationship Id="rId1015" Type="http://schemas.openxmlformats.org/officeDocument/2006/relationships/hyperlink" Target="https://alpha.midjourney.com/jobs/9c727ff6-c46f-495a-8745-eb3feef08a58?index=2" TargetMode="External"/><Relationship Id="rId1257" Type="http://schemas.openxmlformats.org/officeDocument/2006/relationships/hyperlink" Target="https://alpha.midjourney.com/jobs/5d05060b-90d2-498e-a31c-61d7573c6a6b?index=1" TargetMode="External"/><Relationship Id="rId1016" Type="http://schemas.openxmlformats.org/officeDocument/2006/relationships/hyperlink" Target="https://alpha.midjourney.com/jobs/3b94e074-2b90-4fa3-bb5b-c3a7d3664e1b?index=2" TargetMode="External"/><Relationship Id="rId1258" Type="http://schemas.openxmlformats.org/officeDocument/2006/relationships/hyperlink" Target="https://alpha.midjourney.com/jobs/5d05060b-90d2-498e-a31c-61d7573c6a6b?index=1" TargetMode="External"/><Relationship Id="rId1017" Type="http://schemas.openxmlformats.org/officeDocument/2006/relationships/hyperlink" Target="https://alpha.midjourney.com/jobs/d14b775f-e7b0-42bf-a5a7-ee4e093d8287?index=2" TargetMode="External"/><Relationship Id="rId1259" Type="http://schemas.openxmlformats.org/officeDocument/2006/relationships/hyperlink" Target="https://alpha.midjourney.com/jobs/754bff8c-b781-4afb-85ec-bec3f03f5cad?index=3" TargetMode="External"/><Relationship Id="rId1018" Type="http://schemas.openxmlformats.org/officeDocument/2006/relationships/hyperlink" Target="https://alpha.midjourney.com/jobs/d14b775f-e7b0-42bf-a5a7-ee4e093d8287?index=0" TargetMode="External"/><Relationship Id="rId1019" Type="http://schemas.openxmlformats.org/officeDocument/2006/relationships/hyperlink" Target="https://alpha.midjourney.com/jobs/22fa481a-78f9-4baa-8123-8872b633cc3c?index=0" TargetMode="External"/><Relationship Id="rId426" Type="http://schemas.openxmlformats.org/officeDocument/2006/relationships/hyperlink" Target="https://alpha.midjourney.com/jobs/e05954af-33c9-4da9-8e4a-db59dcbfe183?index=1" TargetMode="External"/><Relationship Id="rId668" Type="http://schemas.openxmlformats.org/officeDocument/2006/relationships/hyperlink" Target="https://alpha.midjourney.com/jobs/1d4aed0b-b3f1-4a68-841a-b6560e29fb45?index=1" TargetMode="External"/><Relationship Id="rId425" Type="http://schemas.openxmlformats.org/officeDocument/2006/relationships/hyperlink" Target="https://alpha.midjourney.com/jobs/17400965-7d5e-43d1-89d1-50bc40d768d4?index=3" TargetMode="External"/><Relationship Id="rId667" Type="http://schemas.openxmlformats.org/officeDocument/2006/relationships/hyperlink" Target="https://alpha.midjourney.com/jobs/c6c2204f-73dc-4f96-bf79-85232ef0cb07?index=0" TargetMode="External"/><Relationship Id="rId424" Type="http://schemas.openxmlformats.org/officeDocument/2006/relationships/hyperlink" Target="https://alpha.midjourney.com/jobs/f8a1ed76-7240-4cde-a3b9-27fa3ef0e3c1?index=2" TargetMode="External"/><Relationship Id="rId666" Type="http://schemas.openxmlformats.org/officeDocument/2006/relationships/hyperlink" Target="https://alpha.midjourney.com/jobs/4865252e-62d3-4d61-a1ff-9e163d348e13?index=2" TargetMode="External"/><Relationship Id="rId423" Type="http://schemas.openxmlformats.org/officeDocument/2006/relationships/hyperlink" Target="https://alpha.midjourney.com/jobs/05c6f5a4-d62f-42b1-9238-de993928da7c?index=0" TargetMode="External"/><Relationship Id="rId665" Type="http://schemas.openxmlformats.org/officeDocument/2006/relationships/hyperlink" Target="https://alpha.midjourney.com/jobs/210e4748-4c39-4d6d-84d6-16b05dcaab37?index=1" TargetMode="External"/><Relationship Id="rId429" Type="http://schemas.openxmlformats.org/officeDocument/2006/relationships/hyperlink" Target="https://alpha.midjourney.com/jobs/ae5403d8-a727-4efc-95dc-e3c984fb160c?index=3" TargetMode="External"/><Relationship Id="rId428" Type="http://schemas.openxmlformats.org/officeDocument/2006/relationships/hyperlink" Target="https://alpha.midjourney.com/jobs/0be90f98-ce12-4e62-b0c4-4a2f5506f96e?index=0" TargetMode="External"/><Relationship Id="rId427" Type="http://schemas.openxmlformats.org/officeDocument/2006/relationships/hyperlink" Target="https://alpha.midjourney.com/jobs/401b41c6-bd4d-446b-8751-12ce7ddeedab?index=1" TargetMode="External"/><Relationship Id="rId669" Type="http://schemas.openxmlformats.org/officeDocument/2006/relationships/hyperlink" Target="https://alpha.midjourney.com/jobs/ecea684f-75e7-4a2a-8d8c-b31339d7d861?index=0" TargetMode="External"/><Relationship Id="rId660" Type="http://schemas.openxmlformats.org/officeDocument/2006/relationships/hyperlink" Target="https://alpha.midjourney.com/jobs/47bd8a99-96cc-4b41-bc50-6ab93ee3369d?index=0" TargetMode="External"/><Relationship Id="rId1250" Type="http://schemas.openxmlformats.org/officeDocument/2006/relationships/hyperlink" Target="https://alpha.midjourney.com/jobs/41b197fe-775d-440c-b411-de975aaf0c08?index=0" TargetMode="External"/><Relationship Id="rId1251" Type="http://schemas.openxmlformats.org/officeDocument/2006/relationships/hyperlink" Target="https://alpha.midjourney.com/jobs/41b197fe-775d-440c-b411-de975aaf0c08?index=2" TargetMode="External"/><Relationship Id="rId1010" Type="http://schemas.openxmlformats.org/officeDocument/2006/relationships/hyperlink" Target="https://alpha.midjourney.com/jobs/d51c42a9-d21b-455b-b717-2e711e19f0d6?index=0" TargetMode="External"/><Relationship Id="rId1252" Type="http://schemas.openxmlformats.org/officeDocument/2006/relationships/hyperlink" Target="https://alpha.midjourney.com/jobs/41b197fe-775d-440c-b411-de975aaf0c08?index=3" TargetMode="External"/><Relationship Id="rId422" Type="http://schemas.openxmlformats.org/officeDocument/2006/relationships/hyperlink" Target="https://alpha.midjourney.com/jobs/7f321faf-3805-447d-865c-1174f939f1fb?index=2" TargetMode="External"/><Relationship Id="rId664" Type="http://schemas.openxmlformats.org/officeDocument/2006/relationships/hyperlink" Target="https://alpha.midjourney.com/jobs/1ee1739c-f460-4f92-977f-b926ed62b9c9?index=2" TargetMode="External"/><Relationship Id="rId1011" Type="http://schemas.openxmlformats.org/officeDocument/2006/relationships/hyperlink" Target="https://alpha.midjourney.com/jobs/d51c42a9-d21b-455b-b717-2e711e19f0d6?index=2" TargetMode="External"/><Relationship Id="rId1253" Type="http://schemas.openxmlformats.org/officeDocument/2006/relationships/hyperlink" Target="https://alpha.midjourney.com/jobs/eca69252-5ea5-4e4c-8019-528019d2d791?index=1" TargetMode="External"/><Relationship Id="rId421" Type="http://schemas.openxmlformats.org/officeDocument/2006/relationships/hyperlink" Target="https://alpha.midjourney.com/jobs/5b8d513e-1e55-4e3d-83e3-5bb91d908d86?index=0" TargetMode="External"/><Relationship Id="rId663" Type="http://schemas.openxmlformats.org/officeDocument/2006/relationships/hyperlink" Target="https://alpha.midjourney.com/jobs/bb65025a-3646-4b47-89da-e109c9da39f9?index=2" TargetMode="External"/><Relationship Id="rId1012" Type="http://schemas.openxmlformats.org/officeDocument/2006/relationships/hyperlink" Target="https://alpha.midjourney.com/jobs/d51c42a9-d21b-455b-b717-2e711e19f0d6?index=3" TargetMode="External"/><Relationship Id="rId1254" Type="http://schemas.openxmlformats.org/officeDocument/2006/relationships/hyperlink" Target="https://alpha.midjourney.com/jobs/eca69252-5ea5-4e4c-8019-528019d2d791?index=1" TargetMode="External"/><Relationship Id="rId420" Type="http://schemas.openxmlformats.org/officeDocument/2006/relationships/hyperlink" Target="https://alpha.midjourney.com/jobs/cdb66904-4d64-426d-9b57-b52c40bac280?index=3" TargetMode="External"/><Relationship Id="rId662" Type="http://schemas.openxmlformats.org/officeDocument/2006/relationships/hyperlink" Target="https://alpha.midjourney.com/jobs/26cf6a40-ae53-40b8-b6e8-cf911b9a91a6?index=3" TargetMode="External"/><Relationship Id="rId1013" Type="http://schemas.openxmlformats.org/officeDocument/2006/relationships/hyperlink" Target="https://alpha.midjourney.com/jobs/b392fba2-9f4d-4b44-8089-24bd297605d2?index=3" TargetMode="External"/><Relationship Id="rId1255" Type="http://schemas.openxmlformats.org/officeDocument/2006/relationships/hyperlink" Target="https://alpha.midjourney.com/jobs/79d3e24f-d6cf-4769-9e12-c80626fe6998?index=1" TargetMode="External"/><Relationship Id="rId661" Type="http://schemas.openxmlformats.org/officeDocument/2006/relationships/hyperlink" Target="https://alpha.midjourney.com/jobs/a1a13900-c801-42e6-af4f-64055214e78b?index=2" TargetMode="External"/><Relationship Id="rId1014" Type="http://schemas.openxmlformats.org/officeDocument/2006/relationships/hyperlink" Target="https://alpha.midjourney.com/jobs/2d9d297a-3f82-4914-a300-7c37c26ac936?index=0" TargetMode="External"/><Relationship Id="rId1256" Type="http://schemas.openxmlformats.org/officeDocument/2006/relationships/hyperlink" Target="https://alpha.midjourney.com/jobs/79d3e24f-d6cf-4769-9e12-c80626fe6998?index=1" TargetMode="External"/><Relationship Id="rId1004" Type="http://schemas.openxmlformats.org/officeDocument/2006/relationships/hyperlink" Target="https://alpha.midjourney.com/jobs/3368ea80-eb99-431a-b18e-c6209d8c03da?index=0" TargetMode="External"/><Relationship Id="rId1246" Type="http://schemas.openxmlformats.org/officeDocument/2006/relationships/hyperlink" Target="https://alpha.midjourney.com/jobs/5e3b38dd-eec2-40cb-aed7-8157f1fcacc3?index=0" TargetMode="External"/><Relationship Id="rId1005" Type="http://schemas.openxmlformats.org/officeDocument/2006/relationships/hyperlink" Target="https://alpha.midjourney.com/jobs/3368ea80-eb99-431a-b18e-c6209d8c03da?index=3" TargetMode="External"/><Relationship Id="rId1247" Type="http://schemas.openxmlformats.org/officeDocument/2006/relationships/hyperlink" Target="https://alpha.midjourney.com/jobs/5dbb8ecd-9b17-492c-8c6e-4ebd8802e6b4?index=2" TargetMode="External"/><Relationship Id="rId1006" Type="http://schemas.openxmlformats.org/officeDocument/2006/relationships/hyperlink" Target="https://alpha.midjourney.com/jobs/9ed9297c-ced3-4ec8-b6c9-6a710831a6fb?index=2" TargetMode="External"/><Relationship Id="rId1248" Type="http://schemas.openxmlformats.org/officeDocument/2006/relationships/hyperlink" Target="https://alpha.midjourney.com/jobs/8235d30b-b3b6-425e-b229-bb896977b842?index=3" TargetMode="External"/><Relationship Id="rId1007" Type="http://schemas.openxmlformats.org/officeDocument/2006/relationships/hyperlink" Target="https://alpha.midjourney.com/jobs/6cfaf2cf-9b54-457e-bb4e-122d7a36e929?index=1" TargetMode="External"/><Relationship Id="rId1249" Type="http://schemas.openxmlformats.org/officeDocument/2006/relationships/hyperlink" Target="https://alpha.midjourney.com/jobs/e581b5a0-8efb-4c8e-a1cb-882994165dbb?index=1" TargetMode="External"/><Relationship Id="rId1008" Type="http://schemas.openxmlformats.org/officeDocument/2006/relationships/hyperlink" Target="https://alpha.midjourney.com/jobs/eabb5d2b-34af-44b6-986e-b1f24cc82748?index=0" TargetMode="External"/><Relationship Id="rId1009" Type="http://schemas.openxmlformats.org/officeDocument/2006/relationships/hyperlink" Target="https://alpha.midjourney.com/jobs/eabb5d2b-34af-44b6-986e-b1f24cc82748?index=2" TargetMode="External"/><Relationship Id="rId415" Type="http://schemas.openxmlformats.org/officeDocument/2006/relationships/hyperlink" Target="https://alpha.midjourney.com/jobs/beb9e0a6-b2bf-406a-acb9-c9f670ba00a8?index=0" TargetMode="External"/><Relationship Id="rId657" Type="http://schemas.openxmlformats.org/officeDocument/2006/relationships/hyperlink" Target="https://alpha.midjourney.com/jobs/dc99fa2e-811a-4134-88e2-76ee3a711eec?index=3" TargetMode="External"/><Relationship Id="rId899" Type="http://schemas.openxmlformats.org/officeDocument/2006/relationships/hyperlink" Target="https://alpha.midjourney.com/jobs/2b9073bb-0341-476a-8631-8ae5e430e13e?index=0" TargetMode="External"/><Relationship Id="rId414" Type="http://schemas.openxmlformats.org/officeDocument/2006/relationships/hyperlink" Target="https://alpha.midjourney.com/jobs/d5963950-ad56-4cfb-8146-c8e9dbf4cf69?index=3" TargetMode="External"/><Relationship Id="rId656" Type="http://schemas.openxmlformats.org/officeDocument/2006/relationships/hyperlink" Target="https://alpha.midjourney.com/jobs/50cb008f-6fe7-409a-b61b-b7bc12c22e65?index=1" TargetMode="External"/><Relationship Id="rId898" Type="http://schemas.openxmlformats.org/officeDocument/2006/relationships/hyperlink" Target="https://alpha.midjourney.com/jobs/d32d623f-8304-4652-a723-5e08c4834598?index=0" TargetMode="External"/><Relationship Id="rId413" Type="http://schemas.openxmlformats.org/officeDocument/2006/relationships/hyperlink" Target="https://alpha.midjourney.com/jobs/4f1b5033-05f9-4562-ad56-d2b641ef5f1f?index=3" TargetMode="External"/><Relationship Id="rId655" Type="http://schemas.openxmlformats.org/officeDocument/2006/relationships/hyperlink" Target="https://alpha.midjourney.com/jobs/9b5d05a2-12d1-413b-a6fd-7d9e16bb7501?index=1" TargetMode="External"/><Relationship Id="rId897" Type="http://schemas.openxmlformats.org/officeDocument/2006/relationships/hyperlink" Target="https://alpha.midjourney.com/jobs/d32d623f-8304-4652-a723-5e08c4834598?index=1" TargetMode="External"/><Relationship Id="rId412" Type="http://schemas.openxmlformats.org/officeDocument/2006/relationships/hyperlink" Target="https://alpha.midjourney.com/jobs/da48772a-b4d4-44f8-8d55-428c4b7750df?index=1" TargetMode="External"/><Relationship Id="rId654" Type="http://schemas.openxmlformats.org/officeDocument/2006/relationships/hyperlink" Target="https://alpha.midjourney.com/jobs/18b03779-75c5-4427-a72d-24f294f50e23?index=2" TargetMode="External"/><Relationship Id="rId896" Type="http://schemas.openxmlformats.org/officeDocument/2006/relationships/hyperlink" Target="https://alpha.midjourney.com/jobs/d873ea84-8af5-4c95-9311-a13fdaff6ba8?index=3" TargetMode="External"/><Relationship Id="rId419" Type="http://schemas.openxmlformats.org/officeDocument/2006/relationships/hyperlink" Target="https://alpha.midjourney.com/jobs/61bed001-1b3a-4c23-88eb-e0bbfe3952ff?index=2" TargetMode="External"/><Relationship Id="rId418" Type="http://schemas.openxmlformats.org/officeDocument/2006/relationships/hyperlink" Target="https://alpha.midjourney.com/jobs/4d30a02e-716e-4b60-a09c-89f780874304?index=3" TargetMode="External"/><Relationship Id="rId417" Type="http://schemas.openxmlformats.org/officeDocument/2006/relationships/hyperlink" Target="https://alpha.midjourney.com/jobs/01aeb422-4b10-4f42-9cdc-16002a77d82f?index=3" TargetMode="External"/><Relationship Id="rId659" Type="http://schemas.openxmlformats.org/officeDocument/2006/relationships/hyperlink" Target="https://alpha.midjourney.com/jobs/bdf467d6-4699-4676-a6f9-39e3cbb899e5?index=0" TargetMode="External"/><Relationship Id="rId416" Type="http://schemas.openxmlformats.org/officeDocument/2006/relationships/hyperlink" Target="https://alpha.midjourney.com/jobs/9b4c1075-32e7-4d23-a0ed-09a036f0b737?index=3" TargetMode="External"/><Relationship Id="rId658" Type="http://schemas.openxmlformats.org/officeDocument/2006/relationships/hyperlink" Target="https://alpha.midjourney.com/jobs/c4a83c37-4d6d-4f59-96bb-5d38ce1a9de6?index=3" TargetMode="External"/><Relationship Id="rId891" Type="http://schemas.openxmlformats.org/officeDocument/2006/relationships/hyperlink" Target="https://alpha.midjourney.com/jobs/8101b753-c1a7-48f9-9c48-ff7c964630a9?index=3" TargetMode="External"/><Relationship Id="rId890" Type="http://schemas.openxmlformats.org/officeDocument/2006/relationships/hyperlink" Target="https://alpha.midjourney.com/jobs/4b4ec7c1-50af-47ee-b257-f0ccc5310487?index=1" TargetMode="External"/><Relationship Id="rId1240" Type="http://schemas.openxmlformats.org/officeDocument/2006/relationships/hyperlink" Target="https://alpha.midjourney.com/jobs/ebb9223e-1b65-4e72-8083-8d3ec8ec12f5?index=1" TargetMode="External"/><Relationship Id="rId1241" Type="http://schemas.openxmlformats.org/officeDocument/2006/relationships/hyperlink" Target="https://alpha.midjourney.com/jobs/8c043611-a6de-4127-b476-d2921f918989?index=3" TargetMode="External"/><Relationship Id="rId411" Type="http://schemas.openxmlformats.org/officeDocument/2006/relationships/hyperlink" Target="https://alpha.midjourney.com/jobs/a5b23374-c9e0-4cc3-ac9e-7cc693ab07b6?index=1" TargetMode="External"/><Relationship Id="rId653" Type="http://schemas.openxmlformats.org/officeDocument/2006/relationships/hyperlink" Target="https://alpha.midjourney.com/jobs/12fada4d-5aaf-4322-b3d3-24be5496e64d?index=3" TargetMode="External"/><Relationship Id="rId895" Type="http://schemas.openxmlformats.org/officeDocument/2006/relationships/hyperlink" Target="https://alpha.midjourney.com/jobs/96117920-bb02-4af0-bdd5-92bafd2f9a02?index=0" TargetMode="External"/><Relationship Id="rId1000" Type="http://schemas.openxmlformats.org/officeDocument/2006/relationships/hyperlink" Target="https://alpha.midjourney.com/jobs/99567b88-2374-4ea8-b28b-a5f05e5585b5?index=3" TargetMode="External"/><Relationship Id="rId1242" Type="http://schemas.openxmlformats.org/officeDocument/2006/relationships/hyperlink" Target="https://alpha.midjourney.com/jobs/09b86ab5-112c-406d-a18f-eeeb76fc1db5?index=0" TargetMode="External"/><Relationship Id="rId410" Type="http://schemas.openxmlformats.org/officeDocument/2006/relationships/hyperlink" Target="https://alpha.midjourney.com/jobs/ee08debf-6dfa-4c1a-b68d-af2815e27ecd?index=0" TargetMode="External"/><Relationship Id="rId652" Type="http://schemas.openxmlformats.org/officeDocument/2006/relationships/hyperlink" Target="https://alpha.midjourney.com/jobs/83be14db-adaf-4786-aeef-ad19b39bd2ca?index=2" TargetMode="External"/><Relationship Id="rId894" Type="http://schemas.openxmlformats.org/officeDocument/2006/relationships/hyperlink" Target="https://alpha.midjourney.com/jobs/02f490f5-8a73-4b18-98b2-f180b56a6854?index=0" TargetMode="External"/><Relationship Id="rId1001" Type="http://schemas.openxmlformats.org/officeDocument/2006/relationships/hyperlink" Target="https://alpha.midjourney.com/jobs/fd4571f3-05ac-44eb-bb05-b7f87755ff5f?index=2" TargetMode="External"/><Relationship Id="rId1243" Type="http://schemas.openxmlformats.org/officeDocument/2006/relationships/hyperlink" Target="https://alpha.midjourney.com/jobs/09b86ab5-112c-406d-a18f-eeeb76fc1db5?index=1" TargetMode="External"/><Relationship Id="rId651" Type="http://schemas.openxmlformats.org/officeDocument/2006/relationships/hyperlink" Target="https://alpha.midjourney.com/jobs/52110149-5889-41ad-8d65-2ed05aed8c38?index=3" TargetMode="External"/><Relationship Id="rId893" Type="http://schemas.openxmlformats.org/officeDocument/2006/relationships/hyperlink" Target="https://alpha.midjourney.com/jobs/791b4388-e42b-4a77-a558-2677d1590cd0?index=0" TargetMode="External"/><Relationship Id="rId1002" Type="http://schemas.openxmlformats.org/officeDocument/2006/relationships/hyperlink" Target="https://alpha.midjourney.com/jobs/2015eae7-f8fe-4ae3-9e86-68fc8209e0f9?index=1" TargetMode="External"/><Relationship Id="rId1244" Type="http://schemas.openxmlformats.org/officeDocument/2006/relationships/hyperlink" Target="https://alpha.midjourney.com/jobs/eca69252-5ea5-4e4c-8019-528019d2d791?index=0" TargetMode="External"/><Relationship Id="rId650" Type="http://schemas.openxmlformats.org/officeDocument/2006/relationships/hyperlink" Target="https://alpha.midjourney.com/jobs/1712423c-8247-4d89-938a-b7a8f72676d3?index=3" TargetMode="External"/><Relationship Id="rId892" Type="http://schemas.openxmlformats.org/officeDocument/2006/relationships/hyperlink" Target="https://alpha.midjourney.com/jobs/0cac4099-b720-427d-94a1-4232a7ee0eee?index=3" TargetMode="External"/><Relationship Id="rId1003" Type="http://schemas.openxmlformats.org/officeDocument/2006/relationships/hyperlink" Target="https://alpha.midjourney.com/jobs/56423885-c0d3-4de9-84f2-5841ca663db4?index=0" TargetMode="External"/><Relationship Id="rId1245" Type="http://schemas.openxmlformats.org/officeDocument/2006/relationships/hyperlink" Target="https://alpha.midjourney.com/jobs/eca69252-5ea5-4e4c-8019-528019d2d791?index=2" TargetMode="External"/><Relationship Id="rId1037" Type="http://schemas.openxmlformats.org/officeDocument/2006/relationships/hyperlink" Target="https://alpha.midjourney.com/jobs/aea26d87-d563-4b77-9ac0-7747004874bc?index=0" TargetMode="External"/><Relationship Id="rId1279" Type="http://schemas.openxmlformats.org/officeDocument/2006/relationships/hyperlink" Target="https://alpha.midjourney.com/jobs/c9bca36b-de83-404a-9302-2b79d1c2e5a7?index=0" TargetMode="External"/><Relationship Id="rId1038" Type="http://schemas.openxmlformats.org/officeDocument/2006/relationships/hyperlink" Target="https://alpha.midjourney.com/jobs/b816314c-3b2a-4218-b988-7d8a32017561?index=0" TargetMode="External"/><Relationship Id="rId1039" Type="http://schemas.openxmlformats.org/officeDocument/2006/relationships/hyperlink" Target="https://alpha.midjourney.com/jobs/b816314c-3b2a-4218-b988-7d8a32017561?index=3" TargetMode="External"/><Relationship Id="rId206" Type="http://schemas.openxmlformats.org/officeDocument/2006/relationships/hyperlink" Target="https://alpha.midjourney.com/jobs/f0a7e593-e8a3-49a4-9357-69927b40e0a8?index=0" TargetMode="External"/><Relationship Id="rId448" Type="http://schemas.openxmlformats.org/officeDocument/2006/relationships/hyperlink" Target="https://alpha.midjourney.com/jobs/a6b8108d-1bb5-42d2-a7a0-28095eb3d2c2?index=2" TargetMode="External"/><Relationship Id="rId205" Type="http://schemas.openxmlformats.org/officeDocument/2006/relationships/hyperlink" Target="https://alpha.midjourney.com/jobs/f0a7e593-e8a3-49a4-9357-69927b40e0a8?index=1" TargetMode="External"/><Relationship Id="rId447" Type="http://schemas.openxmlformats.org/officeDocument/2006/relationships/hyperlink" Target="https://alpha.midjourney.com/jobs/7f15e033-4d9d-48a2-9a39-7197c3b9bf07?index=3" TargetMode="External"/><Relationship Id="rId689" Type="http://schemas.openxmlformats.org/officeDocument/2006/relationships/hyperlink" Target="https://alpha.midjourney.com/jobs/b4e6f87d-bee5-4e2c-bc71-25002b90cf7b?index=2" TargetMode="External"/><Relationship Id="rId204" Type="http://schemas.openxmlformats.org/officeDocument/2006/relationships/hyperlink" Target="https://alpha.midjourney.com/jobs/8785718a-3cef-4d6b-adf4-3f611a3b965e?index=2" TargetMode="External"/><Relationship Id="rId446" Type="http://schemas.openxmlformats.org/officeDocument/2006/relationships/hyperlink" Target="https://alpha.midjourney.com/jobs/f29821d3-a78b-46a9-ab7b-9b476d6ecfd7?index=1" TargetMode="External"/><Relationship Id="rId688" Type="http://schemas.openxmlformats.org/officeDocument/2006/relationships/hyperlink" Target="https://alpha.midjourney.com/jobs/b4e6f87d-bee5-4e2c-bc71-25002b90cf7b?index=3" TargetMode="External"/><Relationship Id="rId203" Type="http://schemas.openxmlformats.org/officeDocument/2006/relationships/hyperlink" Target="https://alpha.midjourney.com/jobs/ef31c8de-f61e-4972-86e9-aa9f1831afd5?index=0" TargetMode="External"/><Relationship Id="rId445" Type="http://schemas.openxmlformats.org/officeDocument/2006/relationships/hyperlink" Target="https://alpha.midjourney.com/jobs/acf0f6ca-a4e8-42f7-998a-6dbb4b4e97db?index=2" TargetMode="External"/><Relationship Id="rId687" Type="http://schemas.openxmlformats.org/officeDocument/2006/relationships/hyperlink" Target="https://alpha.midjourney.com/jobs/7f83f9df-7679-4c80-af2f-aaa0f9a41c1e?index=0" TargetMode="External"/><Relationship Id="rId209" Type="http://schemas.openxmlformats.org/officeDocument/2006/relationships/hyperlink" Target="https://alpha.midjourney.com/jobs/cb83f03b-5441-4ab6-acd4-d6c23cfbf1b0?index=3" TargetMode="External"/><Relationship Id="rId208" Type="http://schemas.openxmlformats.org/officeDocument/2006/relationships/hyperlink" Target="https://alpha.midjourney.com/jobs/0c2fcc58-1cd5-4e2c-9953-06ae99527acc?index=3" TargetMode="External"/><Relationship Id="rId207" Type="http://schemas.openxmlformats.org/officeDocument/2006/relationships/hyperlink" Target="https://alpha.midjourney.com/jobs/677914ad-f8cb-4855-b453-f47da8640844?index=0" TargetMode="External"/><Relationship Id="rId449" Type="http://schemas.openxmlformats.org/officeDocument/2006/relationships/hyperlink" Target="https://alpha.midjourney.com/jobs/60403217-9653-4c7f-8bd1-52389abddd0b?index=2" TargetMode="External"/><Relationship Id="rId1270" Type="http://schemas.openxmlformats.org/officeDocument/2006/relationships/hyperlink" Target="https://alpha.midjourney.com/jobs/65fbc250-77dd-4941-9eab-f8e05b96899b?index=1" TargetMode="External"/><Relationship Id="rId440" Type="http://schemas.openxmlformats.org/officeDocument/2006/relationships/hyperlink" Target="https://alpha.midjourney.com/jobs/5dd74aad-64d1-4f3c-85dc-1047094fdebc?index=1" TargetMode="External"/><Relationship Id="rId682" Type="http://schemas.openxmlformats.org/officeDocument/2006/relationships/hyperlink" Target="https://alpha.midjourney.com/jobs/0b995103-dd4c-42dc-aec0-6590d8d4db84?index=3" TargetMode="External"/><Relationship Id="rId1271" Type="http://schemas.openxmlformats.org/officeDocument/2006/relationships/hyperlink" Target="https://alpha.midjourney.com/jobs/c91d6de8-ac68-49c6-a128-6a50add11a95?index=0" TargetMode="External"/><Relationship Id="rId681" Type="http://schemas.openxmlformats.org/officeDocument/2006/relationships/hyperlink" Target="https://alpha.midjourney.com/jobs/85e96c0b-7f8e-45eb-8f72-4d3e18eded4f?index=2" TargetMode="External"/><Relationship Id="rId1030" Type="http://schemas.openxmlformats.org/officeDocument/2006/relationships/hyperlink" Target="https://alpha.midjourney.com/jobs/04085c59-02b2-4615-a629-0a24c3e14894?index=1" TargetMode="External"/><Relationship Id="rId1272" Type="http://schemas.openxmlformats.org/officeDocument/2006/relationships/hyperlink" Target="https://alpha.midjourney.com/jobs/6d6e4a05-b455-4225-9f53-6e0c8ca15b9d?index=3" TargetMode="External"/><Relationship Id="rId680" Type="http://schemas.openxmlformats.org/officeDocument/2006/relationships/hyperlink" Target="https://alpha.midjourney.com/jobs/a407a34c-2a7a-47d2-858a-c385875cdc0c?index=0" TargetMode="External"/><Relationship Id="rId1031" Type="http://schemas.openxmlformats.org/officeDocument/2006/relationships/hyperlink" Target="https://alpha.midjourney.com/jobs/ae6a24ea-f137-4d87-a4f0-375045bce929?index=0" TargetMode="External"/><Relationship Id="rId1273" Type="http://schemas.openxmlformats.org/officeDocument/2006/relationships/hyperlink" Target="https://alpha.midjourney.com/jobs/030a487d-a8eb-494b-aab6-66d4b2e606bf?index=3" TargetMode="External"/><Relationship Id="rId1032" Type="http://schemas.openxmlformats.org/officeDocument/2006/relationships/hyperlink" Target="https://alpha.midjourney.com/jobs/5d3ff22a-635c-49a0-947e-22c88e092c1d?index=2" TargetMode="External"/><Relationship Id="rId1274" Type="http://schemas.openxmlformats.org/officeDocument/2006/relationships/hyperlink" Target="https://alpha.midjourney.com/jobs/4eb60306-01ed-481b-842b-6bfb222ffb0e?index=2" TargetMode="External"/><Relationship Id="rId202" Type="http://schemas.openxmlformats.org/officeDocument/2006/relationships/hyperlink" Target="https://alpha.midjourney.com/jobs/855d9ad2-60fa-4317-90d5-dde695aa3863?index=2" TargetMode="External"/><Relationship Id="rId444" Type="http://schemas.openxmlformats.org/officeDocument/2006/relationships/hyperlink" Target="https://alpha.midjourney.com/jobs/a737b620-375e-4bea-841a-f15d67a967ae?index=0" TargetMode="External"/><Relationship Id="rId686" Type="http://schemas.openxmlformats.org/officeDocument/2006/relationships/hyperlink" Target="https://alpha.midjourney.com/jobs/37b0498c-4b19-4c10-b0ef-756203163b3f?index=2" TargetMode="External"/><Relationship Id="rId1033" Type="http://schemas.openxmlformats.org/officeDocument/2006/relationships/hyperlink" Target="https://alpha.midjourney.com/jobs/c8c47bdb-5783-4472-8113-a503b7a339de?index=0" TargetMode="External"/><Relationship Id="rId1275" Type="http://schemas.openxmlformats.org/officeDocument/2006/relationships/hyperlink" Target="https://alpha.midjourney.com/jobs/4eb60306-01ed-481b-842b-6bfb222ffb0e?index=1" TargetMode="External"/><Relationship Id="rId201" Type="http://schemas.openxmlformats.org/officeDocument/2006/relationships/hyperlink" Target="https://alpha.midjourney.com/jobs/f43fb0f9-219d-46ea-84e7-cebd02ca67fd?index=3" TargetMode="External"/><Relationship Id="rId443" Type="http://schemas.openxmlformats.org/officeDocument/2006/relationships/hyperlink" Target="https://alpha.midjourney.com/jobs/a737b620-375e-4bea-841a-f15d67a967ae?index=3" TargetMode="External"/><Relationship Id="rId685" Type="http://schemas.openxmlformats.org/officeDocument/2006/relationships/hyperlink" Target="https://alpha.midjourney.com/jobs/3bf3147f-0874-4e69-a5cf-babf4744fc51?index=3" TargetMode="External"/><Relationship Id="rId1034" Type="http://schemas.openxmlformats.org/officeDocument/2006/relationships/hyperlink" Target="https://alpha.midjourney.com/jobs/c8c47bdb-5783-4472-8113-a503b7a339de?index=2" TargetMode="External"/><Relationship Id="rId1276" Type="http://schemas.openxmlformats.org/officeDocument/2006/relationships/hyperlink" Target="https://alpha.midjourney.com/jobs/4ff1ef90-1108-42ab-a355-4a44159221d2?index=1" TargetMode="External"/><Relationship Id="rId200" Type="http://schemas.openxmlformats.org/officeDocument/2006/relationships/hyperlink" Target="https://alpha.midjourney.com/jobs/ca73b5bd-6fc1-4339-9285-ae03c13a5f5d?index=0" TargetMode="External"/><Relationship Id="rId442" Type="http://schemas.openxmlformats.org/officeDocument/2006/relationships/hyperlink" Target="https://alpha.midjourney.com/jobs/7ce57454-8e8b-49fb-a4c3-0211ff1fde73?index=0" TargetMode="External"/><Relationship Id="rId684" Type="http://schemas.openxmlformats.org/officeDocument/2006/relationships/hyperlink" Target="https://alpha.midjourney.com/jobs/e9cfddb2-74e8-4821-93ef-db5a57e9c0e6?index=1" TargetMode="External"/><Relationship Id="rId1035" Type="http://schemas.openxmlformats.org/officeDocument/2006/relationships/hyperlink" Target="https://alpha.midjourney.com/jobs/d85a9ebe-d10f-41c3-8c3f-8f39e905f0f7?index=2" TargetMode="External"/><Relationship Id="rId1277" Type="http://schemas.openxmlformats.org/officeDocument/2006/relationships/hyperlink" Target="https://alpha.midjourney.com/jobs/33fb412e-613c-4259-805a-4c65350e8b5d?index=0" TargetMode="External"/><Relationship Id="rId441" Type="http://schemas.openxmlformats.org/officeDocument/2006/relationships/hyperlink" Target="https://alpha.midjourney.com/jobs/067e0e0c-01bf-4cd5-b362-2ff08a3ca946?index=0" TargetMode="External"/><Relationship Id="rId683" Type="http://schemas.openxmlformats.org/officeDocument/2006/relationships/hyperlink" Target="https://alpha.midjourney.com/jobs/cfeb6d61-6de8-4337-8049-cf9ea0ce4b14?index=2" TargetMode="External"/><Relationship Id="rId1036" Type="http://schemas.openxmlformats.org/officeDocument/2006/relationships/hyperlink" Target="https://alpha.midjourney.com/jobs/686f79ee-72a4-4494-84de-527749b07bc1?index=0" TargetMode="External"/><Relationship Id="rId1278" Type="http://schemas.openxmlformats.org/officeDocument/2006/relationships/hyperlink" Target="https://alpha.midjourney.com/jobs/33fb412e-613c-4259-805a-4c65350e8b5d?index=3" TargetMode="External"/><Relationship Id="rId1026" Type="http://schemas.openxmlformats.org/officeDocument/2006/relationships/hyperlink" Target="https://alpha.midjourney.com/jobs/536617b6-2031-4c60-aee8-5c7d124d29a1?index=3" TargetMode="External"/><Relationship Id="rId1268" Type="http://schemas.openxmlformats.org/officeDocument/2006/relationships/hyperlink" Target="https://alpha.midjourney.com/jobs/8235d30b-b3b6-425e-b229-bb896977b842?index=1" TargetMode="External"/><Relationship Id="rId1027" Type="http://schemas.openxmlformats.org/officeDocument/2006/relationships/hyperlink" Target="https://alpha.midjourney.com/jobs/9909c810-1d1a-4522-9746-608c8037fb22?index=1" TargetMode="External"/><Relationship Id="rId1269" Type="http://schemas.openxmlformats.org/officeDocument/2006/relationships/hyperlink" Target="https://alpha.midjourney.com/jobs/65fbc250-77dd-4941-9eab-f8e05b96899b?index=1" TargetMode="External"/><Relationship Id="rId1028" Type="http://schemas.openxmlformats.org/officeDocument/2006/relationships/hyperlink" Target="https://alpha.midjourney.com/jobs/9909c810-1d1a-4522-9746-608c8037fb22?index=2" TargetMode="External"/><Relationship Id="rId1029" Type="http://schemas.openxmlformats.org/officeDocument/2006/relationships/hyperlink" Target="https://alpha.midjourney.com/jobs/04085c59-02b2-4615-a629-0a24c3e14894?index=0" TargetMode="External"/><Relationship Id="rId437" Type="http://schemas.openxmlformats.org/officeDocument/2006/relationships/hyperlink" Target="https://alpha.midjourney.com/jobs/52054a28-e5d2-4108-97d7-7f8c717e13f9?index=0" TargetMode="External"/><Relationship Id="rId679" Type="http://schemas.openxmlformats.org/officeDocument/2006/relationships/hyperlink" Target="https://alpha.midjourney.com/jobs/4a047b2e-a8c8-4e3b-935a-a0167e827322?index=3" TargetMode="External"/><Relationship Id="rId436" Type="http://schemas.openxmlformats.org/officeDocument/2006/relationships/hyperlink" Target="https://alpha.midjourney.com/jobs/dacfd129-71b1-45b1-93b4-a93fd9c33cc6?index=3" TargetMode="External"/><Relationship Id="rId678" Type="http://schemas.openxmlformats.org/officeDocument/2006/relationships/hyperlink" Target="https://alpha.midjourney.com/jobs/ec8bc6ad-ad0e-4de1-8b67-74577084f9b3?index=3" TargetMode="External"/><Relationship Id="rId435" Type="http://schemas.openxmlformats.org/officeDocument/2006/relationships/hyperlink" Target="https://alpha.midjourney.com/jobs/4a9e3c36-a665-4b81-a07f-375b1413395e?index=0" TargetMode="External"/><Relationship Id="rId677" Type="http://schemas.openxmlformats.org/officeDocument/2006/relationships/hyperlink" Target="https://alpha.midjourney.com/jobs/ec8bc6ad-ad0e-4de1-8b67-74577084f9b3?index=0" TargetMode="External"/><Relationship Id="rId434" Type="http://schemas.openxmlformats.org/officeDocument/2006/relationships/hyperlink" Target="https://alpha.midjourney.com/jobs/0cb75510-f358-4ad9-9e35-132f03cd7b17?index=2" TargetMode="External"/><Relationship Id="rId676" Type="http://schemas.openxmlformats.org/officeDocument/2006/relationships/hyperlink" Target="https://alpha.midjourney.com/jobs/ec8bc6ad-ad0e-4de1-8b67-74577084f9b3?index=2" TargetMode="External"/><Relationship Id="rId439" Type="http://schemas.openxmlformats.org/officeDocument/2006/relationships/hyperlink" Target="https://alpha.midjourney.com/jobs/378f2078-1824-455e-895f-fe0feb0387e6?index=1" TargetMode="External"/><Relationship Id="rId438" Type="http://schemas.openxmlformats.org/officeDocument/2006/relationships/hyperlink" Target="https://alpha.midjourney.com/jobs/80b1b60f-a56a-4316-b236-3c64efd9e7e2?index=2" TargetMode="External"/><Relationship Id="rId671" Type="http://schemas.openxmlformats.org/officeDocument/2006/relationships/hyperlink" Target="https://alpha.midjourney.com/jobs/9be18b40-35c2-40a9-81e0-0d0edb28fc87?index=0" TargetMode="External"/><Relationship Id="rId1260" Type="http://schemas.openxmlformats.org/officeDocument/2006/relationships/hyperlink" Target="https://alpha.midjourney.com/jobs/754bff8c-b781-4afb-85ec-bec3f03f5cad?index=3" TargetMode="External"/><Relationship Id="rId670" Type="http://schemas.openxmlformats.org/officeDocument/2006/relationships/hyperlink" Target="https://alpha.midjourney.com/jobs/042c7da6-d2b4-4b4e-9fac-c8a1de048f01?index=0" TargetMode="External"/><Relationship Id="rId1261" Type="http://schemas.openxmlformats.org/officeDocument/2006/relationships/hyperlink" Target="https://alpha.midjourney.com/jobs/5e3b38dd-eec2-40cb-aed7-8157f1fcacc3?index=1" TargetMode="External"/><Relationship Id="rId1020" Type="http://schemas.openxmlformats.org/officeDocument/2006/relationships/hyperlink" Target="https://alpha.midjourney.com/jobs/721d5d72-5e1b-492d-a65a-671dc46df53a?index=3" TargetMode="External"/><Relationship Id="rId1262" Type="http://schemas.openxmlformats.org/officeDocument/2006/relationships/hyperlink" Target="https://alpha.midjourney.com/jobs/5e3b38dd-eec2-40cb-aed7-8157f1fcacc3?index=1" TargetMode="External"/><Relationship Id="rId1021" Type="http://schemas.openxmlformats.org/officeDocument/2006/relationships/hyperlink" Target="https://alpha.midjourney.com/jobs/721d5d72-5e1b-492d-a65a-671dc46df53a?index=0" TargetMode="External"/><Relationship Id="rId1263" Type="http://schemas.openxmlformats.org/officeDocument/2006/relationships/hyperlink" Target="https://alpha.midjourney.com/jobs/0bd57eba-c988-445d-b3af-0c4d82847fc3?index=1" TargetMode="External"/><Relationship Id="rId433" Type="http://schemas.openxmlformats.org/officeDocument/2006/relationships/hyperlink" Target="https://alpha.midjourney.com/jobs/cbd3dd24-e89a-4b6b-9fb7-f15fbc5a3f00?index=3" TargetMode="External"/><Relationship Id="rId675" Type="http://schemas.openxmlformats.org/officeDocument/2006/relationships/hyperlink" Target="https://alpha.midjourney.com/jobs/c010a863-b47f-48fe-a635-442f668abe87?index=0" TargetMode="External"/><Relationship Id="rId1022" Type="http://schemas.openxmlformats.org/officeDocument/2006/relationships/hyperlink" Target="https://alpha.midjourney.com/jobs/a9ccb994-28ac-424d-a80c-a74d62f592c9?index=1" TargetMode="External"/><Relationship Id="rId1264" Type="http://schemas.openxmlformats.org/officeDocument/2006/relationships/hyperlink" Target="https://alpha.midjourney.com/jobs/0bd57eba-c988-445d-b3af-0c4d82847fc3?index=1" TargetMode="External"/><Relationship Id="rId432" Type="http://schemas.openxmlformats.org/officeDocument/2006/relationships/hyperlink" Target="https://alpha.midjourney.com/jobs/c35359e9-f505-4086-9f77-c29fa1d8a9e1?index=1" TargetMode="External"/><Relationship Id="rId674" Type="http://schemas.openxmlformats.org/officeDocument/2006/relationships/hyperlink" Target="https://alpha.midjourney.com/jobs/a773fda1-8e09-4208-91c9-e509ced2b25d?index=0" TargetMode="External"/><Relationship Id="rId1023" Type="http://schemas.openxmlformats.org/officeDocument/2006/relationships/hyperlink" Target="https://alpha.midjourney.com/jobs/6d8f687e-3016-4046-b7dc-d01ad76ff4be?index=3" TargetMode="External"/><Relationship Id="rId1265" Type="http://schemas.openxmlformats.org/officeDocument/2006/relationships/hyperlink" Target="https://alpha.midjourney.com/jobs/73bfdae2-3e50-4d23-9c71-b130daca9f96?index=3" TargetMode="External"/><Relationship Id="rId431" Type="http://schemas.openxmlformats.org/officeDocument/2006/relationships/hyperlink" Target="https://alpha.midjourney.com/jobs/05e2906a-9860-4f5b-a13d-6f5d84bd149f?index=2" TargetMode="External"/><Relationship Id="rId673" Type="http://schemas.openxmlformats.org/officeDocument/2006/relationships/hyperlink" Target="https://alpha.midjourney.com/jobs/ffc45f5d-17c3-4d3e-936b-870f313b274d?index=1" TargetMode="External"/><Relationship Id="rId1024" Type="http://schemas.openxmlformats.org/officeDocument/2006/relationships/hyperlink" Target="https://alpha.midjourney.com/jobs/9a41f8d3-5bc5-4d9b-81c3-e95ef5b1479e?index=2" TargetMode="External"/><Relationship Id="rId1266" Type="http://schemas.openxmlformats.org/officeDocument/2006/relationships/hyperlink" Target="https://alpha.midjourney.com/jobs/73bfdae2-3e50-4d23-9c71-b130daca9f96?index=3" TargetMode="External"/><Relationship Id="rId430" Type="http://schemas.openxmlformats.org/officeDocument/2006/relationships/hyperlink" Target="https://alpha.midjourney.com/jobs/ae5403d8-a727-4efc-95dc-e3c984fb160c?index=0" TargetMode="External"/><Relationship Id="rId672" Type="http://schemas.openxmlformats.org/officeDocument/2006/relationships/hyperlink" Target="https://alpha.midjourney.com/jobs/ffc45f5d-17c3-4d3e-936b-870f313b274d?index=3" TargetMode="External"/><Relationship Id="rId1025" Type="http://schemas.openxmlformats.org/officeDocument/2006/relationships/hyperlink" Target="https://alpha.midjourney.com/jobs/17c5c75e-e1c2-4ce4-a33f-2c72a7754f18?index=1" TargetMode="External"/><Relationship Id="rId1267" Type="http://schemas.openxmlformats.org/officeDocument/2006/relationships/hyperlink" Target="https://alpha.midjourney.com/jobs/8235d30b-b3b6-425e-b229-bb896977b842?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hidden="1">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hidden="1">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hidden="1">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hidden="1">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hidden="1">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hidden="1">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hidden="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hidden="1">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hidden="1">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hidden="1">
      <c r="A14" s="7" t="s">
        <v>112</v>
      </c>
      <c r="B14" s="7" t="s">
        <v>22</v>
      </c>
      <c r="C14" s="7" t="s">
        <v>23</v>
      </c>
      <c r="D14" s="9">
        <v>1.0</v>
      </c>
      <c r="E14" s="9" t="s">
        <v>113</v>
      </c>
      <c r="F14" s="7" t="s">
        <v>114</v>
      </c>
      <c r="G14" s="10" t="s">
        <v>115</v>
      </c>
      <c r="H14" s="9">
        <v>1.0</v>
      </c>
      <c r="I14" s="9" t="s">
        <v>108</v>
      </c>
      <c r="J14" s="9" t="s">
        <v>28</v>
      </c>
      <c r="K14" s="11" t="s">
        <v>116</v>
      </c>
      <c r="L14" s="13" t="s">
        <v>117</v>
      </c>
      <c r="M14" s="13" t="s">
        <v>118</v>
      </c>
    </row>
    <row r="15" hidden="1">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hidden="1">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hidden="1">
      <c r="A17" s="7" t="s">
        <v>134</v>
      </c>
      <c r="B17" s="7" t="s">
        <v>22</v>
      </c>
      <c r="C17" s="7" t="s">
        <v>23</v>
      </c>
      <c r="D17" s="9">
        <v>1.0</v>
      </c>
      <c r="E17" s="9" t="s">
        <v>135</v>
      </c>
      <c r="F17" s="7" t="s">
        <v>136</v>
      </c>
      <c r="G17" s="10" t="s">
        <v>137</v>
      </c>
      <c r="H17" s="9">
        <v>2.0</v>
      </c>
      <c r="I17" s="9" t="s">
        <v>108</v>
      </c>
      <c r="J17" s="9" t="s">
        <v>28</v>
      </c>
      <c r="K17" s="26" t="s">
        <v>138</v>
      </c>
      <c r="L17" s="27" t="s">
        <v>139</v>
      </c>
      <c r="M17" s="27"/>
      <c r="N17" s="28"/>
      <c r="O17" s="28"/>
      <c r="P17" s="28"/>
      <c r="Q17" s="28"/>
      <c r="R17" s="28"/>
      <c r="S17" s="28"/>
      <c r="T17" s="28"/>
      <c r="U17" s="28"/>
    </row>
    <row r="18" hidden="1">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hidden="1">
      <c r="A20" s="7" t="s">
        <v>150</v>
      </c>
      <c r="B20" s="7" t="s">
        <v>22</v>
      </c>
      <c r="C20" s="7" t="s">
        <v>23</v>
      </c>
      <c r="D20" s="9">
        <v>1.0</v>
      </c>
      <c r="E20" s="9" t="s">
        <v>151</v>
      </c>
      <c r="F20" s="7" t="s">
        <v>152</v>
      </c>
      <c r="G20" s="10" t="s">
        <v>153</v>
      </c>
      <c r="H20" s="9">
        <v>2.0</v>
      </c>
      <c r="I20" s="9" t="s">
        <v>108</v>
      </c>
      <c r="J20" s="9" t="s">
        <v>28</v>
      </c>
      <c r="K20" s="11" t="s">
        <v>154</v>
      </c>
      <c r="L20" s="13" t="s">
        <v>155</v>
      </c>
    </row>
    <row r="21" hidden="1">
      <c r="A21" s="7" t="s">
        <v>156</v>
      </c>
      <c r="B21" s="7" t="s">
        <v>22</v>
      </c>
      <c r="C21" s="7" t="s">
        <v>23</v>
      </c>
      <c r="D21" s="9">
        <v>1.0</v>
      </c>
      <c r="E21" s="9" t="s">
        <v>157</v>
      </c>
      <c r="F21" s="7" t="s">
        <v>158</v>
      </c>
      <c r="G21" s="10" t="s">
        <v>159</v>
      </c>
      <c r="H21" s="9">
        <v>3.0</v>
      </c>
      <c r="I21" s="9" t="s">
        <v>55</v>
      </c>
      <c r="J21" s="9" t="s">
        <v>72</v>
      </c>
      <c r="K21" s="11" t="s">
        <v>160</v>
      </c>
      <c r="L21" s="13" t="s">
        <v>161</v>
      </c>
    </row>
    <row r="22" hidden="1">
      <c r="A22" s="7" t="s">
        <v>162</v>
      </c>
      <c r="B22" s="7" t="s">
        <v>22</v>
      </c>
      <c r="C22" s="7" t="s">
        <v>23</v>
      </c>
      <c r="D22" s="9">
        <v>1.0</v>
      </c>
      <c r="E22" s="9" t="s">
        <v>135</v>
      </c>
      <c r="F22" s="7" t="s">
        <v>163</v>
      </c>
      <c r="G22" s="10" t="s">
        <v>164</v>
      </c>
      <c r="H22" s="9">
        <v>3.0</v>
      </c>
      <c r="I22" s="9" t="s">
        <v>101</v>
      </c>
      <c r="J22" s="15" t="s">
        <v>72</v>
      </c>
      <c r="K22" s="26" t="s">
        <v>165</v>
      </c>
      <c r="L22" s="27" t="s">
        <v>166</v>
      </c>
      <c r="M22" s="27"/>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hidden="1">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hidden="1">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hidden="1">
      <c r="A30" s="22" t="s">
        <v>196</v>
      </c>
      <c r="B30" s="7" t="s">
        <v>22</v>
      </c>
      <c r="C30" s="7" t="s">
        <v>23</v>
      </c>
      <c r="D30" s="9">
        <v>1.0</v>
      </c>
      <c r="E30" s="9" t="s">
        <v>197</v>
      </c>
      <c r="F30" s="7" t="s">
        <v>198</v>
      </c>
      <c r="G30" s="10" t="s">
        <v>199</v>
      </c>
      <c r="H30" s="9">
        <v>2.0</v>
      </c>
      <c r="I30" s="9" t="s">
        <v>173</v>
      </c>
      <c r="J30" s="9" t="s">
        <v>28</v>
      </c>
      <c r="K30" s="11" t="s">
        <v>200</v>
      </c>
      <c r="L30" s="13" t="s">
        <v>201</v>
      </c>
    </row>
    <row r="31" hidden="1">
      <c r="A31" s="7" t="s">
        <v>202</v>
      </c>
      <c r="B31" s="7" t="s">
        <v>22</v>
      </c>
      <c r="C31" s="7" t="s">
        <v>23</v>
      </c>
      <c r="D31" s="9">
        <v>1.0</v>
      </c>
      <c r="E31" s="9" t="s">
        <v>203</v>
      </c>
      <c r="F31" s="16" t="s">
        <v>204</v>
      </c>
      <c r="G31" s="17" t="s">
        <v>205</v>
      </c>
      <c r="H31" s="9">
        <v>2.0</v>
      </c>
      <c r="I31" s="9" t="s">
        <v>27</v>
      </c>
      <c r="J31" s="9" t="s">
        <v>28</v>
      </c>
      <c r="K31" s="11" t="s">
        <v>206</v>
      </c>
      <c r="L31" s="13" t="s">
        <v>207</v>
      </c>
    </row>
    <row r="32" hidden="1">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hidden="1">
      <c r="A34" s="7" t="s">
        <v>216</v>
      </c>
      <c r="B34" s="7" t="s">
        <v>22</v>
      </c>
      <c r="C34" s="7" t="s">
        <v>23</v>
      </c>
      <c r="D34" s="9">
        <v>1.0</v>
      </c>
      <c r="E34" s="9" t="s">
        <v>135</v>
      </c>
      <c r="F34" s="7" t="s">
        <v>217</v>
      </c>
      <c r="G34" s="10" t="s">
        <v>218</v>
      </c>
      <c r="H34" s="9">
        <v>3.0</v>
      </c>
      <c r="I34" s="9" t="s">
        <v>55</v>
      </c>
      <c r="J34" s="9" t="s">
        <v>28</v>
      </c>
      <c r="K34" s="11" t="s">
        <v>219</v>
      </c>
      <c r="L34" s="13" t="s">
        <v>220</v>
      </c>
    </row>
    <row r="35" hidden="1">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hidden="1">
      <c r="A40" s="7" t="s">
        <v>243</v>
      </c>
      <c r="B40" s="7" t="s">
        <v>22</v>
      </c>
      <c r="C40" s="7" t="s">
        <v>23</v>
      </c>
      <c r="D40" s="9">
        <v>1.0</v>
      </c>
      <c r="E40" s="9" t="s">
        <v>244</v>
      </c>
      <c r="F40" s="7" t="s">
        <v>245</v>
      </c>
      <c r="G40" s="10" t="s">
        <v>246</v>
      </c>
      <c r="H40" s="9">
        <v>3.0</v>
      </c>
      <c r="I40" s="9" t="s">
        <v>247</v>
      </c>
      <c r="J40" s="9" t="s">
        <v>72</v>
      </c>
      <c r="K40" s="11" t="s">
        <v>248</v>
      </c>
      <c r="L40" s="13" t="s">
        <v>249</v>
      </c>
      <c r="M40" s="13" t="s">
        <v>250</v>
      </c>
    </row>
    <row r="41" hidden="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hidden="1">
      <c r="A43" s="7" t="s">
        <v>259</v>
      </c>
      <c r="B43" s="7" t="s">
        <v>22</v>
      </c>
      <c r="C43" s="7" t="s">
        <v>23</v>
      </c>
      <c r="D43" s="9">
        <v>1.0</v>
      </c>
      <c r="E43" s="9" t="s">
        <v>260</v>
      </c>
      <c r="F43" s="7"/>
      <c r="G43" s="10" t="s">
        <v>261</v>
      </c>
      <c r="H43" s="9">
        <v>4.0</v>
      </c>
      <c r="I43" s="9" t="s">
        <v>247</v>
      </c>
      <c r="J43" s="9" t="s">
        <v>28</v>
      </c>
      <c r="K43" s="11" t="s">
        <v>262</v>
      </c>
      <c r="L43" s="13" t="s">
        <v>263</v>
      </c>
      <c r="M43" s="13" t="s">
        <v>263</v>
      </c>
    </row>
    <row r="44" hidden="1">
      <c r="A44" s="16" t="s">
        <v>264</v>
      </c>
      <c r="B44" s="7" t="s">
        <v>22</v>
      </c>
      <c r="C44" s="8" t="s">
        <v>23</v>
      </c>
      <c r="D44" s="9">
        <v>2.0</v>
      </c>
      <c r="E44" s="15" t="s">
        <v>222</v>
      </c>
      <c r="F44" s="16" t="s">
        <v>265</v>
      </c>
      <c r="G44" s="17" t="s">
        <v>266</v>
      </c>
      <c r="H44" s="15">
        <v>5.0</v>
      </c>
      <c r="I44" s="15" t="s">
        <v>33</v>
      </c>
      <c r="J44" s="15" t="s">
        <v>72</v>
      </c>
    </row>
    <row r="45" hidden="1">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hidden="1">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hidden="1">
      <c r="A52" s="7" t="s">
        <v>303</v>
      </c>
      <c r="B52" s="7" t="s">
        <v>22</v>
      </c>
      <c r="C52" s="7" t="s">
        <v>23</v>
      </c>
      <c r="D52" s="9">
        <v>1.0</v>
      </c>
      <c r="E52" s="9" t="s">
        <v>304</v>
      </c>
      <c r="G52" s="10" t="s">
        <v>305</v>
      </c>
      <c r="H52" s="9">
        <v>9.0</v>
      </c>
      <c r="I52" s="9" t="s">
        <v>129</v>
      </c>
      <c r="J52" s="9" t="s">
        <v>72</v>
      </c>
      <c r="K52" s="11" t="s">
        <v>306</v>
      </c>
      <c r="L52" s="13" t="s">
        <v>307</v>
      </c>
    </row>
    <row r="53" hidden="1">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hidden="1">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hidden="1">
      <c r="A58" s="16" t="s">
        <v>336</v>
      </c>
      <c r="B58" s="7" t="s">
        <v>22</v>
      </c>
      <c r="C58" s="16" t="s">
        <v>23</v>
      </c>
      <c r="D58" s="15">
        <v>1.0</v>
      </c>
      <c r="E58" s="15" t="s">
        <v>337</v>
      </c>
      <c r="F58" s="16" t="s">
        <v>338</v>
      </c>
      <c r="H58" s="15">
        <v>2.0</v>
      </c>
      <c r="I58" s="15" t="s">
        <v>339</v>
      </c>
      <c r="J58" s="15" t="s">
        <v>34</v>
      </c>
      <c r="K58" s="16" t="s">
        <v>340</v>
      </c>
      <c r="L58" s="13" t="s">
        <v>341</v>
      </c>
      <c r="M58" s="13" t="s">
        <v>342</v>
      </c>
    </row>
    <row r="59" hidden="1">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hidden="1">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hidden="1">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hidden="1">
      <c r="A70" s="7" t="s">
        <v>397</v>
      </c>
      <c r="B70" s="7" t="s">
        <v>22</v>
      </c>
      <c r="C70" s="7" t="s">
        <v>291</v>
      </c>
      <c r="D70" s="9">
        <v>1.0</v>
      </c>
      <c r="E70" s="9" t="s">
        <v>398</v>
      </c>
      <c r="F70" s="7"/>
      <c r="G70" s="10" t="s">
        <v>399</v>
      </c>
      <c r="H70" s="9">
        <v>2.0</v>
      </c>
      <c r="I70" s="9" t="s">
        <v>381</v>
      </c>
      <c r="J70" s="9" t="s">
        <v>28</v>
      </c>
      <c r="K70" s="11" t="s">
        <v>400</v>
      </c>
      <c r="L70" s="13" t="s">
        <v>401</v>
      </c>
    </row>
    <row r="71" hidden="1">
      <c r="A71" s="7" t="s">
        <v>402</v>
      </c>
      <c r="B71" s="7" t="s">
        <v>22</v>
      </c>
      <c r="C71" s="7" t="s">
        <v>291</v>
      </c>
      <c r="D71" s="9">
        <v>1.0</v>
      </c>
      <c r="E71" s="9" t="s">
        <v>403</v>
      </c>
      <c r="F71" s="7" t="s">
        <v>404</v>
      </c>
      <c r="G71" s="10" t="s">
        <v>405</v>
      </c>
      <c r="H71" s="9">
        <v>5.0</v>
      </c>
      <c r="I71" s="9" t="s">
        <v>406</v>
      </c>
      <c r="J71" s="9" t="s">
        <v>34</v>
      </c>
      <c r="K71" s="11" t="s">
        <v>407</v>
      </c>
      <c r="L71" s="41" t="s">
        <v>408</v>
      </c>
      <c r="M71" s="42"/>
    </row>
    <row r="72" hidden="1">
      <c r="A72" s="16" t="s">
        <v>409</v>
      </c>
      <c r="B72" s="7" t="s">
        <v>22</v>
      </c>
      <c r="C72" s="16" t="s">
        <v>393</v>
      </c>
      <c r="D72" s="15">
        <v>2.0</v>
      </c>
      <c r="E72" s="15" t="s">
        <v>410</v>
      </c>
      <c r="F72" s="16" t="s">
        <v>411</v>
      </c>
      <c r="G72" s="17" t="s">
        <v>412</v>
      </c>
      <c r="H72" s="15">
        <v>6.0</v>
      </c>
      <c r="I72" s="15" t="s">
        <v>413</v>
      </c>
      <c r="J72" s="15" t="s">
        <v>72</v>
      </c>
    </row>
    <row r="73" hidden="1">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3" t="s">
        <v>420</v>
      </c>
      <c r="D74" s="15">
        <v>2.0</v>
      </c>
      <c r="E74" s="15" t="s">
        <v>39</v>
      </c>
      <c r="F74" s="16" t="s">
        <v>421</v>
      </c>
      <c r="G74" s="17" t="s">
        <v>422</v>
      </c>
      <c r="H74" s="15">
        <v>2.0</v>
      </c>
      <c r="I74" s="9" t="s">
        <v>423</v>
      </c>
      <c r="J74" s="9" t="s">
        <v>28</v>
      </c>
    </row>
    <row r="75" hidden="1">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4" t="s">
        <v>420</v>
      </c>
      <c r="D76" s="9">
        <v>2.0</v>
      </c>
      <c r="E76" s="9" t="s">
        <v>337</v>
      </c>
      <c r="F76" s="7" t="s">
        <v>431</v>
      </c>
      <c r="G76" s="10" t="s">
        <v>432</v>
      </c>
      <c r="H76" s="9">
        <v>4.0</v>
      </c>
      <c r="I76" s="9" t="s">
        <v>433</v>
      </c>
      <c r="J76" s="9" t="s">
        <v>72</v>
      </c>
    </row>
    <row r="77" hidden="1">
      <c r="A77" s="16" t="s">
        <v>434</v>
      </c>
      <c r="B77" s="7" t="s">
        <v>22</v>
      </c>
      <c r="C77" s="45" t="s">
        <v>420</v>
      </c>
      <c r="D77" s="15">
        <v>2.0</v>
      </c>
      <c r="E77" s="15" t="s">
        <v>435</v>
      </c>
      <c r="F77" s="16" t="s">
        <v>436</v>
      </c>
      <c r="G77" s="17" t="s">
        <v>437</v>
      </c>
      <c r="H77" s="15">
        <v>3.0</v>
      </c>
      <c r="I77" s="15" t="s">
        <v>423</v>
      </c>
      <c r="J77" s="15" t="s">
        <v>28</v>
      </c>
    </row>
    <row r="78" hidden="1">
      <c r="A78" s="22" t="s">
        <v>438</v>
      </c>
      <c r="B78" s="7" t="s">
        <v>22</v>
      </c>
      <c r="C78" s="44" t="s">
        <v>420</v>
      </c>
      <c r="D78" s="9">
        <v>2.0</v>
      </c>
      <c r="E78" s="9" t="s">
        <v>240</v>
      </c>
      <c r="F78" s="7" t="s">
        <v>439</v>
      </c>
      <c r="G78" s="10" t="s">
        <v>440</v>
      </c>
      <c r="H78" s="9">
        <v>2.0</v>
      </c>
      <c r="I78" s="9" t="s">
        <v>441</v>
      </c>
      <c r="J78" s="9" t="s">
        <v>34</v>
      </c>
    </row>
    <row r="79" hidden="1">
      <c r="A79" s="16" t="s">
        <v>442</v>
      </c>
      <c r="B79" s="7" t="s">
        <v>22</v>
      </c>
      <c r="C79" s="16" t="s">
        <v>319</v>
      </c>
      <c r="D79" s="15">
        <v>1.0</v>
      </c>
      <c r="E79" s="15" t="s">
        <v>252</v>
      </c>
      <c r="F79" s="16" t="s">
        <v>443</v>
      </c>
      <c r="G79" s="17" t="s">
        <v>444</v>
      </c>
      <c r="H79" s="15">
        <v>4.0</v>
      </c>
      <c r="I79" s="15" t="s">
        <v>322</v>
      </c>
      <c r="J79" s="15" t="s">
        <v>34</v>
      </c>
      <c r="K79" s="11" t="s">
        <v>445</v>
      </c>
      <c r="L79" s="13" t="s">
        <v>446</v>
      </c>
    </row>
    <row r="80" hidden="1">
      <c r="A80" s="16" t="s">
        <v>447</v>
      </c>
      <c r="B80" s="7" t="s">
        <v>22</v>
      </c>
      <c r="C80" s="46" t="s">
        <v>420</v>
      </c>
      <c r="D80" s="15">
        <v>2.0</v>
      </c>
      <c r="E80" s="15" t="s">
        <v>448</v>
      </c>
      <c r="F80" s="16" t="s">
        <v>449</v>
      </c>
      <c r="G80" s="17" t="s">
        <v>450</v>
      </c>
      <c r="H80" s="15">
        <v>3.0</v>
      </c>
      <c r="I80" s="15" t="s">
        <v>423</v>
      </c>
      <c r="J80" s="15" t="s">
        <v>28</v>
      </c>
    </row>
    <row r="81" hidden="1">
      <c r="A81" s="7" t="s">
        <v>451</v>
      </c>
      <c r="B81" s="7" t="s">
        <v>22</v>
      </c>
      <c r="C81" s="7" t="s">
        <v>357</v>
      </c>
      <c r="D81" s="9">
        <v>1.0</v>
      </c>
      <c r="E81" s="9" t="s">
        <v>452</v>
      </c>
      <c r="F81" s="16" t="s">
        <v>453</v>
      </c>
      <c r="G81" s="17" t="s">
        <v>454</v>
      </c>
      <c r="H81" s="9">
        <v>3.0</v>
      </c>
      <c r="I81" s="9" t="s">
        <v>455</v>
      </c>
      <c r="J81" s="9" t="s">
        <v>72</v>
      </c>
      <c r="K81" s="11" t="s">
        <v>456</v>
      </c>
      <c r="L81" s="13" t="s">
        <v>457</v>
      </c>
    </row>
    <row r="82" hidden="1">
      <c r="A82" s="7" t="s">
        <v>458</v>
      </c>
      <c r="B82" s="7" t="s">
        <v>22</v>
      </c>
      <c r="C82" s="7" t="s">
        <v>357</v>
      </c>
      <c r="D82" s="9">
        <v>1.0</v>
      </c>
      <c r="E82" s="9" t="s">
        <v>459</v>
      </c>
      <c r="F82" s="7"/>
      <c r="G82" s="10" t="s">
        <v>460</v>
      </c>
      <c r="H82" s="9">
        <v>2.0</v>
      </c>
      <c r="I82" s="9" t="s">
        <v>461</v>
      </c>
      <c r="J82" s="9" t="s">
        <v>28</v>
      </c>
      <c r="K82" s="11" t="s">
        <v>462</v>
      </c>
      <c r="L82" s="13" t="s">
        <v>463</v>
      </c>
      <c r="M82" s="13" t="s">
        <v>464</v>
      </c>
      <c r="N82" s="13" t="s">
        <v>465</v>
      </c>
    </row>
    <row r="83" hidden="1">
      <c r="A83" s="7" t="s">
        <v>466</v>
      </c>
      <c r="B83" s="7" t="s">
        <v>22</v>
      </c>
      <c r="C83" s="7" t="s">
        <v>357</v>
      </c>
      <c r="D83" s="15">
        <v>1.0</v>
      </c>
      <c r="E83" s="9" t="s">
        <v>467</v>
      </c>
      <c r="F83" s="7" t="s">
        <v>468</v>
      </c>
      <c r="G83" s="10" t="s">
        <v>469</v>
      </c>
      <c r="H83" s="9">
        <v>0.0</v>
      </c>
      <c r="I83" s="9" t="s">
        <v>470</v>
      </c>
      <c r="J83" s="9" t="s">
        <v>34</v>
      </c>
      <c r="K83" s="11" t="s">
        <v>471</v>
      </c>
      <c r="L83" s="13" t="s">
        <v>472</v>
      </c>
    </row>
    <row r="84" hidden="1">
      <c r="A84" s="7" t="s">
        <v>473</v>
      </c>
      <c r="B84" s="7" t="s">
        <v>22</v>
      </c>
      <c r="C84" s="7" t="s">
        <v>393</v>
      </c>
      <c r="D84" s="9">
        <v>1.0</v>
      </c>
      <c r="E84" s="9" t="s">
        <v>240</v>
      </c>
      <c r="F84" s="7" t="s">
        <v>474</v>
      </c>
      <c r="G84" s="10" t="s">
        <v>475</v>
      </c>
      <c r="H84" s="9">
        <v>3.0</v>
      </c>
      <c r="I84" s="9" t="s">
        <v>476</v>
      </c>
      <c r="J84" s="9" t="s">
        <v>72</v>
      </c>
      <c r="K84" s="11" t="s">
        <v>477</v>
      </c>
      <c r="L84" s="13" t="s">
        <v>478</v>
      </c>
      <c r="M84" s="13" t="s">
        <v>479</v>
      </c>
      <c r="N84" s="13" t="s">
        <v>480</v>
      </c>
      <c r="O84" s="13" t="s">
        <v>481</v>
      </c>
      <c r="P84" s="13" t="s">
        <v>482</v>
      </c>
      <c r="Q84" s="13" t="s">
        <v>483</v>
      </c>
      <c r="R84" s="13" t="s">
        <v>484</v>
      </c>
    </row>
    <row r="85" hidden="1">
      <c r="A85" s="7" t="s">
        <v>485</v>
      </c>
      <c r="B85" s="7" t="s">
        <v>22</v>
      </c>
      <c r="C85" s="7" t="s">
        <v>393</v>
      </c>
      <c r="D85" s="9">
        <v>1.0</v>
      </c>
      <c r="E85" s="9" t="s">
        <v>398</v>
      </c>
      <c r="F85" s="7"/>
      <c r="G85" s="10" t="s">
        <v>486</v>
      </c>
      <c r="H85" s="9">
        <v>2.0</v>
      </c>
      <c r="I85" s="9" t="s">
        <v>487</v>
      </c>
      <c r="J85" s="9" t="s">
        <v>28</v>
      </c>
      <c r="K85" s="11" t="s">
        <v>488</v>
      </c>
      <c r="L85" s="13" t="s">
        <v>489</v>
      </c>
      <c r="M85" s="13" t="s">
        <v>490</v>
      </c>
      <c r="N85" s="13" t="s">
        <v>491</v>
      </c>
      <c r="O85" s="13" t="s">
        <v>492</v>
      </c>
      <c r="P85" s="13" t="s">
        <v>493</v>
      </c>
      <c r="Q85" s="13" t="s">
        <v>494</v>
      </c>
      <c r="R85" s="13" t="s">
        <v>495</v>
      </c>
      <c r="S85" s="13" t="s">
        <v>496</v>
      </c>
      <c r="T85" s="13" t="s">
        <v>497</v>
      </c>
      <c r="U85" s="13" t="s">
        <v>498</v>
      </c>
    </row>
    <row r="86" hidden="1">
      <c r="A86" s="7" t="s">
        <v>499</v>
      </c>
      <c r="B86" s="7" t="s">
        <v>22</v>
      </c>
      <c r="C86" s="7" t="s">
        <v>393</v>
      </c>
      <c r="D86" s="9">
        <v>1.0</v>
      </c>
      <c r="E86" s="9" t="s">
        <v>30</v>
      </c>
      <c r="F86" s="7" t="s">
        <v>500</v>
      </c>
      <c r="G86" s="10" t="s">
        <v>501</v>
      </c>
      <c r="H86" s="9">
        <v>4.0</v>
      </c>
      <c r="I86" s="9" t="s">
        <v>502</v>
      </c>
      <c r="J86" s="9" t="s">
        <v>34</v>
      </c>
      <c r="K86" s="11" t="s">
        <v>503</v>
      </c>
      <c r="L86" s="13" t="s">
        <v>504</v>
      </c>
      <c r="M86" s="13" t="s">
        <v>505</v>
      </c>
      <c r="N86" s="13" t="s">
        <v>506</v>
      </c>
      <c r="O86" s="13" t="s">
        <v>507</v>
      </c>
      <c r="P86" s="13" t="s">
        <v>508</v>
      </c>
      <c r="Q86" s="13" t="s">
        <v>509</v>
      </c>
      <c r="R86" s="13" t="s">
        <v>510</v>
      </c>
      <c r="S86" s="13" t="s">
        <v>511</v>
      </c>
      <c r="T86" s="13" t="s">
        <v>512</v>
      </c>
      <c r="U86" s="13" t="s">
        <v>513</v>
      </c>
    </row>
    <row r="87" hidden="1">
      <c r="A87" s="16" t="s">
        <v>514</v>
      </c>
      <c r="B87" s="7" t="s">
        <v>22</v>
      </c>
      <c r="C87" s="47" t="s">
        <v>420</v>
      </c>
      <c r="D87" s="15">
        <v>2.0</v>
      </c>
      <c r="E87" s="15" t="s">
        <v>515</v>
      </c>
      <c r="F87" s="16" t="s">
        <v>516</v>
      </c>
      <c r="G87" s="48" t="s">
        <v>517</v>
      </c>
      <c r="H87" s="9">
        <v>3.0</v>
      </c>
      <c r="I87" s="9" t="s">
        <v>518</v>
      </c>
      <c r="J87" s="9" t="s">
        <v>34</v>
      </c>
    </row>
    <row r="88" hidden="1">
      <c r="A88" s="7" t="s">
        <v>519</v>
      </c>
      <c r="B88" s="7" t="s">
        <v>22</v>
      </c>
      <c r="C88" s="49" t="s">
        <v>420</v>
      </c>
      <c r="D88" s="9">
        <v>2.0</v>
      </c>
      <c r="E88" s="9" t="s">
        <v>520</v>
      </c>
      <c r="F88" s="16" t="s">
        <v>521</v>
      </c>
      <c r="G88" s="50" t="s">
        <v>522</v>
      </c>
      <c r="H88" s="9">
        <v>3.0</v>
      </c>
      <c r="I88" s="9" t="s">
        <v>523</v>
      </c>
      <c r="J88" s="9" t="s">
        <v>34</v>
      </c>
    </row>
    <row r="89" hidden="1">
      <c r="A89" s="16" t="s">
        <v>524</v>
      </c>
      <c r="B89" s="7" t="s">
        <v>22</v>
      </c>
      <c r="C89" s="7" t="s">
        <v>420</v>
      </c>
      <c r="D89" s="9">
        <v>1.0</v>
      </c>
      <c r="E89" s="21" t="s">
        <v>435</v>
      </c>
      <c r="F89" s="16" t="s">
        <v>525</v>
      </c>
      <c r="G89" s="17" t="s">
        <v>526</v>
      </c>
      <c r="H89" s="21">
        <v>5.0</v>
      </c>
      <c r="I89" s="9" t="s">
        <v>527</v>
      </c>
      <c r="J89" s="21" t="s">
        <v>28</v>
      </c>
      <c r="K89" s="11" t="s">
        <v>528</v>
      </c>
      <c r="L89" s="13" t="s">
        <v>529</v>
      </c>
      <c r="M89" s="13" t="s">
        <v>530</v>
      </c>
      <c r="N89" s="13" t="s">
        <v>531</v>
      </c>
      <c r="O89" s="13" t="s">
        <v>532</v>
      </c>
      <c r="P89" s="13" t="s">
        <v>533</v>
      </c>
      <c r="Q89" s="13" t="s">
        <v>534</v>
      </c>
      <c r="R89" s="13" t="s">
        <v>535</v>
      </c>
      <c r="S89" s="13" t="s">
        <v>536</v>
      </c>
      <c r="T89" s="13" t="s">
        <v>537</v>
      </c>
      <c r="U89" s="13" t="s">
        <v>538</v>
      </c>
    </row>
    <row r="90" hidden="1">
      <c r="A90" s="22" t="s">
        <v>539</v>
      </c>
      <c r="B90" s="7" t="s">
        <v>22</v>
      </c>
      <c r="C90" s="7" t="s">
        <v>420</v>
      </c>
      <c r="D90" s="9">
        <v>1.0</v>
      </c>
      <c r="E90" s="9" t="s">
        <v>540</v>
      </c>
      <c r="F90" s="7" t="s">
        <v>541</v>
      </c>
      <c r="G90" s="10" t="s">
        <v>542</v>
      </c>
      <c r="H90" s="9">
        <v>1.0</v>
      </c>
      <c r="I90" s="9" t="s">
        <v>441</v>
      </c>
      <c r="J90" s="9" t="s">
        <v>28</v>
      </c>
      <c r="K90" s="11" t="s">
        <v>543</v>
      </c>
      <c r="L90" s="13" t="s">
        <v>544</v>
      </c>
      <c r="M90" s="13" t="s">
        <v>545</v>
      </c>
      <c r="N90" s="13" t="s">
        <v>546</v>
      </c>
      <c r="O90" s="13" t="s">
        <v>547</v>
      </c>
      <c r="P90" s="13" t="s">
        <v>548</v>
      </c>
      <c r="Q90" s="13" t="s">
        <v>549</v>
      </c>
      <c r="R90" s="13" t="s">
        <v>550</v>
      </c>
      <c r="S90" s="12" t="s">
        <v>551</v>
      </c>
      <c r="T90" s="13" t="s">
        <v>552</v>
      </c>
      <c r="U90" s="13" t="s">
        <v>553</v>
      </c>
    </row>
    <row r="91" hidden="1">
      <c r="A91" s="16" t="s">
        <v>554</v>
      </c>
      <c r="B91" s="7" t="s">
        <v>22</v>
      </c>
      <c r="C91" s="7" t="s">
        <v>420</v>
      </c>
      <c r="D91" s="9">
        <v>1.0</v>
      </c>
      <c r="E91" s="9" t="s">
        <v>39</v>
      </c>
      <c r="F91" s="7" t="s">
        <v>555</v>
      </c>
      <c r="G91" s="10" t="s">
        <v>556</v>
      </c>
      <c r="H91" s="9">
        <v>1.0</v>
      </c>
      <c r="I91" s="51" t="s">
        <v>441</v>
      </c>
      <c r="J91" s="9" t="s">
        <v>28</v>
      </c>
      <c r="K91" s="11" t="s">
        <v>557</v>
      </c>
      <c r="L91" s="13" t="s">
        <v>558</v>
      </c>
      <c r="M91" s="13" t="s">
        <v>559</v>
      </c>
      <c r="N91" s="13" t="s">
        <v>560</v>
      </c>
      <c r="O91" s="13" t="s">
        <v>561</v>
      </c>
      <c r="P91" s="13" t="s">
        <v>562</v>
      </c>
      <c r="Q91" s="13" t="s">
        <v>563</v>
      </c>
      <c r="R91" s="13" t="s">
        <v>564</v>
      </c>
      <c r="S91" s="13" t="s">
        <v>565</v>
      </c>
      <c r="T91" s="13" t="s">
        <v>566</v>
      </c>
      <c r="U91" s="13" t="s">
        <v>567</v>
      </c>
    </row>
    <row r="92" hidden="1">
      <c r="A92" s="22" t="s">
        <v>568</v>
      </c>
      <c r="B92" s="7" t="s">
        <v>22</v>
      </c>
      <c r="C92" s="7" t="s">
        <v>420</v>
      </c>
      <c r="D92" s="9">
        <v>1.0</v>
      </c>
      <c r="E92" s="9" t="s">
        <v>569</v>
      </c>
      <c r="F92" s="7" t="s">
        <v>570</v>
      </c>
      <c r="G92" s="10" t="s">
        <v>571</v>
      </c>
      <c r="H92" s="9">
        <v>5.0</v>
      </c>
      <c r="I92" s="9" t="s">
        <v>572</v>
      </c>
      <c r="J92" s="9" t="s">
        <v>28</v>
      </c>
      <c r="K92" s="11" t="s">
        <v>573</v>
      </c>
      <c r="L92" s="13" t="s">
        <v>574</v>
      </c>
      <c r="M92" s="13" t="s">
        <v>575</v>
      </c>
      <c r="N92" s="13" t="s">
        <v>576</v>
      </c>
      <c r="O92" s="13" t="s">
        <v>577</v>
      </c>
      <c r="P92" s="13" t="s">
        <v>578</v>
      </c>
      <c r="Q92" s="13" t="s">
        <v>579</v>
      </c>
      <c r="R92" s="13" t="s">
        <v>580</v>
      </c>
      <c r="S92" s="13" t="s">
        <v>581</v>
      </c>
      <c r="T92" s="13" t="s">
        <v>582</v>
      </c>
      <c r="U92" s="13" t="s">
        <v>583</v>
      </c>
    </row>
    <row r="93" hidden="1">
      <c r="A93" s="16" t="s">
        <v>584</v>
      </c>
      <c r="B93" s="7" t="s">
        <v>22</v>
      </c>
      <c r="C93" s="46" t="s">
        <v>420</v>
      </c>
      <c r="D93" s="15">
        <v>0.0</v>
      </c>
      <c r="E93" s="15" t="s">
        <v>222</v>
      </c>
      <c r="F93" s="16" t="s">
        <v>585</v>
      </c>
      <c r="G93" s="17" t="s">
        <v>586</v>
      </c>
      <c r="H93" s="15">
        <v>2.0</v>
      </c>
      <c r="I93" s="15" t="s">
        <v>587</v>
      </c>
      <c r="J93" s="15" t="s">
        <v>72</v>
      </c>
    </row>
    <row r="94" hidden="1">
      <c r="A94" s="16" t="s">
        <v>588</v>
      </c>
      <c r="B94" s="7" t="s">
        <v>22</v>
      </c>
      <c r="C94" s="46" t="s">
        <v>420</v>
      </c>
      <c r="D94" s="15">
        <v>2.0</v>
      </c>
      <c r="E94" s="15" t="s">
        <v>589</v>
      </c>
      <c r="F94" s="16" t="s">
        <v>590</v>
      </c>
      <c r="G94" s="17" t="s">
        <v>591</v>
      </c>
      <c r="H94" s="15">
        <v>1.0</v>
      </c>
      <c r="I94" s="15" t="s">
        <v>423</v>
      </c>
      <c r="J94" s="15" t="s">
        <v>28</v>
      </c>
    </row>
    <row r="95" hidden="1">
      <c r="A95" s="24" t="s">
        <v>592</v>
      </c>
      <c r="B95" s="7" t="s">
        <v>22</v>
      </c>
      <c r="C95" s="49" t="s">
        <v>420</v>
      </c>
      <c r="D95" s="9">
        <v>2.0</v>
      </c>
      <c r="E95" s="21" t="s">
        <v>410</v>
      </c>
      <c r="F95" s="16" t="s">
        <v>593</v>
      </c>
      <c r="G95" s="10" t="s">
        <v>594</v>
      </c>
      <c r="H95" s="9">
        <v>2.0</v>
      </c>
      <c r="I95" s="9" t="s">
        <v>587</v>
      </c>
      <c r="J95" s="21" t="s">
        <v>28</v>
      </c>
    </row>
    <row r="96" hidden="1">
      <c r="A96" s="7" t="s">
        <v>595</v>
      </c>
      <c r="B96" s="7" t="s">
        <v>22</v>
      </c>
      <c r="C96" s="7" t="s">
        <v>420</v>
      </c>
      <c r="D96" s="9">
        <v>1.0</v>
      </c>
      <c r="E96" s="9" t="s">
        <v>410</v>
      </c>
      <c r="F96" s="7" t="s">
        <v>596</v>
      </c>
      <c r="G96" s="10" t="s">
        <v>597</v>
      </c>
      <c r="H96" s="9">
        <v>1.0</v>
      </c>
      <c r="I96" s="9" t="s">
        <v>587</v>
      </c>
      <c r="J96" s="9" t="s">
        <v>28</v>
      </c>
      <c r="K96" s="11" t="s">
        <v>598</v>
      </c>
      <c r="L96" s="13" t="s">
        <v>599</v>
      </c>
      <c r="M96" s="13" t="s">
        <v>600</v>
      </c>
      <c r="N96" s="13" t="s">
        <v>601</v>
      </c>
      <c r="O96" s="13" t="s">
        <v>602</v>
      </c>
      <c r="P96" s="13" t="s">
        <v>603</v>
      </c>
      <c r="Q96" s="13" t="s">
        <v>604</v>
      </c>
      <c r="R96" s="13" t="s">
        <v>605</v>
      </c>
      <c r="S96" s="13" t="s">
        <v>606</v>
      </c>
      <c r="T96" s="13" t="s">
        <v>607</v>
      </c>
      <c r="U96" s="13" t="s">
        <v>608</v>
      </c>
    </row>
    <row r="97" hidden="1">
      <c r="A97" s="24" t="s">
        <v>609</v>
      </c>
      <c r="B97" s="7" t="s">
        <v>22</v>
      </c>
      <c r="C97" s="7" t="s">
        <v>420</v>
      </c>
      <c r="D97" s="9">
        <v>1.0</v>
      </c>
      <c r="E97" s="21" t="s">
        <v>435</v>
      </c>
      <c r="F97" s="7" t="s">
        <v>610</v>
      </c>
      <c r="G97" s="10" t="s">
        <v>611</v>
      </c>
      <c r="H97" s="9">
        <v>2.0</v>
      </c>
      <c r="I97" s="9" t="s">
        <v>441</v>
      </c>
      <c r="J97" s="21" t="s">
        <v>28</v>
      </c>
      <c r="K97" s="11" t="s">
        <v>612</v>
      </c>
      <c r="L97" s="13" t="s">
        <v>613</v>
      </c>
      <c r="M97" s="13" t="s">
        <v>614</v>
      </c>
      <c r="N97" s="13" t="s">
        <v>615</v>
      </c>
      <c r="O97" s="13" t="s">
        <v>616</v>
      </c>
    </row>
    <row r="98" hidden="1">
      <c r="A98" s="7" t="s">
        <v>617</v>
      </c>
      <c r="B98" s="7" t="s">
        <v>22</v>
      </c>
      <c r="C98" s="7" t="s">
        <v>420</v>
      </c>
      <c r="D98" s="9">
        <v>1.0</v>
      </c>
      <c r="E98" s="9" t="s">
        <v>410</v>
      </c>
      <c r="F98" s="7" t="s">
        <v>618</v>
      </c>
      <c r="G98" s="10" t="s">
        <v>619</v>
      </c>
      <c r="H98" s="9">
        <v>3.0</v>
      </c>
      <c r="I98" s="9" t="s">
        <v>523</v>
      </c>
      <c r="J98" s="15" t="s">
        <v>28</v>
      </c>
      <c r="K98" s="11" t="s">
        <v>620</v>
      </c>
      <c r="L98" s="13" t="s">
        <v>621</v>
      </c>
      <c r="M98" s="13" t="s">
        <v>622</v>
      </c>
      <c r="N98" s="13" t="s">
        <v>623</v>
      </c>
      <c r="O98" s="13" t="s">
        <v>624</v>
      </c>
      <c r="P98" s="13" t="s">
        <v>625</v>
      </c>
      <c r="Q98" s="13" t="s">
        <v>626</v>
      </c>
      <c r="R98" s="13" t="s">
        <v>627</v>
      </c>
      <c r="S98" s="13" t="s">
        <v>628</v>
      </c>
      <c r="T98" s="13" t="s">
        <v>629</v>
      </c>
      <c r="U98" s="13" t="s">
        <v>630</v>
      </c>
    </row>
    <row r="99" hidden="1">
      <c r="A99" s="7" t="s">
        <v>631</v>
      </c>
      <c r="B99" s="7" t="s">
        <v>22</v>
      </c>
      <c r="C99" s="44" t="s">
        <v>420</v>
      </c>
      <c r="D99" s="9">
        <v>2.0</v>
      </c>
      <c r="E99" s="9" t="s">
        <v>632</v>
      </c>
      <c r="F99" s="7" t="s">
        <v>633</v>
      </c>
      <c r="G99" s="10" t="s">
        <v>634</v>
      </c>
      <c r="H99" s="9">
        <v>5.0</v>
      </c>
      <c r="I99" s="9" t="s">
        <v>635</v>
      </c>
      <c r="J99" s="15" t="s">
        <v>72</v>
      </c>
    </row>
    <row r="100" hidden="1">
      <c r="A100" s="16" t="s">
        <v>636</v>
      </c>
      <c r="B100" s="7" t="s">
        <v>22</v>
      </c>
      <c r="C100" s="7" t="s">
        <v>420</v>
      </c>
      <c r="D100" s="9">
        <v>1.0</v>
      </c>
      <c r="E100" s="9" t="s">
        <v>589</v>
      </c>
      <c r="F100" s="7" t="s">
        <v>637</v>
      </c>
      <c r="G100" s="17" t="s">
        <v>638</v>
      </c>
      <c r="H100" s="9">
        <v>4.0</v>
      </c>
      <c r="I100" s="9" t="s">
        <v>639</v>
      </c>
      <c r="J100" s="9" t="s">
        <v>28</v>
      </c>
      <c r="K100" s="11" t="s">
        <v>640</v>
      </c>
      <c r="L100" s="13" t="s">
        <v>641</v>
      </c>
      <c r="M100" s="13" t="s">
        <v>642</v>
      </c>
      <c r="N100" s="13" t="s">
        <v>643</v>
      </c>
      <c r="O100" s="13" t="s">
        <v>644</v>
      </c>
      <c r="P100" s="13" t="s">
        <v>645</v>
      </c>
      <c r="Q100" s="13" t="s">
        <v>646</v>
      </c>
      <c r="R100" s="13" t="s">
        <v>647</v>
      </c>
      <c r="S100" s="13" t="s">
        <v>648</v>
      </c>
      <c r="T100" s="13" t="s">
        <v>649</v>
      </c>
      <c r="U100" s="13" t="s">
        <v>650</v>
      </c>
    </row>
    <row r="101" hidden="1">
      <c r="A101" s="16" t="s">
        <v>651</v>
      </c>
      <c r="B101" s="7" t="s">
        <v>22</v>
      </c>
      <c r="C101" s="46" t="s">
        <v>420</v>
      </c>
      <c r="D101" s="15">
        <v>2.0</v>
      </c>
      <c r="E101" s="15" t="s">
        <v>652</v>
      </c>
      <c r="F101" s="16" t="s">
        <v>653</v>
      </c>
      <c r="G101" s="17" t="s">
        <v>391</v>
      </c>
      <c r="H101" s="15">
        <v>3.0</v>
      </c>
      <c r="I101" s="15" t="s">
        <v>423</v>
      </c>
      <c r="J101" s="9" t="s">
        <v>72</v>
      </c>
    </row>
    <row r="102" hidden="1">
      <c r="A102" s="22" t="s">
        <v>654</v>
      </c>
      <c r="B102" s="7" t="s">
        <v>22</v>
      </c>
      <c r="C102" s="44" t="s">
        <v>420</v>
      </c>
      <c r="D102" s="9">
        <v>2.0</v>
      </c>
      <c r="E102" s="9" t="s">
        <v>655</v>
      </c>
      <c r="F102" s="7" t="s">
        <v>656</v>
      </c>
      <c r="G102" s="10" t="s">
        <v>657</v>
      </c>
      <c r="H102" s="9">
        <v>2.0</v>
      </c>
      <c r="I102" s="9" t="s">
        <v>423</v>
      </c>
      <c r="J102" s="9" t="s">
        <v>72</v>
      </c>
    </row>
    <row r="103" hidden="1">
      <c r="A103" s="52" t="s">
        <v>658</v>
      </c>
      <c r="B103" s="7" t="s">
        <v>22</v>
      </c>
      <c r="C103" s="53" t="s">
        <v>420</v>
      </c>
      <c r="D103" s="54">
        <v>0.0</v>
      </c>
      <c r="E103" s="54" t="s">
        <v>299</v>
      </c>
      <c r="F103" s="55" t="s">
        <v>659</v>
      </c>
      <c r="G103" s="56" t="s">
        <v>660</v>
      </c>
      <c r="H103" s="57">
        <v>2.0</v>
      </c>
      <c r="I103" s="54" t="s">
        <v>587</v>
      </c>
      <c r="J103" s="57" t="s">
        <v>28</v>
      </c>
    </row>
    <row r="104" hidden="1">
      <c r="A104" s="7" t="s">
        <v>661</v>
      </c>
      <c r="B104" s="7" t="s">
        <v>22</v>
      </c>
      <c r="C104" s="49" t="s">
        <v>420</v>
      </c>
      <c r="D104" s="9">
        <v>2.0</v>
      </c>
      <c r="E104" s="9" t="s">
        <v>662</v>
      </c>
      <c r="F104" s="7" t="s">
        <v>663</v>
      </c>
      <c r="G104" s="10" t="s">
        <v>664</v>
      </c>
      <c r="H104" s="9">
        <v>1.0</v>
      </c>
      <c r="I104" s="9" t="s">
        <v>441</v>
      </c>
      <c r="J104" s="9" t="s">
        <v>28</v>
      </c>
    </row>
    <row r="105" hidden="1">
      <c r="A105" s="16" t="s">
        <v>665</v>
      </c>
      <c r="B105" s="7" t="s">
        <v>22</v>
      </c>
      <c r="C105" s="46" t="s">
        <v>420</v>
      </c>
      <c r="D105" s="15">
        <v>2.0</v>
      </c>
      <c r="E105" s="15" t="s">
        <v>337</v>
      </c>
      <c r="F105" s="16" t="s">
        <v>666</v>
      </c>
      <c r="G105" s="17" t="s">
        <v>391</v>
      </c>
      <c r="H105" s="15">
        <v>4.0</v>
      </c>
      <c r="I105" s="15" t="s">
        <v>639</v>
      </c>
      <c r="J105" s="15" t="s">
        <v>28</v>
      </c>
    </row>
    <row r="106" hidden="1">
      <c r="A106" s="16" t="s">
        <v>667</v>
      </c>
      <c r="B106" s="7" t="s">
        <v>22</v>
      </c>
      <c r="C106" s="16" t="s">
        <v>420</v>
      </c>
      <c r="D106" s="15">
        <v>2.0</v>
      </c>
      <c r="E106" s="15" t="s">
        <v>520</v>
      </c>
      <c r="F106" s="16" t="s">
        <v>668</v>
      </c>
      <c r="G106" s="17" t="s">
        <v>669</v>
      </c>
      <c r="H106" s="15">
        <v>3.0</v>
      </c>
      <c r="I106" s="15" t="s">
        <v>518</v>
      </c>
      <c r="J106" s="15" t="s">
        <v>34</v>
      </c>
    </row>
    <row r="107" hidden="1">
      <c r="A107" s="16" t="s">
        <v>670</v>
      </c>
      <c r="B107" s="7" t="s">
        <v>22</v>
      </c>
      <c r="C107" s="16" t="s">
        <v>420</v>
      </c>
      <c r="D107" s="15">
        <v>1.0</v>
      </c>
      <c r="E107" s="15" t="s">
        <v>410</v>
      </c>
      <c r="F107" s="16" t="s">
        <v>671</v>
      </c>
      <c r="G107" s="34"/>
      <c r="H107" s="15">
        <v>3.0</v>
      </c>
      <c r="I107" s="15" t="s">
        <v>639</v>
      </c>
      <c r="J107" s="15" t="s">
        <v>28</v>
      </c>
      <c r="K107" s="11" t="s">
        <v>672</v>
      </c>
      <c r="L107" s="13" t="s">
        <v>673</v>
      </c>
      <c r="M107" s="13" t="s">
        <v>674</v>
      </c>
      <c r="N107" s="13" t="s">
        <v>675</v>
      </c>
      <c r="O107" s="13" t="s">
        <v>676</v>
      </c>
      <c r="P107" s="13" t="s">
        <v>677</v>
      </c>
      <c r="Q107" s="13" t="s">
        <v>678</v>
      </c>
      <c r="R107" s="13" t="s">
        <v>679</v>
      </c>
      <c r="S107" s="13" t="s">
        <v>680</v>
      </c>
      <c r="T107" s="13" t="s">
        <v>681</v>
      </c>
      <c r="U107" s="13" t="s">
        <v>682</v>
      </c>
    </row>
    <row r="108" hidden="1">
      <c r="A108" s="16" t="s">
        <v>683</v>
      </c>
      <c r="B108" s="7" t="s">
        <v>22</v>
      </c>
      <c r="C108" s="16" t="s">
        <v>420</v>
      </c>
      <c r="D108" s="15">
        <v>1.0</v>
      </c>
      <c r="E108" s="15" t="s">
        <v>304</v>
      </c>
      <c r="F108" s="58" t="s">
        <v>684</v>
      </c>
      <c r="G108" s="17" t="s">
        <v>391</v>
      </c>
      <c r="H108" s="15">
        <v>3.0</v>
      </c>
      <c r="I108" s="15" t="s">
        <v>423</v>
      </c>
      <c r="J108" s="15" t="s">
        <v>72</v>
      </c>
      <c r="K108" s="11" t="s">
        <v>685</v>
      </c>
      <c r="L108" s="13" t="s">
        <v>686</v>
      </c>
      <c r="M108" s="13" t="s">
        <v>687</v>
      </c>
      <c r="N108" s="13" t="s">
        <v>688</v>
      </c>
      <c r="O108" s="13" t="s">
        <v>689</v>
      </c>
      <c r="P108" s="13" t="s">
        <v>690</v>
      </c>
      <c r="Q108" s="13" t="s">
        <v>691</v>
      </c>
      <c r="R108" s="13" t="s">
        <v>692</v>
      </c>
      <c r="S108" s="13" t="s">
        <v>693</v>
      </c>
      <c r="T108" s="13" t="s">
        <v>694</v>
      </c>
      <c r="U108" s="13" t="s">
        <v>695</v>
      </c>
    </row>
    <row r="109" hidden="1">
      <c r="A109" s="16" t="s">
        <v>696</v>
      </c>
      <c r="B109" s="7" t="s">
        <v>22</v>
      </c>
      <c r="C109" s="46" t="s">
        <v>420</v>
      </c>
      <c r="D109" s="15">
        <v>2.0</v>
      </c>
      <c r="E109" s="15" t="s">
        <v>697</v>
      </c>
      <c r="F109" s="16" t="s">
        <v>277</v>
      </c>
      <c r="G109" s="17" t="s">
        <v>698</v>
      </c>
      <c r="H109" s="15">
        <v>2.0</v>
      </c>
      <c r="I109" s="15" t="s">
        <v>587</v>
      </c>
      <c r="J109" s="15" t="s">
        <v>28</v>
      </c>
    </row>
    <row r="110" hidden="1">
      <c r="A110" s="24" t="s">
        <v>699</v>
      </c>
      <c r="B110" s="7" t="s">
        <v>22</v>
      </c>
      <c r="C110" s="7" t="s">
        <v>420</v>
      </c>
      <c r="D110" s="9">
        <v>1.0</v>
      </c>
      <c r="E110" s="9" t="s">
        <v>337</v>
      </c>
      <c r="F110" s="7" t="s">
        <v>700</v>
      </c>
      <c r="G110" s="10" t="s">
        <v>701</v>
      </c>
      <c r="H110" s="9">
        <v>2.0</v>
      </c>
      <c r="I110" s="9" t="s">
        <v>639</v>
      </c>
      <c r="J110" s="21" t="s">
        <v>28</v>
      </c>
      <c r="K110" s="11" t="s">
        <v>702</v>
      </c>
      <c r="L110" s="13" t="s">
        <v>703</v>
      </c>
      <c r="M110" s="13" t="s">
        <v>704</v>
      </c>
      <c r="N110" s="13" t="s">
        <v>705</v>
      </c>
      <c r="O110" s="13" t="s">
        <v>706</v>
      </c>
      <c r="P110" s="13" t="s">
        <v>707</v>
      </c>
      <c r="Q110" s="13" t="s">
        <v>708</v>
      </c>
      <c r="R110" s="13" t="s">
        <v>709</v>
      </c>
      <c r="S110" s="13" t="s">
        <v>710</v>
      </c>
      <c r="T110" s="13" t="s">
        <v>711</v>
      </c>
      <c r="U110" s="13" t="s">
        <v>712</v>
      </c>
    </row>
    <row r="111" hidden="1">
      <c r="A111" s="52" t="s">
        <v>713</v>
      </c>
      <c r="B111" s="7" t="s">
        <v>22</v>
      </c>
      <c r="C111" s="16" t="s">
        <v>420</v>
      </c>
      <c r="D111" s="15">
        <v>1.0</v>
      </c>
      <c r="E111" s="15" t="s">
        <v>662</v>
      </c>
      <c r="F111" s="16" t="s">
        <v>714</v>
      </c>
      <c r="G111" s="59"/>
      <c r="H111" s="15">
        <v>2.0</v>
      </c>
      <c r="I111" s="15" t="s">
        <v>518</v>
      </c>
      <c r="J111" s="15" t="s">
        <v>34</v>
      </c>
      <c r="K111" s="11" t="s">
        <v>715</v>
      </c>
      <c r="L111" s="13" t="s">
        <v>716</v>
      </c>
      <c r="M111" s="13" t="s">
        <v>717</v>
      </c>
      <c r="N111" s="13" t="s">
        <v>718</v>
      </c>
      <c r="O111" s="13" t="s">
        <v>719</v>
      </c>
      <c r="P111" s="13" t="s">
        <v>720</v>
      </c>
      <c r="Q111" s="13" t="s">
        <v>721</v>
      </c>
      <c r="R111" s="13" t="s">
        <v>722</v>
      </c>
      <c r="S111" s="13" t="s">
        <v>723</v>
      </c>
      <c r="T111" s="13" t="s">
        <v>724</v>
      </c>
      <c r="U111" s="13" t="s">
        <v>725</v>
      </c>
    </row>
    <row r="112" hidden="1">
      <c r="A112" s="7" t="s">
        <v>726</v>
      </c>
      <c r="B112" s="7" t="s">
        <v>22</v>
      </c>
      <c r="C112" s="49" t="s">
        <v>420</v>
      </c>
      <c r="D112" s="9">
        <v>2.0</v>
      </c>
      <c r="E112" s="9" t="s">
        <v>337</v>
      </c>
      <c r="F112" s="7" t="s">
        <v>727</v>
      </c>
      <c r="G112" s="10" t="s">
        <v>26</v>
      </c>
      <c r="H112" s="9">
        <v>1.0</v>
      </c>
      <c r="I112" s="9" t="s">
        <v>441</v>
      </c>
      <c r="J112" s="9" t="s">
        <v>28</v>
      </c>
    </row>
    <row r="113" hidden="1">
      <c r="A113" s="7" t="s">
        <v>728</v>
      </c>
      <c r="B113" s="7" t="s">
        <v>22</v>
      </c>
      <c r="C113" s="60" t="s">
        <v>420</v>
      </c>
      <c r="D113" s="9">
        <v>0.0</v>
      </c>
      <c r="E113" s="9" t="s">
        <v>435</v>
      </c>
      <c r="F113" s="7" t="s">
        <v>729</v>
      </c>
      <c r="G113" s="10" t="s">
        <v>730</v>
      </c>
      <c r="H113" s="9">
        <v>3.0</v>
      </c>
      <c r="I113" s="9" t="s">
        <v>423</v>
      </c>
      <c r="J113" s="9" t="s">
        <v>28</v>
      </c>
    </row>
    <row r="114" hidden="1">
      <c r="A114" s="7" t="s">
        <v>731</v>
      </c>
      <c r="B114" s="7" t="s">
        <v>22</v>
      </c>
      <c r="C114" s="25" t="s">
        <v>420</v>
      </c>
      <c r="D114" s="9">
        <v>2.0</v>
      </c>
      <c r="E114" s="9" t="s">
        <v>435</v>
      </c>
      <c r="F114" s="7" t="s">
        <v>732</v>
      </c>
      <c r="G114" s="10" t="s">
        <v>733</v>
      </c>
      <c r="H114" s="9">
        <v>2.0</v>
      </c>
      <c r="I114" s="9" t="s">
        <v>587</v>
      </c>
      <c r="J114" s="9" t="s">
        <v>28</v>
      </c>
      <c r="K114" s="11" t="s">
        <v>734</v>
      </c>
      <c r="L114" s="13" t="s">
        <v>735</v>
      </c>
      <c r="M114" s="13" t="s">
        <v>736</v>
      </c>
      <c r="N114" s="13" t="s">
        <v>737</v>
      </c>
      <c r="O114" s="13" t="s">
        <v>738</v>
      </c>
      <c r="P114" s="13" t="s">
        <v>739</v>
      </c>
      <c r="Q114" s="13" t="s">
        <v>740</v>
      </c>
      <c r="R114" s="13" t="s">
        <v>741</v>
      </c>
      <c r="S114" s="13" t="s">
        <v>742</v>
      </c>
      <c r="T114" s="13" t="s">
        <v>743</v>
      </c>
      <c r="U114" s="13" t="s">
        <v>744</v>
      </c>
    </row>
    <row r="115" hidden="1">
      <c r="A115" s="16" t="s">
        <v>745</v>
      </c>
      <c r="B115" s="7" t="s">
        <v>22</v>
      </c>
      <c r="C115" s="25" t="s">
        <v>420</v>
      </c>
      <c r="D115" s="9">
        <v>1.0</v>
      </c>
      <c r="E115" s="9" t="s">
        <v>337</v>
      </c>
      <c r="F115" s="7" t="s">
        <v>746</v>
      </c>
      <c r="G115" s="10" t="s">
        <v>747</v>
      </c>
      <c r="H115" s="9">
        <v>2.0</v>
      </c>
      <c r="I115" s="9" t="s">
        <v>423</v>
      </c>
      <c r="J115" s="9" t="s">
        <v>72</v>
      </c>
      <c r="K115" s="11" t="s">
        <v>748</v>
      </c>
      <c r="L115" s="13" t="s">
        <v>749</v>
      </c>
      <c r="M115" s="13" t="s">
        <v>750</v>
      </c>
      <c r="N115" s="13" t="s">
        <v>751</v>
      </c>
      <c r="O115" s="13" t="s">
        <v>752</v>
      </c>
      <c r="P115" s="13" t="s">
        <v>753</v>
      </c>
      <c r="Q115" s="13" t="s">
        <v>754</v>
      </c>
      <c r="R115" s="13" t="s">
        <v>755</v>
      </c>
      <c r="S115" s="13" t="s">
        <v>756</v>
      </c>
      <c r="T115" s="13" t="s">
        <v>757</v>
      </c>
      <c r="U115" s="13" t="s">
        <v>758</v>
      </c>
    </row>
    <row r="116" hidden="1">
      <c r="A116" s="7" t="s">
        <v>759</v>
      </c>
      <c r="B116" s="7" t="s">
        <v>22</v>
      </c>
      <c r="C116" s="25" t="s">
        <v>420</v>
      </c>
      <c r="D116" s="9">
        <v>1.0</v>
      </c>
      <c r="E116" s="9" t="s">
        <v>540</v>
      </c>
      <c r="F116" s="7" t="s">
        <v>760</v>
      </c>
      <c r="G116" s="10" t="s">
        <v>761</v>
      </c>
      <c r="H116" s="9">
        <v>3.0</v>
      </c>
      <c r="I116" s="9" t="s">
        <v>639</v>
      </c>
      <c r="J116" s="9" t="s">
        <v>72</v>
      </c>
      <c r="K116" s="11" t="s">
        <v>762</v>
      </c>
      <c r="L116" s="13" t="s">
        <v>763</v>
      </c>
      <c r="M116" s="13" t="s">
        <v>764</v>
      </c>
      <c r="N116" s="13" t="s">
        <v>765</v>
      </c>
      <c r="O116" s="13" t="s">
        <v>766</v>
      </c>
      <c r="P116" s="13" t="s">
        <v>767</v>
      </c>
      <c r="Q116" s="13" t="s">
        <v>768</v>
      </c>
      <c r="R116" s="13" t="s">
        <v>769</v>
      </c>
      <c r="S116" s="13" t="s">
        <v>770</v>
      </c>
      <c r="T116" s="13" t="s">
        <v>771</v>
      </c>
      <c r="U116" s="13" t="s">
        <v>772</v>
      </c>
    </row>
    <row r="117" hidden="1">
      <c r="A117" s="16" t="s">
        <v>773</v>
      </c>
      <c r="B117" s="7" t="s">
        <v>22</v>
      </c>
      <c r="C117" s="45" t="s">
        <v>420</v>
      </c>
      <c r="D117" s="15">
        <v>2.0</v>
      </c>
      <c r="E117" s="15" t="s">
        <v>520</v>
      </c>
      <c r="F117" s="16" t="s">
        <v>774</v>
      </c>
      <c r="G117" s="17" t="s">
        <v>391</v>
      </c>
      <c r="H117" s="15">
        <v>4.0</v>
      </c>
      <c r="I117" s="15" t="s">
        <v>527</v>
      </c>
      <c r="J117" s="15" t="s">
        <v>34</v>
      </c>
    </row>
    <row r="118" hidden="1">
      <c r="A118" s="31" t="s">
        <v>775</v>
      </c>
      <c r="B118" s="7" t="s">
        <v>22</v>
      </c>
      <c r="C118" s="40" t="s">
        <v>420</v>
      </c>
      <c r="D118" s="15">
        <v>1.0</v>
      </c>
      <c r="E118" s="15" t="s">
        <v>362</v>
      </c>
      <c r="F118" s="16" t="s">
        <v>776</v>
      </c>
      <c r="G118" s="17" t="s">
        <v>777</v>
      </c>
      <c r="H118" s="15">
        <v>4.0</v>
      </c>
      <c r="I118" s="15" t="s">
        <v>572</v>
      </c>
      <c r="J118" s="15" t="s">
        <v>72</v>
      </c>
      <c r="K118" s="11" t="s">
        <v>778</v>
      </c>
      <c r="L118" s="13" t="s">
        <v>779</v>
      </c>
      <c r="M118" s="13" t="s">
        <v>780</v>
      </c>
      <c r="N118" s="13" t="s">
        <v>781</v>
      </c>
      <c r="O118" s="13" t="s">
        <v>782</v>
      </c>
      <c r="P118" s="13" t="s">
        <v>783</v>
      </c>
      <c r="Q118" s="13" t="s">
        <v>784</v>
      </c>
      <c r="R118" s="13" t="s">
        <v>785</v>
      </c>
      <c r="S118" s="13" t="s">
        <v>786</v>
      </c>
      <c r="T118" s="13" t="s">
        <v>787</v>
      </c>
      <c r="U118" s="13" t="s">
        <v>788</v>
      </c>
    </row>
    <row r="119" hidden="1">
      <c r="A119" s="7" t="s">
        <v>789</v>
      </c>
      <c r="B119" s="7" t="s">
        <v>22</v>
      </c>
      <c r="C119" s="61" t="s">
        <v>420</v>
      </c>
      <c r="D119" s="9">
        <v>2.0</v>
      </c>
      <c r="E119" s="9" t="s">
        <v>410</v>
      </c>
      <c r="F119" s="18" t="s">
        <v>790</v>
      </c>
      <c r="G119" s="48" t="s">
        <v>791</v>
      </c>
      <c r="H119" s="9">
        <v>5.0</v>
      </c>
      <c r="I119" s="9" t="s">
        <v>572</v>
      </c>
      <c r="J119" s="9" t="s">
        <v>34</v>
      </c>
    </row>
    <row r="120" hidden="1">
      <c r="A120" s="7" t="s">
        <v>792</v>
      </c>
      <c r="B120" s="7" t="s">
        <v>22</v>
      </c>
      <c r="C120" s="62" t="s">
        <v>420</v>
      </c>
      <c r="D120" s="9">
        <v>2.0</v>
      </c>
      <c r="E120" s="9" t="s">
        <v>793</v>
      </c>
      <c r="F120" s="7" t="s">
        <v>794</v>
      </c>
      <c r="G120" s="10" t="s">
        <v>795</v>
      </c>
      <c r="H120" s="9">
        <v>4.0</v>
      </c>
      <c r="I120" s="9" t="s">
        <v>639</v>
      </c>
      <c r="J120" s="9" t="s">
        <v>72</v>
      </c>
    </row>
    <row r="121" hidden="1">
      <c r="A121" s="31" t="s">
        <v>796</v>
      </c>
      <c r="B121" s="7" t="s">
        <v>22</v>
      </c>
      <c r="C121" s="40" t="s">
        <v>420</v>
      </c>
      <c r="D121" s="15">
        <v>2.0</v>
      </c>
      <c r="E121" s="15" t="s">
        <v>389</v>
      </c>
      <c r="F121" s="16" t="s">
        <v>797</v>
      </c>
      <c r="G121" s="17" t="s">
        <v>798</v>
      </c>
      <c r="H121" s="15">
        <v>3.0</v>
      </c>
      <c r="I121" s="15" t="s">
        <v>639</v>
      </c>
      <c r="J121" s="15" t="s">
        <v>72</v>
      </c>
    </row>
    <row r="122" hidden="1">
      <c r="A122" s="7" t="s">
        <v>799</v>
      </c>
      <c r="B122" s="7" t="s">
        <v>22</v>
      </c>
      <c r="C122" s="25" t="s">
        <v>420</v>
      </c>
      <c r="D122" s="9">
        <v>1.0</v>
      </c>
      <c r="E122" s="9" t="s">
        <v>435</v>
      </c>
      <c r="F122" s="63" t="s">
        <v>800</v>
      </c>
      <c r="G122" s="64" t="s">
        <v>801</v>
      </c>
      <c r="H122" s="9">
        <v>5.0</v>
      </c>
      <c r="I122" s="9" t="s">
        <v>527</v>
      </c>
      <c r="J122" s="9" t="s">
        <v>72</v>
      </c>
      <c r="K122" s="11" t="s">
        <v>802</v>
      </c>
      <c r="L122" s="13" t="s">
        <v>803</v>
      </c>
      <c r="M122" s="13" t="s">
        <v>804</v>
      </c>
      <c r="N122" s="13" t="s">
        <v>805</v>
      </c>
      <c r="O122" s="13" t="s">
        <v>806</v>
      </c>
      <c r="P122" s="13" t="s">
        <v>807</v>
      </c>
      <c r="Q122" s="13" t="s">
        <v>808</v>
      </c>
      <c r="R122" s="13" t="s">
        <v>809</v>
      </c>
      <c r="S122" s="13" t="s">
        <v>810</v>
      </c>
      <c r="T122" s="13" t="s">
        <v>811</v>
      </c>
      <c r="U122" s="13" t="s">
        <v>812</v>
      </c>
    </row>
    <row r="123" hidden="1">
      <c r="A123" s="16" t="s">
        <v>813</v>
      </c>
      <c r="B123" s="7" t="s">
        <v>22</v>
      </c>
      <c r="C123" s="45" t="s">
        <v>420</v>
      </c>
      <c r="D123" s="15">
        <v>2.0</v>
      </c>
      <c r="E123" s="15" t="s">
        <v>814</v>
      </c>
      <c r="F123" s="16" t="s">
        <v>815</v>
      </c>
      <c r="G123" s="34"/>
      <c r="H123" s="15">
        <v>3.0</v>
      </c>
      <c r="I123" s="15" t="s">
        <v>523</v>
      </c>
      <c r="J123" s="15" t="s">
        <v>34</v>
      </c>
    </row>
    <row r="124" hidden="1">
      <c r="A124" s="16" t="s">
        <v>816</v>
      </c>
      <c r="B124" s="7" t="s">
        <v>22</v>
      </c>
      <c r="C124" s="43" t="s">
        <v>420</v>
      </c>
      <c r="D124" s="15">
        <v>2.0</v>
      </c>
      <c r="E124" s="15" t="s">
        <v>240</v>
      </c>
      <c r="F124" s="16" t="s">
        <v>817</v>
      </c>
      <c r="G124" s="17" t="s">
        <v>818</v>
      </c>
      <c r="H124" s="15">
        <v>3.0</v>
      </c>
      <c r="I124" s="9" t="s">
        <v>423</v>
      </c>
      <c r="J124" s="9" t="s">
        <v>28</v>
      </c>
    </row>
    <row r="125" hidden="1">
      <c r="A125" s="16" t="s">
        <v>819</v>
      </c>
      <c r="B125" s="7" t="s">
        <v>22</v>
      </c>
      <c r="C125" s="40" t="s">
        <v>420</v>
      </c>
      <c r="D125" s="15">
        <v>1.0</v>
      </c>
      <c r="E125" s="15" t="s">
        <v>410</v>
      </c>
      <c r="F125" s="16" t="s">
        <v>820</v>
      </c>
      <c r="G125" s="17" t="s">
        <v>391</v>
      </c>
      <c r="H125" s="15">
        <v>3.0</v>
      </c>
      <c r="I125" s="15" t="s">
        <v>639</v>
      </c>
      <c r="J125" s="15" t="s">
        <v>72</v>
      </c>
      <c r="K125" s="11" t="s">
        <v>821</v>
      </c>
      <c r="L125" s="13" t="s">
        <v>822</v>
      </c>
      <c r="M125" s="13" t="s">
        <v>823</v>
      </c>
      <c r="N125" s="13" t="s">
        <v>824</v>
      </c>
      <c r="O125" s="13" t="s">
        <v>825</v>
      </c>
      <c r="P125" s="13" t="s">
        <v>826</v>
      </c>
      <c r="Q125" s="13" t="s">
        <v>827</v>
      </c>
      <c r="R125" s="13" t="s">
        <v>828</v>
      </c>
      <c r="S125" s="13" t="s">
        <v>829</v>
      </c>
      <c r="T125" s="13" t="s">
        <v>830</v>
      </c>
      <c r="U125" s="13" t="s">
        <v>831</v>
      </c>
    </row>
    <row r="126" hidden="1">
      <c r="A126" s="16" t="s">
        <v>832</v>
      </c>
      <c r="B126" s="7" t="s">
        <v>22</v>
      </c>
      <c r="C126" s="45" t="s">
        <v>420</v>
      </c>
      <c r="D126" s="15">
        <v>2.0</v>
      </c>
      <c r="E126" s="15" t="s">
        <v>589</v>
      </c>
      <c r="F126" s="16" t="s">
        <v>833</v>
      </c>
      <c r="G126" s="17" t="s">
        <v>391</v>
      </c>
      <c r="H126" s="15">
        <v>4.0</v>
      </c>
      <c r="I126" s="15" t="s">
        <v>433</v>
      </c>
      <c r="J126" s="15" t="s">
        <v>72</v>
      </c>
    </row>
    <row r="127" hidden="1">
      <c r="A127" s="16" t="s">
        <v>834</v>
      </c>
      <c r="B127" s="7" t="s">
        <v>22</v>
      </c>
      <c r="C127" s="45" t="s">
        <v>420</v>
      </c>
      <c r="D127" s="15">
        <v>2.0</v>
      </c>
      <c r="E127" s="15" t="s">
        <v>410</v>
      </c>
      <c r="F127" s="16" t="s">
        <v>835</v>
      </c>
      <c r="G127" s="34"/>
      <c r="H127" s="15">
        <v>5.0</v>
      </c>
      <c r="I127" s="15" t="s">
        <v>587</v>
      </c>
      <c r="J127" s="15" t="s">
        <v>28</v>
      </c>
    </row>
    <row r="128" hidden="1">
      <c r="A128" s="7" t="s">
        <v>836</v>
      </c>
      <c r="B128" s="7" t="s">
        <v>22</v>
      </c>
      <c r="C128" s="25" t="s">
        <v>420</v>
      </c>
      <c r="D128" s="9">
        <v>1.0</v>
      </c>
      <c r="E128" s="15" t="s">
        <v>520</v>
      </c>
      <c r="F128" s="16" t="s">
        <v>837</v>
      </c>
      <c r="G128" s="17" t="s">
        <v>838</v>
      </c>
      <c r="H128" s="15">
        <v>6.0</v>
      </c>
      <c r="I128" s="15" t="s">
        <v>523</v>
      </c>
      <c r="J128" s="9" t="s">
        <v>72</v>
      </c>
      <c r="K128" s="11" t="s">
        <v>839</v>
      </c>
      <c r="L128" s="13" t="s">
        <v>840</v>
      </c>
      <c r="M128" s="13" t="s">
        <v>841</v>
      </c>
      <c r="N128" s="13" t="s">
        <v>842</v>
      </c>
      <c r="O128" s="13" t="s">
        <v>843</v>
      </c>
      <c r="P128" s="13" t="s">
        <v>844</v>
      </c>
      <c r="Q128" s="13" t="s">
        <v>845</v>
      </c>
    </row>
    <row r="129" hidden="1">
      <c r="A129" s="28" t="s">
        <v>846</v>
      </c>
      <c r="B129" s="7" t="s">
        <v>22</v>
      </c>
      <c r="C129" s="65" t="s">
        <v>420</v>
      </c>
      <c r="D129" s="54">
        <v>1.0</v>
      </c>
      <c r="E129" s="66" t="s">
        <v>151</v>
      </c>
      <c r="F129" s="29" t="s">
        <v>847</v>
      </c>
      <c r="G129" s="67" t="s">
        <v>838</v>
      </c>
      <c r="H129" s="66">
        <v>4.0</v>
      </c>
      <c r="I129" s="66" t="s">
        <v>527</v>
      </c>
      <c r="J129" s="68" t="s">
        <v>72</v>
      </c>
      <c r="K129" s="11" t="s">
        <v>848</v>
      </c>
      <c r="L129" s="13" t="s">
        <v>849</v>
      </c>
      <c r="M129" s="13" t="s">
        <v>850</v>
      </c>
      <c r="N129" s="13" t="s">
        <v>851</v>
      </c>
      <c r="O129" s="13" t="s">
        <v>852</v>
      </c>
      <c r="P129" s="13" t="s">
        <v>853</v>
      </c>
      <c r="Q129" s="13" t="s">
        <v>854</v>
      </c>
      <c r="R129" s="13" t="s">
        <v>855</v>
      </c>
      <c r="S129" s="13" t="s">
        <v>856</v>
      </c>
      <c r="T129" s="13" t="s">
        <v>857</v>
      </c>
      <c r="U129" s="13" t="s">
        <v>858</v>
      </c>
    </row>
    <row r="130" hidden="1">
      <c r="A130" s="24" t="s">
        <v>859</v>
      </c>
      <c r="B130" s="7" t="s">
        <v>22</v>
      </c>
      <c r="C130" s="25" t="s">
        <v>420</v>
      </c>
      <c r="D130" s="9">
        <v>1.0</v>
      </c>
      <c r="E130" s="9" t="s">
        <v>452</v>
      </c>
      <c r="F130" s="16" t="s">
        <v>860</v>
      </c>
      <c r="G130" s="17" t="s">
        <v>861</v>
      </c>
      <c r="H130" s="21">
        <v>2.0</v>
      </c>
      <c r="I130" s="9" t="s">
        <v>587</v>
      </c>
      <c r="J130" s="21" t="s">
        <v>72</v>
      </c>
      <c r="K130" s="11" t="s">
        <v>862</v>
      </c>
      <c r="L130" s="13" t="s">
        <v>863</v>
      </c>
      <c r="M130" s="13" t="s">
        <v>864</v>
      </c>
      <c r="N130" s="13" t="s">
        <v>865</v>
      </c>
      <c r="O130" s="13" t="s">
        <v>866</v>
      </c>
      <c r="P130" s="13" t="s">
        <v>867</v>
      </c>
      <c r="Q130" s="13" t="s">
        <v>868</v>
      </c>
    </row>
    <row r="131" hidden="1">
      <c r="A131" s="69" t="s">
        <v>869</v>
      </c>
      <c r="B131" s="7" t="s">
        <v>22</v>
      </c>
      <c r="C131" s="25" t="s">
        <v>420</v>
      </c>
      <c r="D131" s="9">
        <v>1.0</v>
      </c>
      <c r="E131" s="9" t="s">
        <v>113</v>
      </c>
      <c r="F131" s="7" t="s">
        <v>870</v>
      </c>
      <c r="G131" s="10" t="s">
        <v>871</v>
      </c>
      <c r="H131" s="21">
        <v>6.0</v>
      </c>
      <c r="I131" s="9" t="s">
        <v>872</v>
      </c>
      <c r="J131" s="9" t="s">
        <v>72</v>
      </c>
      <c r="K131" s="11" t="s">
        <v>873</v>
      </c>
      <c r="L131" s="13" t="s">
        <v>874</v>
      </c>
      <c r="M131" s="13" t="s">
        <v>875</v>
      </c>
      <c r="N131" s="13" t="s">
        <v>876</v>
      </c>
      <c r="O131" s="13" t="s">
        <v>877</v>
      </c>
      <c r="P131" s="13" t="s">
        <v>878</v>
      </c>
      <c r="Q131" s="13" t="s">
        <v>879</v>
      </c>
      <c r="R131" s="13" t="s">
        <v>880</v>
      </c>
    </row>
    <row r="132" hidden="1">
      <c r="A132" s="70" t="s">
        <v>881</v>
      </c>
      <c r="B132" s="7" t="s">
        <v>22</v>
      </c>
      <c r="C132" s="71" t="s">
        <v>420</v>
      </c>
      <c r="D132" s="72">
        <v>1.0</v>
      </c>
      <c r="E132" s="72" t="s">
        <v>589</v>
      </c>
      <c r="F132" s="70" t="s">
        <v>882</v>
      </c>
      <c r="G132" s="70"/>
      <c r="H132" s="72">
        <v>3.0</v>
      </c>
      <c r="I132" s="72" t="s">
        <v>639</v>
      </c>
      <c r="J132" s="72" t="s">
        <v>72</v>
      </c>
      <c r="K132" s="11" t="s">
        <v>883</v>
      </c>
      <c r="L132" s="73" t="s">
        <v>884</v>
      </c>
      <c r="M132" s="73" t="s">
        <v>885</v>
      </c>
      <c r="N132" s="73" t="s">
        <v>886</v>
      </c>
      <c r="O132" s="73" t="s">
        <v>887</v>
      </c>
      <c r="P132" s="73" t="s">
        <v>888</v>
      </c>
      <c r="Q132" s="73" t="s">
        <v>889</v>
      </c>
      <c r="R132" s="73" t="s">
        <v>890</v>
      </c>
      <c r="S132" s="73" t="s">
        <v>891</v>
      </c>
      <c r="T132" s="73" t="s">
        <v>892</v>
      </c>
      <c r="U132" s="73" t="s">
        <v>893</v>
      </c>
    </row>
    <row r="133" hidden="1">
      <c r="A133" s="22" t="s">
        <v>894</v>
      </c>
      <c r="B133" s="7" t="s">
        <v>22</v>
      </c>
      <c r="C133" s="25" t="s">
        <v>895</v>
      </c>
      <c r="D133" s="9">
        <v>2.0</v>
      </c>
      <c r="E133" s="9" t="s">
        <v>337</v>
      </c>
      <c r="F133" s="7" t="s">
        <v>896</v>
      </c>
      <c r="G133" s="10" t="s">
        <v>897</v>
      </c>
      <c r="H133" s="9">
        <v>3.0</v>
      </c>
      <c r="I133" s="9" t="s">
        <v>898</v>
      </c>
      <c r="J133" s="9" t="s">
        <v>72</v>
      </c>
    </row>
    <row r="134" hidden="1">
      <c r="A134" s="7" t="s">
        <v>899</v>
      </c>
      <c r="B134" s="7" t="s">
        <v>22</v>
      </c>
      <c r="C134" s="25" t="s">
        <v>420</v>
      </c>
      <c r="D134" s="9">
        <v>1.0</v>
      </c>
      <c r="E134" s="9" t="s">
        <v>448</v>
      </c>
      <c r="G134" s="64" t="s">
        <v>900</v>
      </c>
      <c r="H134" s="9">
        <v>3.0</v>
      </c>
      <c r="I134" s="9" t="s">
        <v>587</v>
      </c>
      <c r="J134" s="9" t="s">
        <v>28</v>
      </c>
      <c r="K134" s="11" t="s">
        <v>901</v>
      </c>
      <c r="L134" s="13" t="s">
        <v>902</v>
      </c>
      <c r="M134" s="13" t="s">
        <v>903</v>
      </c>
      <c r="N134" s="13" t="s">
        <v>904</v>
      </c>
      <c r="O134" s="13" t="s">
        <v>905</v>
      </c>
      <c r="P134" s="13" t="s">
        <v>906</v>
      </c>
      <c r="Q134" s="13" t="s">
        <v>907</v>
      </c>
      <c r="R134" s="13" t="s">
        <v>908</v>
      </c>
      <c r="S134" s="13" t="s">
        <v>909</v>
      </c>
      <c r="T134" s="13" t="s">
        <v>910</v>
      </c>
      <c r="U134" s="13" t="s">
        <v>911</v>
      </c>
    </row>
    <row r="135" hidden="1">
      <c r="A135" s="18" t="s">
        <v>912</v>
      </c>
      <c r="B135" s="7" t="s">
        <v>22</v>
      </c>
      <c r="C135" s="25" t="s">
        <v>895</v>
      </c>
      <c r="D135" s="9">
        <v>2.0</v>
      </c>
      <c r="E135" s="9" t="s">
        <v>913</v>
      </c>
      <c r="F135" s="7" t="s">
        <v>914</v>
      </c>
      <c r="G135" s="10" t="s">
        <v>915</v>
      </c>
      <c r="H135" s="9">
        <v>6.0</v>
      </c>
      <c r="I135" s="9" t="s">
        <v>916</v>
      </c>
      <c r="J135" s="9" t="s">
        <v>34</v>
      </c>
    </row>
    <row r="136" hidden="1">
      <c r="A136" s="7" t="s">
        <v>917</v>
      </c>
      <c r="B136" s="7" t="s">
        <v>22</v>
      </c>
      <c r="C136" s="25" t="s">
        <v>918</v>
      </c>
      <c r="D136" s="9">
        <v>2.0</v>
      </c>
      <c r="E136" s="9" t="s">
        <v>919</v>
      </c>
      <c r="F136" s="74" t="s">
        <v>920</v>
      </c>
      <c r="G136" s="64" t="s">
        <v>921</v>
      </c>
      <c r="H136" s="9">
        <v>5.0</v>
      </c>
      <c r="I136" s="9" t="s">
        <v>922</v>
      </c>
      <c r="J136" s="9" t="s">
        <v>72</v>
      </c>
    </row>
    <row r="137" hidden="1">
      <c r="A137" s="7" t="s">
        <v>923</v>
      </c>
      <c r="B137" s="7" t="s">
        <v>22</v>
      </c>
      <c r="C137" s="25" t="s">
        <v>420</v>
      </c>
      <c r="D137" s="9">
        <v>1.0</v>
      </c>
      <c r="E137" s="9" t="s">
        <v>410</v>
      </c>
      <c r="F137" s="7" t="s">
        <v>924</v>
      </c>
      <c r="G137" s="10" t="s">
        <v>925</v>
      </c>
      <c r="H137" s="9">
        <v>5.0</v>
      </c>
      <c r="I137" s="9" t="s">
        <v>572</v>
      </c>
      <c r="J137" s="9" t="s">
        <v>34</v>
      </c>
      <c r="K137" s="11" t="s">
        <v>926</v>
      </c>
      <c r="L137" s="13" t="s">
        <v>927</v>
      </c>
      <c r="M137" s="13" t="s">
        <v>928</v>
      </c>
      <c r="N137" s="13" t="s">
        <v>929</v>
      </c>
      <c r="O137" s="13" t="s">
        <v>930</v>
      </c>
      <c r="P137" s="13" t="s">
        <v>931</v>
      </c>
      <c r="Q137" s="13" t="s">
        <v>932</v>
      </c>
      <c r="R137" s="13" t="s">
        <v>933</v>
      </c>
      <c r="S137" s="13" t="s">
        <v>934</v>
      </c>
      <c r="T137" s="13" t="s">
        <v>935</v>
      </c>
      <c r="U137" s="13" t="s">
        <v>936</v>
      </c>
    </row>
    <row r="138" hidden="1">
      <c r="A138" s="16" t="s">
        <v>937</v>
      </c>
      <c r="B138" s="7" t="s">
        <v>22</v>
      </c>
      <c r="C138" s="40" t="s">
        <v>918</v>
      </c>
      <c r="D138" s="15">
        <v>0.0</v>
      </c>
      <c r="E138" s="15" t="s">
        <v>938</v>
      </c>
      <c r="F138" s="16" t="s">
        <v>939</v>
      </c>
      <c r="G138" s="34"/>
      <c r="H138" s="15">
        <v>8.0</v>
      </c>
      <c r="I138" s="15" t="s">
        <v>940</v>
      </c>
      <c r="J138" s="15" t="s">
        <v>72</v>
      </c>
    </row>
    <row r="139" hidden="1">
      <c r="A139" s="16" t="s">
        <v>941</v>
      </c>
      <c r="B139" s="7" t="s">
        <v>22</v>
      </c>
      <c r="C139" s="40" t="s">
        <v>918</v>
      </c>
      <c r="D139" s="15">
        <v>2.0</v>
      </c>
      <c r="E139" s="15" t="s">
        <v>151</v>
      </c>
      <c r="F139" s="16" t="s">
        <v>942</v>
      </c>
      <c r="G139" s="17" t="s">
        <v>943</v>
      </c>
      <c r="H139" s="15">
        <v>4.0</v>
      </c>
      <c r="I139" s="15" t="s">
        <v>944</v>
      </c>
      <c r="J139" s="15" t="s">
        <v>72</v>
      </c>
    </row>
    <row r="140" hidden="1">
      <c r="A140" s="7" t="s">
        <v>945</v>
      </c>
      <c r="B140" s="7" t="s">
        <v>22</v>
      </c>
      <c r="C140" s="25" t="s">
        <v>420</v>
      </c>
      <c r="D140" s="9">
        <v>1.0</v>
      </c>
      <c r="E140" s="9" t="s">
        <v>793</v>
      </c>
      <c r="F140" s="16" t="s">
        <v>946</v>
      </c>
      <c r="G140" s="10" t="s">
        <v>947</v>
      </c>
      <c r="H140" s="9">
        <v>4.0</v>
      </c>
      <c r="I140" s="9" t="s">
        <v>527</v>
      </c>
      <c r="J140" s="9" t="s">
        <v>34</v>
      </c>
      <c r="K140" s="11" t="s">
        <v>948</v>
      </c>
      <c r="L140" s="13" t="s">
        <v>949</v>
      </c>
      <c r="M140" s="13" t="s">
        <v>950</v>
      </c>
      <c r="N140" s="13" t="s">
        <v>951</v>
      </c>
      <c r="O140" s="13" t="s">
        <v>952</v>
      </c>
      <c r="P140" s="13" t="s">
        <v>953</v>
      </c>
      <c r="Q140" s="13" t="s">
        <v>954</v>
      </c>
      <c r="R140" s="13" t="s">
        <v>955</v>
      </c>
      <c r="S140" s="13" t="s">
        <v>956</v>
      </c>
      <c r="T140" s="13" t="s">
        <v>957</v>
      </c>
      <c r="U140" s="13" t="s">
        <v>958</v>
      </c>
    </row>
    <row r="141" hidden="1">
      <c r="A141" s="22" t="s">
        <v>959</v>
      </c>
      <c r="B141" s="7" t="s">
        <v>22</v>
      </c>
      <c r="C141" s="25" t="s">
        <v>918</v>
      </c>
      <c r="D141" s="9">
        <v>2.0</v>
      </c>
      <c r="E141" s="75" t="s">
        <v>938</v>
      </c>
      <c r="F141" s="7" t="s">
        <v>960</v>
      </c>
      <c r="G141" s="10" t="s">
        <v>961</v>
      </c>
      <c r="H141" s="9">
        <v>5.0</v>
      </c>
      <c r="I141" s="9" t="s">
        <v>944</v>
      </c>
      <c r="J141" s="9" t="s">
        <v>72</v>
      </c>
    </row>
    <row r="142" hidden="1">
      <c r="A142" s="16" t="s">
        <v>962</v>
      </c>
      <c r="B142" s="7" t="s">
        <v>22</v>
      </c>
      <c r="C142" s="40" t="s">
        <v>420</v>
      </c>
      <c r="D142" s="15">
        <v>1.0</v>
      </c>
      <c r="E142" s="15" t="s">
        <v>520</v>
      </c>
      <c r="G142" s="34"/>
      <c r="H142" s="15">
        <v>3.0</v>
      </c>
      <c r="I142" s="15" t="s">
        <v>423</v>
      </c>
      <c r="J142" s="15" t="s">
        <v>28</v>
      </c>
      <c r="K142" s="16" t="s">
        <v>963</v>
      </c>
      <c r="L142" s="13" t="s">
        <v>964</v>
      </c>
      <c r="M142" s="13" t="s">
        <v>965</v>
      </c>
      <c r="N142" s="13" t="s">
        <v>966</v>
      </c>
      <c r="O142" s="13" t="s">
        <v>967</v>
      </c>
      <c r="P142" s="13" t="s">
        <v>968</v>
      </c>
      <c r="Q142" s="13" t="s">
        <v>969</v>
      </c>
      <c r="R142" s="13" t="s">
        <v>970</v>
      </c>
    </row>
    <row r="143" hidden="1">
      <c r="A143" s="16" t="s">
        <v>971</v>
      </c>
      <c r="B143" s="7" t="s">
        <v>22</v>
      </c>
      <c r="C143" s="40" t="s">
        <v>972</v>
      </c>
      <c r="D143" s="15">
        <v>2.0</v>
      </c>
      <c r="E143" s="15" t="s">
        <v>540</v>
      </c>
      <c r="F143" s="16" t="s">
        <v>973</v>
      </c>
      <c r="G143" s="17" t="s">
        <v>664</v>
      </c>
      <c r="H143" s="15">
        <v>0.0</v>
      </c>
      <c r="I143" s="15" t="s">
        <v>974</v>
      </c>
      <c r="J143" s="15" t="s">
        <v>72</v>
      </c>
    </row>
    <row r="144" hidden="1">
      <c r="A144" s="16" t="s">
        <v>975</v>
      </c>
      <c r="B144" s="7" t="s">
        <v>22</v>
      </c>
      <c r="C144" s="40" t="s">
        <v>972</v>
      </c>
      <c r="D144" s="15">
        <v>2.0</v>
      </c>
      <c r="E144" s="15" t="s">
        <v>976</v>
      </c>
      <c r="F144" s="16" t="s">
        <v>977</v>
      </c>
      <c r="G144" s="17" t="s">
        <v>978</v>
      </c>
      <c r="H144" s="15">
        <v>3.0</v>
      </c>
      <c r="I144" s="15" t="s">
        <v>979</v>
      </c>
      <c r="J144" s="15" t="s">
        <v>72</v>
      </c>
    </row>
    <row r="145" hidden="1">
      <c r="A145" s="7" t="s">
        <v>980</v>
      </c>
      <c r="B145" s="7" t="s">
        <v>22</v>
      </c>
      <c r="C145" s="25" t="s">
        <v>972</v>
      </c>
      <c r="D145" s="9">
        <v>0.0</v>
      </c>
      <c r="E145" s="9" t="s">
        <v>652</v>
      </c>
      <c r="F145" s="7" t="s">
        <v>981</v>
      </c>
      <c r="G145" s="48" t="s">
        <v>982</v>
      </c>
      <c r="H145" s="9">
        <v>7.0</v>
      </c>
      <c r="I145" s="9" t="s">
        <v>983</v>
      </c>
      <c r="J145" s="9" t="s">
        <v>72</v>
      </c>
    </row>
    <row r="146" hidden="1">
      <c r="A146" s="16" t="s">
        <v>984</v>
      </c>
      <c r="B146" s="7" t="s">
        <v>22</v>
      </c>
      <c r="C146" s="40" t="s">
        <v>420</v>
      </c>
      <c r="D146" s="15">
        <v>1.0</v>
      </c>
      <c r="E146" s="15" t="s">
        <v>985</v>
      </c>
      <c r="G146" s="34"/>
      <c r="H146" s="15">
        <v>4.0</v>
      </c>
      <c r="I146" s="15" t="s">
        <v>639</v>
      </c>
      <c r="J146" s="15" t="s">
        <v>28</v>
      </c>
      <c r="K146" s="16" t="s">
        <v>986</v>
      </c>
      <c r="L146" s="13" t="s">
        <v>987</v>
      </c>
      <c r="M146" s="13" t="s">
        <v>988</v>
      </c>
      <c r="N146" s="13" t="s">
        <v>989</v>
      </c>
      <c r="O146" s="13" t="s">
        <v>990</v>
      </c>
      <c r="P146" s="13" t="s">
        <v>991</v>
      </c>
      <c r="Q146" s="13" t="s">
        <v>992</v>
      </c>
      <c r="R146" s="13" t="s">
        <v>993</v>
      </c>
      <c r="S146" s="13" t="s">
        <v>994</v>
      </c>
      <c r="T146" s="13" t="s">
        <v>995</v>
      </c>
      <c r="U146" s="13" t="s">
        <v>996</v>
      </c>
    </row>
    <row r="147" hidden="1">
      <c r="A147" s="7" t="s">
        <v>997</v>
      </c>
      <c r="B147" s="7" t="s">
        <v>22</v>
      </c>
      <c r="C147" s="25" t="s">
        <v>972</v>
      </c>
      <c r="D147" s="15">
        <v>2.0</v>
      </c>
      <c r="E147" s="9" t="s">
        <v>998</v>
      </c>
      <c r="F147" s="7" t="s">
        <v>999</v>
      </c>
      <c r="G147" s="10" t="s">
        <v>1000</v>
      </c>
      <c r="H147" s="9">
        <v>4.0</v>
      </c>
      <c r="I147" s="9" t="s">
        <v>979</v>
      </c>
      <c r="J147" s="9" t="s">
        <v>72</v>
      </c>
    </row>
    <row r="148" hidden="1">
      <c r="A148" s="24" t="s">
        <v>1001</v>
      </c>
      <c r="B148" s="7" t="s">
        <v>22</v>
      </c>
      <c r="C148" s="25" t="s">
        <v>420</v>
      </c>
      <c r="D148" s="15">
        <v>1.0</v>
      </c>
      <c r="E148" s="9" t="s">
        <v>589</v>
      </c>
      <c r="F148" s="7" t="s">
        <v>1002</v>
      </c>
      <c r="G148" s="76" t="s">
        <v>1003</v>
      </c>
      <c r="H148" s="21">
        <v>7.0</v>
      </c>
      <c r="I148" s="9" t="s">
        <v>1004</v>
      </c>
      <c r="J148" s="21" t="s">
        <v>34</v>
      </c>
      <c r="K148" s="11" t="s">
        <v>1005</v>
      </c>
      <c r="L148" s="13" t="s">
        <v>1006</v>
      </c>
      <c r="M148" s="13" t="s">
        <v>1007</v>
      </c>
      <c r="N148" s="13" t="s">
        <v>1008</v>
      </c>
      <c r="O148" s="13" t="s">
        <v>1009</v>
      </c>
      <c r="P148" s="13" t="s">
        <v>1010</v>
      </c>
      <c r="Q148" s="13" t="s">
        <v>1011</v>
      </c>
      <c r="R148" s="13" t="s">
        <v>1012</v>
      </c>
      <c r="S148" s="13" t="s">
        <v>1013</v>
      </c>
      <c r="T148" s="13" t="s">
        <v>1014</v>
      </c>
      <c r="U148" s="13" t="s">
        <v>1015</v>
      </c>
    </row>
    <row r="149" hidden="1">
      <c r="A149" s="22" t="s">
        <v>1016</v>
      </c>
      <c r="B149" s="7" t="s">
        <v>22</v>
      </c>
      <c r="C149" s="25" t="s">
        <v>972</v>
      </c>
      <c r="D149" s="9">
        <v>2.0</v>
      </c>
      <c r="E149" s="9" t="s">
        <v>1017</v>
      </c>
      <c r="F149" s="7" t="s">
        <v>1018</v>
      </c>
      <c r="G149" s="10" t="s">
        <v>1019</v>
      </c>
      <c r="H149" s="9">
        <v>5.0</v>
      </c>
      <c r="I149" s="9" t="s">
        <v>979</v>
      </c>
      <c r="J149" s="9" t="s">
        <v>72</v>
      </c>
    </row>
    <row r="150" ht="15.75" hidden="1" customHeight="1">
      <c r="A150" s="20" t="s">
        <v>1020</v>
      </c>
      <c r="B150" s="7" t="s">
        <v>22</v>
      </c>
      <c r="C150" s="25" t="s">
        <v>420</v>
      </c>
      <c r="D150" s="9">
        <v>1.0</v>
      </c>
      <c r="E150" s="21" t="s">
        <v>410</v>
      </c>
      <c r="G150" s="10" t="s">
        <v>1021</v>
      </c>
      <c r="H150" s="21">
        <v>5.0</v>
      </c>
      <c r="I150" s="9" t="s">
        <v>523</v>
      </c>
      <c r="J150" s="21" t="s">
        <v>28</v>
      </c>
      <c r="K150" s="11" t="s">
        <v>1022</v>
      </c>
      <c r="L150" s="13" t="s">
        <v>1023</v>
      </c>
      <c r="M150" s="13" t="s">
        <v>1024</v>
      </c>
      <c r="N150" s="13" t="s">
        <v>1025</v>
      </c>
      <c r="O150" s="13" t="s">
        <v>1026</v>
      </c>
      <c r="P150" s="13" t="s">
        <v>1027</v>
      </c>
      <c r="Q150" s="13" t="s">
        <v>1028</v>
      </c>
      <c r="R150" s="13" t="s">
        <v>1029</v>
      </c>
      <c r="S150" s="13" t="s">
        <v>1030</v>
      </c>
      <c r="T150" s="13" t="s">
        <v>1031</v>
      </c>
      <c r="U150" s="13" t="s">
        <v>1032</v>
      </c>
    </row>
    <row r="151" hidden="1">
      <c r="A151" s="16" t="s">
        <v>1033</v>
      </c>
      <c r="B151" s="7" t="s">
        <v>22</v>
      </c>
      <c r="C151" s="40" t="s">
        <v>420</v>
      </c>
      <c r="D151" s="15">
        <v>1.0</v>
      </c>
      <c r="E151" s="15" t="s">
        <v>435</v>
      </c>
      <c r="F151" s="16"/>
      <c r="G151" s="17" t="s">
        <v>1034</v>
      </c>
      <c r="H151" s="15">
        <v>9.0</v>
      </c>
      <c r="I151" s="15" t="s">
        <v>1035</v>
      </c>
      <c r="J151" s="9" t="s">
        <v>28</v>
      </c>
      <c r="K151" s="11" t="s">
        <v>1036</v>
      </c>
      <c r="L151" s="13" t="s">
        <v>1037</v>
      </c>
      <c r="M151" s="13" t="s">
        <v>1038</v>
      </c>
      <c r="N151" s="13" t="s">
        <v>1039</v>
      </c>
      <c r="O151" s="13" t="s">
        <v>1040</v>
      </c>
      <c r="P151" s="13" t="s">
        <v>1041</v>
      </c>
      <c r="Q151" s="13" t="s">
        <v>1042</v>
      </c>
      <c r="R151" s="13" t="s">
        <v>1043</v>
      </c>
      <c r="S151" s="13" t="s">
        <v>1044</v>
      </c>
      <c r="T151" s="13" t="s">
        <v>1045</v>
      </c>
      <c r="U151" s="13" t="s">
        <v>1046</v>
      </c>
    </row>
    <row r="152" hidden="1">
      <c r="A152" s="16" t="s">
        <v>1047</v>
      </c>
      <c r="B152" s="7" t="s">
        <v>22</v>
      </c>
      <c r="C152" s="40" t="s">
        <v>420</v>
      </c>
      <c r="D152" s="15">
        <v>1.0</v>
      </c>
      <c r="E152" s="15" t="s">
        <v>1048</v>
      </c>
      <c r="F152" s="16" t="s">
        <v>1049</v>
      </c>
      <c r="G152" s="17" t="s">
        <v>1050</v>
      </c>
      <c r="H152" s="15">
        <v>3.0</v>
      </c>
      <c r="I152" s="15" t="s">
        <v>527</v>
      </c>
      <c r="J152" s="15" t="s">
        <v>34</v>
      </c>
      <c r="K152" s="11" t="s">
        <v>1051</v>
      </c>
      <c r="L152" s="13" t="s">
        <v>1052</v>
      </c>
      <c r="M152" s="13" t="s">
        <v>1053</v>
      </c>
      <c r="N152" s="13" t="s">
        <v>1054</v>
      </c>
      <c r="O152" s="13" t="s">
        <v>1055</v>
      </c>
      <c r="P152" s="13" t="s">
        <v>1056</v>
      </c>
    </row>
    <row r="153" hidden="1">
      <c r="A153" s="16" t="s">
        <v>1057</v>
      </c>
      <c r="B153" s="7" t="s">
        <v>22</v>
      </c>
      <c r="C153" s="77" t="s">
        <v>1058</v>
      </c>
      <c r="D153" s="15">
        <v>2.0</v>
      </c>
      <c r="E153" s="15" t="s">
        <v>39</v>
      </c>
      <c r="F153" s="16" t="s">
        <v>1059</v>
      </c>
      <c r="G153" s="17" t="s">
        <v>1060</v>
      </c>
      <c r="H153" s="15">
        <v>2.0</v>
      </c>
      <c r="I153" s="15" t="s">
        <v>1061</v>
      </c>
      <c r="J153" s="15" t="s">
        <v>72</v>
      </c>
    </row>
    <row r="154" hidden="1">
      <c r="A154" s="31" t="s">
        <v>1062</v>
      </c>
      <c r="B154" s="7" t="s">
        <v>22</v>
      </c>
      <c r="C154" s="40" t="s">
        <v>420</v>
      </c>
      <c r="D154" s="15">
        <v>1.0</v>
      </c>
      <c r="E154" s="15" t="s">
        <v>435</v>
      </c>
      <c r="F154" s="31" t="s">
        <v>1063</v>
      </c>
      <c r="G154" s="16" t="s">
        <v>1064</v>
      </c>
      <c r="H154" s="15">
        <v>4.0</v>
      </c>
      <c r="I154" s="15" t="s">
        <v>518</v>
      </c>
      <c r="J154" s="15" t="s">
        <v>34</v>
      </c>
      <c r="K154" s="16" t="s">
        <v>1065</v>
      </c>
      <c r="L154" s="13" t="s">
        <v>1066</v>
      </c>
      <c r="M154" s="13" t="s">
        <v>1067</v>
      </c>
      <c r="N154" s="13" t="s">
        <v>1068</v>
      </c>
      <c r="O154" s="13" t="s">
        <v>1069</v>
      </c>
      <c r="P154" s="13" t="s">
        <v>1070</v>
      </c>
      <c r="Q154" s="13" t="s">
        <v>1071</v>
      </c>
      <c r="R154" s="13" t="s">
        <v>1072</v>
      </c>
    </row>
    <row r="155" hidden="1">
      <c r="A155" s="31" t="s">
        <v>1073</v>
      </c>
      <c r="B155" s="7" t="s">
        <v>22</v>
      </c>
      <c r="C155" s="40" t="s">
        <v>420</v>
      </c>
      <c r="D155" s="15">
        <v>1.0</v>
      </c>
      <c r="E155" s="15" t="s">
        <v>435</v>
      </c>
      <c r="F155" s="31" t="s">
        <v>1074</v>
      </c>
      <c r="G155" s="16" t="s">
        <v>1075</v>
      </c>
      <c r="H155" s="15">
        <v>4.0</v>
      </c>
      <c r="I155" s="15" t="s">
        <v>872</v>
      </c>
      <c r="J155" s="15" t="s">
        <v>34</v>
      </c>
      <c r="K155" s="16" t="s">
        <v>1076</v>
      </c>
      <c r="L155" s="13" t="s">
        <v>1077</v>
      </c>
      <c r="M155" s="13" t="s">
        <v>1078</v>
      </c>
      <c r="N155" s="13" t="s">
        <v>1079</v>
      </c>
      <c r="O155" s="13" t="s">
        <v>1080</v>
      </c>
      <c r="P155" s="13" t="s">
        <v>1081</v>
      </c>
      <c r="Q155" s="13" t="s">
        <v>1082</v>
      </c>
      <c r="R155" s="13" t="s">
        <v>1083</v>
      </c>
      <c r="S155" s="13" t="s">
        <v>1084</v>
      </c>
      <c r="T155" s="13" t="s">
        <v>1085</v>
      </c>
    </row>
    <row r="156" hidden="1">
      <c r="A156" s="31" t="s">
        <v>1086</v>
      </c>
      <c r="B156" s="7" t="s">
        <v>22</v>
      </c>
      <c r="C156" s="77" t="s">
        <v>1058</v>
      </c>
      <c r="D156" s="15">
        <v>2.0</v>
      </c>
      <c r="E156" s="15" t="s">
        <v>697</v>
      </c>
      <c r="F156" s="16" t="s">
        <v>1087</v>
      </c>
      <c r="G156" s="17" t="s">
        <v>698</v>
      </c>
      <c r="H156" s="15">
        <v>2.0</v>
      </c>
      <c r="I156" s="15" t="s">
        <v>1088</v>
      </c>
      <c r="J156" s="15" t="s">
        <v>28</v>
      </c>
    </row>
    <row r="157" hidden="1">
      <c r="A157" s="31" t="s">
        <v>1089</v>
      </c>
      <c r="B157" s="7" t="s">
        <v>22</v>
      </c>
      <c r="C157" s="40" t="s">
        <v>420</v>
      </c>
      <c r="D157" s="15">
        <v>1.0</v>
      </c>
      <c r="E157" s="15" t="s">
        <v>1090</v>
      </c>
      <c r="F157" s="16" t="s">
        <v>1091</v>
      </c>
      <c r="G157" s="34"/>
      <c r="H157" s="15">
        <v>3.0</v>
      </c>
      <c r="I157" s="15" t="s">
        <v>423</v>
      </c>
      <c r="J157" s="15" t="s">
        <v>34</v>
      </c>
      <c r="K157" s="16" t="s">
        <v>1092</v>
      </c>
      <c r="L157" s="13" t="s">
        <v>1093</v>
      </c>
      <c r="M157" s="13" t="s">
        <v>1094</v>
      </c>
      <c r="N157" s="13" t="s">
        <v>1095</v>
      </c>
      <c r="O157" s="13" t="s">
        <v>1096</v>
      </c>
      <c r="P157" s="13" t="s">
        <v>1097</v>
      </c>
      <c r="Q157" s="13" t="s">
        <v>1098</v>
      </c>
    </row>
    <row r="158" hidden="1">
      <c r="A158" s="16" t="s">
        <v>1099</v>
      </c>
      <c r="B158" s="7" t="s">
        <v>22</v>
      </c>
      <c r="C158" s="40" t="s">
        <v>420</v>
      </c>
      <c r="D158" s="15">
        <v>1.0</v>
      </c>
      <c r="E158" s="15" t="s">
        <v>1100</v>
      </c>
      <c r="G158" s="34"/>
      <c r="H158" s="15">
        <v>1.0</v>
      </c>
      <c r="I158" s="9" t="s">
        <v>441</v>
      </c>
      <c r="J158" s="15" t="s">
        <v>28</v>
      </c>
      <c r="K158" s="16" t="s">
        <v>1101</v>
      </c>
      <c r="L158" s="13" t="s">
        <v>1102</v>
      </c>
      <c r="M158" s="13" t="s">
        <v>1103</v>
      </c>
      <c r="N158" s="13" t="s">
        <v>1104</v>
      </c>
      <c r="O158" s="13" t="s">
        <v>1105</v>
      </c>
      <c r="P158" s="13" t="s">
        <v>1106</v>
      </c>
      <c r="Q158" s="13" t="s">
        <v>1107</v>
      </c>
      <c r="R158" s="13" t="s">
        <v>1108</v>
      </c>
    </row>
    <row r="159" hidden="1">
      <c r="A159" s="16" t="s">
        <v>1109</v>
      </c>
      <c r="B159" s="7" t="s">
        <v>22</v>
      </c>
      <c r="C159" s="40" t="s">
        <v>420</v>
      </c>
      <c r="D159" s="15">
        <v>1.0</v>
      </c>
      <c r="E159" s="15" t="s">
        <v>435</v>
      </c>
      <c r="F159" s="78" t="s">
        <v>1110</v>
      </c>
      <c r="G159" s="16" t="s">
        <v>1111</v>
      </c>
      <c r="H159" s="15">
        <v>1.0</v>
      </c>
      <c r="I159" s="15" t="s">
        <v>1112</v>
      </c>
      <c r="J159" s="15" t="s">
        <v>28</v>
      </c>
      <c r="K159" s="16" t="s">
        <v>1113</v>
      </c>
      <c r="L159" s="13" t="s">
        <v>1114</v>
      </c>
      <c r="M159" s="13" t="s">
        <v>1115</v>
      </c>
      <c r="N159" s="13" t="s">
        <v>1116</v>
      </c>
      <c r="O159" s="13" t="s">
        <v>1117</v>
      </c>
    </row>
    <row r="160" hidden="1">
      <c r="A160" s="16" t="s">
        <v>1118</v>
      </c>
      <c r="B160" s="7" t="s">
        <v>22</v>
      </c>
      <c r="C160" s="40" t="s">
        <v>1058</v>
      </c>
      <c r="D160" s="15">
        <v>2.0</v>
      </c>
      <c r="E160" s="15" t="s">
        <v>1119</v>
      </c>
      <c r="F160" s="16" t="s">
        <v>1120</v>
      </c>
      <c r="G160" s="17" t="s">
        <v>1121</v>
      </c>
      <c r="H160" s="15">
        <v>4.0</v>
      </c>
      <c r="I160" s="15" t="s">
        <v>1122</v>
      </c>
      <c r="J160" s="15" t="s">
        <v>34</v>
      </c>
    </row>
    <row r="161" hidden="1">
      <c r="A161" s="7" t="s">
        <v>1123</v>
      </c>
      <c r="B161" s="7" t="s">
        <v>22</v>
      </c>
      <c r="C161" s="7" t="s">
        <v>895</v>
      </c>
      <c r="D161" s="9">
        <v>1.0</v>
      </c>
      <c r="E161" s="9" t="s">
        <v>1124</v>
      </c>
      <c r="F161" s="7" t="s">
        <v>1125</v>
      </c>
      <c r="G161" s="10" t="s">
        <v>1126</v>
      </c>
      <c r="H161" s="9">
        <v>2.0</v>
      </c>
      <c r="I161" s="9" t="s">
        <v>898</v>
      </c>
      <c r="J161" s="9" t="s">
        <v>72</v>
      </c>
      <c r="K161" s="11" t="s">
        <v>1127</v>
      </c>
      <c r="L161" s="13" t="s">
        <v>1128</v>
      </c>
      <c r="M161" s="13" t="s">
        <v>1129</v>
      </c>
      <c r="N161" s="13" t="s">
        <v>1130</v>
      </c>
      <c r="O161" s="13" t="s">
        <v>1131</v>
      </c>
      <c r="P161" s="13" t="s">
        <v>1132</v>
      </c>
      <c r="Q161" s="13" t="s">
        <v>1133</v>
      </c>
      <c r="R161" s="13" t="s">
        <v>1134</v>
      </c>
      <c r="S161" s="13" t="s">
        <v>1135</v>
      </c>
      <c r="T161" s="13" t="s">
        <v>1136</v>
      </c>
      <c r="U161" s="13" t="s">
        <v>1137</v>
      </c>
    </row>
    <row r="162" hidden="1">
      <c r="A162" s="7" t="s">
        <v>1138</v>
      </c>
      <c r="B162" s="7" t="s">
        <v>22</v>
      </c>
      <c r="C162" s="7" t="s">
        <v>895</v>
      </c>
      <c r="D162" s="9">
        <v>1.0</v>
      </c>
      <c r="E162" s="9" t="s">
        <v>337</v>
      </c>
      <c r="F162" s="7" t="s">
        <v>1139</v>
      </c>
      <c r="G162" s="76" t="s">
        <v>1140</v>
      </c>
      <c r="H162" s="9">
        <v>5.0</v>
      </c>
      <c r="I162" s="9" t="s">
        <v>1141</v>
      </c>
      <c r="J162" s="9" t="s">
        <v>34</v>
      </c>
      <c r="K162" s="11" t="s">
        <v>1142</v>
      </c>
      <c r="L162" s="13" t="s">
        <v>1143</v>
      </c>
      <c r="M162" s="13" t="s">
        <v>1144</v>
      </c>
      <c r="N162" s="13" t="s">
        <v>1145</v>
      </c>
      <c r="O162" s="13" t="s">
        <v>1146</v>
      </c>
      <c r="P162" s="13" t="s">
        <v>1147</v>
      </c>
      <c r="Q162" s="13" t="s">
        <v>1148</v>
      </c>
      <c r="R162" s="13" t="s">
        <v>1149</v>
      </c>
      <c r="S162" s="13" t="s">
        <v>1150</v>
      </c>
    </row>
    <row r="163" hidden="1">
      <c r="A163" s="16" t="s">
        <v>1151</v>
      </c>
      <c r="B163" s="7" t="s">
        <v>22</v>
      </c>
      <c r="C163" s="79" t="s">
        <v>1058</v>
      </c>
      <c r="D163" s="15">
        <v>2.0</v>
      </c>
      <c r="E163" s="15" t="s">
        <v>39</v>
      </c>
      <c r="F163" s="16" t="s">
        <v>1152</v>
      </c>
      <c r="G163" s="17" t="s">
        <v>215</v>
      </c>
      <c r="H163" s="15">
        <v>2.0</v>
      </c>
      <c r="I163" s="15" t="s">
        <v>1153</v>
      </c>
      <c r="J163" s="9" t="s">
        <v>72</v>
      </c>
    </row>
    <row r="164" hidden="1">
      <c r="A164" s="16" t="s">
        <v>1154</v>
      </c>
      <c r="B164" s="7" t="s">
        <v>22</v>
      </c>
      <c r="C164" s="79" t="s">
        <v>1058</v>
      </c>
      <c r="D164" s="15">
        <v>2.0</v>
      </c>
      <c r="E164" s="15" t="s">
        <v>151</v>
      </c>
      <c r="F164" s="16" t="s">
        <v>1155</v>
      </c>
      <c r="G164" s="17" t="s">
        <v>1156</v>
      </c>
      <c r="H164" s="15">
        <v>4.0</v>
      </c>
      <c r="I164" s="15" t="s">
        <v>1153</v>
      </c>
      <c r="J164" s="15" t="s">
        <v>72</v>
      </c>
    </row>
    <row r="165" hidden="1">
      <c r="A165" s="18" t="s">
        <v>1157</v>
      </c>
      <c r="B165" s="7" t="s">
        <v>22</v>
      </c>
      <c r="C165" s="7" t="s">
        <v>895</v>
      </c>
      <c r="D165" s="9">
        <v>1.0</v>
      </c>
      <c r="E165" s="9" t="s">
        <v>1158</v>
      </c>
      <c r="F165" s="7"/>
      <c r="G165" s="10" t="s">
        <v>1159</v>
      </c>
      <c r="H165" s="9">
        <v>2.0</v>
      </c>
      <c r="I165" s="9" t="s">
        <v>1160</v>
      </c>
      <c r="J165" s="9" t="s">
        <v>28</v>
      </c>
      <c r="K165" s="11" t="s">
        <v>1161</v>
      </c>
      <c r="L165" s="13" t="s">
        <v>1162</v>
      </c>
      <c r="M165" s="13" t="s">
        <v>1163</v>
      </c>
      <c r="N165" s="13" t="s">
        <v>1164</v>
      </c>
      <c r="O165" s="13" t="s">
        <v>1165</v>
      </c>
      <c r="P165" s="13" t="s">
        <v>1166</v>
      </c>
      <c r="Q165" s="13" t="s">
        <v>1167</v>
      </c>
      <c r="R165" s="13" t="s">
        <v>1168</v>
      </c>
      <c r="S165" s="13" t="s">
        <v>1169</v>
      </c>
      <c r="T165" s="13" t="s">
        <v>1170</v>
      </c>
      <c r="U165" s="13" t="s">
        <v>1171</v>
      </c>
    </row>
    <row r="166" hidden="1">
      <c r="A166" s="80" t="s">
        <v>1172</v>
      </c>
      <c r="B166" s="7" t="s">
        <v>22</v>
      </c>
      <c r="C166" s="7" t="s">
        <v>918</v>
      </c>
      <c r="D166" s="9">
        <v>1.0</v>
      </c>
      <c r="E166" s="9" t="s">
        <v>589</v>
      </c>
      <c r="F166" s="7" t="s">
        <v>1173</v>
      </c>
      <c r="G166" s="10" t="s">
        <v>1174</v>
      </c>
      <c r="H166" s="9">
        <v>5.0</v>
      </c>
      <c r="I166" s="9" t="s">
        <v>944</v>
      </c>
      <c r="J166" s="9" t="s">
        <v>72</v>
      </c>
      <c r="K166" s="11" t="s">
        <v>1175</v>
      </c>
      <c r="L166" s="13" t="s">
        <v>1176</v>
      </c>
      <c r="M166" s="13" t="s">
        <v>1177</v>
      </c>
      <c r="N166" s="13" t="s">
        <v>1178</v>
      </c>
      <c r="O166" s="13" t="s">
        <v>1179</v>
      </c>
      <c r="P166" s="13" t="s">
        <v>1180</v>
      </c>
      <c r="Q166" s="13" t="s">
        <v>1181</v>
      </c>
      <c r="R166" s="13" t="s">
        <v>1182</v>
      </c>
      <c r="S166" s="13" t="s">
        <v>1183</v>
      </c>
      <c r="T166" s="13" t="s">
        <v>1184</v>
      </c>
      <c r="U166" s="13" t="s">
        <v>1185</v>
      </c>
    </row>
    <row r="167" hidden="1">
      <c r="A167" s="7" t="s">
        <v>1186</v>
      </c>
      <c r="B167" s="7" t="s">
        <v>22</v>
      </c>
      <c r="C167" s="81" t="s">
        <v>1058</v>
      </c>
      <c r="D167" s="9">
        <v>2.0</v>
      </c>
      <c r="E167" s="9" t="s">
        <v>39</v>
      </c>
      <c r="F167" s="82" t="s">
        <v>1187</v>
      </c>
      <c r="G167" s="10" t="s">
        <v>660</v>
      </c>
      <c r="H167" s="9">
        <v>3.0</v>
      </c>
      <c r="I167" s="9" t="s">
        <v>1088</v>
      </c>
      <c r="J167" s="9" t="s">
        <v>34</v>
      </c>
    </row>
    <row r="168" hidden="1">
      <c r="A168" s="7" t="s">
        <v>1188</v>
      </c>
      <c r="B168" s="7" t="s">
        <v>22</v>
      </c>
      <c r="C168" s="7" t="s">
        <v>918</v>
      </c>
      <c r="D168" s="9">
        <v>1.0</v>
      </c>
      <c r="E168" s="9" t="s">
        <v>329</v>
      </c>
      <c r="F168" s="7" t="s">
        <v>1189</v>
      </c>
      <c r="G168" s="10" t="s">
        <v>1190</v>
      </c>
      <c r="H168" s="9">
        <v>6.0</v>
      </c>
      <c r="I168" s="9" t="s">
        <v>1191</v>
      </c>
      <c r="J168" s="9" t="s">
        <v>34</v>
      </c>
      <c r="K168" s="11" t="s">
        <v>1192</v>
      </c>
      <c r="L168" s="13" t="s">
        <v>1193</v>
      </c>
      <c r="M168" s="13" t="s">
        <v>1194</v>
      </c>
      <c r="N168" s="13" t="s">
        <v>1195</v>
      </c>
      <c r="O168" s="13" t="s">
        <v>1196</v>
      </c>
      <c r="P168" s="13" t="s">
        <v>1197</v>
      </c>
      <c r="Q168" s="13" t="s">
        <v>1198</v>
      </c>
      <c r="R168" s="13" t="s">
        <v>1199</v>
      </c>
      <c r="S168" s="13" t="s">
        <v>1200</v>
      </c>
      <c r="T168" s="13" t="s">
        <v>1201</v>
      </c>
      <c r="U168" s="13" t="s">
        <v>1202</v>
      </c>
    </row>
    <row r="169" hidden="1">
      <c r="A169" s="16" t="s">
        <v>1203</v>
      </c>
      <c r="B169" s="7" t="s">
        <v>22</v>
      </c>
      <c r="C169" s="7" t="s">
        <v>918</v>
      </c>
      <c r="D169" s="9">
        <v>1.0</v>
      </c>
      <c r="E169" s="9" t="s">
        <v>1204</v>
      </c>
      <c r="F169" s="7"/>
      <c r="G169" s="10" t="s">
        <v>1205</v>
      </c>
      <c r="H169" s="9">
        <v>2.0</v>
      </c>
      <c r="I169" s="9" t="s">
        <v>1206</v>
      </c>
      <c r="J169" s="9" t="s">
        <v>28</v>
      </c>
      <c r="K169" s="11" t="s">
        <v>1207</v>
      </c>
      <c r="L169" s="13" t="s">
        <v>1208</v>
      </c>
      <c r="M169" s="13" t="s">
        <v>1209</v>
      </c>
      <c r="N169" s="13" t="s">
        <v>1210</v>
      </c>
      <c r="O169" s="13" t="s">
        <v>1211</v>
      </c>
      <c r="P169" s="13" t="s">
        <v>1212</v>
      </c>
      <c r="Q169" s="13" t="s">
        <v>1213</v>
      </c>
      <c r="R169" s="13" t="s">
        <v>1214</v>
      </c>
      <c r="S169" s="13" t="s">
        <v>1215</v>
      </c>
    </row>
    <row r="170" hidden="1">
      <c r="A170" s="22" t="s">
        <v>1216</v>
      </c>
      <c r="B170" s="7" t="s">
        <v>22</v>
      </c>
      <c r="C170" s="81" t="s">
        <v>1058</v>
      </c>
      <c r="D170" s="9">
        <v>2.0</v>
      </c>
      <c r="E170" s="9" t="s">
        <v>324</v>
      </c>
      <c r="F170" s="7" t="s">
        <v>1217</v>
      </c>
      <c r="G170" s="10" t="s">
        <v>1218</v>
      </c>
      <c r="H170" s="9">
        <v>3.0</v>
      </c>
      <c r="I170" s="9" t="s">
        <v>1061</v>
      </c>
      <c r="J170" s="9" t="s">
        <v>72</v>
      </c>
    </row>
    <row r="171" hidden="1">
      <c r="A171" s="22" t="s">
        <v>1219</v>
      </c>
      <c r="B171" s="7" t="s">
        <v>22</v>
      </c>
      <c r="C171" s="81" t="s">
        <v>1058</v>
      </c>
      <c r="D171" s="9">
        <v>2.0</v>
      </c>
      <c r="E171" s="9" t="s">
        <v>448</v>
      </c>
      <c r="F171" s="7" t="s">
        <v>1220</v>
      </c>
      <c r="G171" s="10" t="s">
        <v>1221</v>
      </c>
      <c r="H171" s="9">
        <v>2.0</v>
      </c>
      <c r="I171" s="9" t="s">
        <v>1222</v>
      </c>
      <c r="J171" s="9" t="s">
        <v>28</v>
      </c>
    </row>
    <row r="172" hidden="1">
      <c r="A172" s="16" t="s">
        <v>1223</v>
      </c>
      <c r="B172" s="7" t="s">
        <v>22</v>
      </c>
      <c r="C172" s="79" t="s">
        <v>1058</v>
      </c>
      <c r="D172" s="15">
        <v>2.0</v>
      </c>
      <c r="E172" s="15" t="s">
        <v>151</v>
      </c>
      <c r="F172" s="16" t="s">
        <v>1224</v>
      </c>
      <c r="G172" s="17" t="s">
        <v>664</v>
      </c>
      <c r="H172" s="15">
        <v>4.0</v>
      </c>
      <c r="I172" s="15" t="s">
        <v>1225</v>
      </c>
      <c r="J172" s="15" t="s">
        <v>72</v>
      </c>
    </row>
    <row r="173" hidden="1">
      <c r="A173" s="22" t="s">
        <v>1226</v>
      </c>
      <c r="B173" s="7" t="s">
        <v>22</v>
      </c>
      <c r="C173" s="81" t="s">
        <v>1058</v>
      </c>
      <c r="D173" s="9">
        <v>2.0</v>
      </c>
      <c r="E173" s="9" t="s">
        <v>324</v>
      </c>
      <c r="F173" s="7" t="s">
        <v>1227</v>
      </c>
      <c r="G173" s="10" t="s">
        <v>1228</v>
      </c>
      <c r="H173" s="9">
        <v>4.0</v>
      </c>
      <c r="I173" s="9" t="s">
        <v>1225</v>
      </c>
      <c r="J173" s="15" t="s">
        <v>72</v>
      </c>
    </row>
    <row r="174" hidden="1">
      <c r="A174" s="16" t="s">
        <v>1229</v>
      </c>
      <c r="B174" s="7" t="s">
        <v>22</v>
      </c>
      <c r="C174" s="79" t="s">
        <v>1058</v>
      </c>
      <c r="D174" s="15">
        <v>2.0</v>
      </c>
      <c r="E174" s="15" t="s">
        <v>39</v>
      </c>
      <c r="F174" s="16" t="s">
        <v>1230</v>
      </c>
      <c r="G174" s="17" t="s">
        <v>1231</v>
      </c>
      <c r="H174" s="15">
        <v>1.0</v>
      </c>
      <c r="I174" s="15" t="s">
        <v>1222</v>
      </c>
      <c r="J174" s="15" t="s">
        <v>28</v>
      </c>
    </row>
    <row r="175" hidden="1">
      <c r="A175" s="7" t="s">
        <v>1232</v>
      </c>
      <c r="B175" s="7" t="s">
        <v>22</v>
      </c>
      <c r="C175" s="7" t="s">
        <v>972</v>
      </c>
      <c r="D175" s="15">
        <v>1.0</v>
      </c>
      <c r="E175" s="9" t="s">
        <v>1233</v>
      </c>
      <c r="F175" s="7" t="s">
        <v>1234</v>
      </c>
      <c r="G175" s="10" t="s">
        <v>1235</v>
      </c>
      <c r="H175" s="9">
        <v>5.0</v>
      </c>
      <c r="I175" s="9" t="s">
        <v>979</v>
      </c>
      <c r="J175" s="9" t="s">
        <v>72</v>
      </c>
      <c r="K175" s="11" t="s">
        <v>1236</v>
      </c>
      <c r="L175" s="13" t="s">
        <v>1237</v>
      </c>
      <c r="M175" s="13" t="s">
        <v>1238</v>
      </c>
      <c r="N175" s="13" t="s">
        <v>1239</v>
      </c>
      <c r="O175" s="13" t="s">
        <v>1240</v>
      </c>
      <c r="P175" s="13" t="s">
        <v>1241</v>
      </c>
      <c r="Q175" s="13" t="s">
        <v>1242</v>
      </c>
    </row>
    <row r="176" hidden="1">
      <c r="A176" s="16" t="s">
        <v>1243</v>
      </c>
      <c r="B176" s="7" t="s">
        <v>22</v>
      </c>
      <c r="C176" s="79" t="s">
        <v>1058</v>
      </c>
      <c r="D176" s="15">
        <v>2.0</v>
      </c>
      <c r="E176" s="15" t="s">
        <v>151</v>
      </c>
      <c r="F176" s="16" t="s">
        <v>1244</v>
      </c>
      <c r="G176" s="17" t="s">
        <v>1245</v>
      </c>
      <c r="H176" s="15">
        <v>3.0</v>
      </c>
      <c r="I176" s="15" t="s">
        <v>1225</v>
      </c>
      <c r="J176" s="15" t="s">
        <v>28</v>
      </c>
    </row>
    <row r="177" hidden="1">
      <c r="A177" s="7" t="s">
        <v>1246</v>
      </c>
      <c r="B177" s="7" t="s">
        <v>22</v>
      </c>
      <c r="C177" s="7" t="s">
        <v>972</v>
      </c>
      <c r="D177" s="9">
        <v>1.0</v>
      </c>
      <c r="E177" s="9" t="s">
        <v>814</v>
      </c>
      <c r="F177" s="7" t="s">
        <v>1247</v>
      </c>
      <c r="G177" s="10" t="s">
        <v>1248</v>
      </c>
      <c r="H177" s="9">
        <v>5.0</v>
      </c>
      <c r="I177" s="9" t="s">
        <v>1249</v>
      </c>
      <c r="J177" s="9" t="s">
        <v>34</v>
      </c>
      <c r="K177" s="11" t="s">
        <v>1250</v>
      </c>
      <c r="L177" s="13" t="s">
        <v>1251</v>
      </c>
      <c r="M177" s="13" t="s">
        <v>1252</v>
      </c>
      <c r="N177" s="13" t="s">
        <v>1253</v>
      </c>
    </row>
    <row r="178" hidden="1">
      <c r="A178" s="52" t="s">
        <v>1254</v>
      </c>
      <c r="B178" s="7" t="s">
        <v>22</v>
      </c>
      <c r="C178" s="81" t="s">
        <v>1058</v>
      </c>
      <c r="D178" s="9">
        <v>2.0</v>
      </c>
      <c r="E178" s="9" t="s">
        <v>337</v>
      </c>
      <c r="F178" s="7" t="s">
        <v>1255</v>
      </c>
      <c r="G178" s="10" t="s">
        <v>1256</v>
      </c>
      <c r="H178" s="9">
        <v>3.0</v>
      </c>
      <c r="I178" s="9" t="s">
        <v>1153</v>
      </c>
      <c r="J178" s="9" t="s">
        <v>72</v>
      </c>
    </row>
    <row r="179" hidden="1">
      <c r="A179" s="7" t="s">
        <v>1257</v>
      </c>
      <c r="B179" s="7" t="s">
        <v>22</v>
      </c>
      <c r="C179" s="7" t="s">
        <v>972</v>
      </c>
      <c r="D179" s="9">
        <v>1.0</v>
      </c>
      <c r="E179" s="9" t="s">
        <v>1258</v>
      </c>
      <c r="F179" s="7"/>
      <c r="G179" s="10" t="s">
        <v>1259</v>
      </c>
      <c r="H179" s="9">
        <v>2.0</v>
      </c>
      <c r="I179" s="9" t="s">
        <v>974</v>
      </c>
      <c r="J179" s="9" t="s">
        <v>28</v>
      </c>
      <c r="K179" s="11" t="s">
        <v>1260</v>
      </c>
      <c r="L179" s="13" t="s">
        <v>1261</v>
      </c>
      <c r="M179" s="13" t="s">
        <v>1262</v>
      </c>
      <c r="N179" s="13" t="s">
        <v>1263</v>
      </c>
      <c r="O179" s="13" t="s">
        <v>1264</v>
      </c>
      <c r="P179" s="13" t="s">
        <v>1265</v>
      </c>
      <c r="Q179" s="13" t="s">
        <v>1266</v>
      </c>
      <c r="R179" s="13" t="s">
        <v>1267</v>
      </c>
      <c r="S179" s="13" t="s">
        <v>1268</v>
      </c>
      <c r="T179" s="13" t="s">
        <v>1269</v>
      </c>
      <c r="U179" s="13" t="s">
        <v>1270</v>
      </c>
    </row>
    <row r="180" hidden="1">
      <c r="A180" s="7" t="s">
        <v>1271</v>
      </c>
      <c r="B180" s="7" t="s">
        <v>22</v>
      </c>
      <c r="C180" s="7" t="s">
        <v>1058</v>
      </c>
      <c r="D180" s="9">
        <v>1.0</v>
      </c>
      <c r="E180" s="15" t="s">
        <v>655</v>
      </c>
      <c r="F180" s="16" t="s">
        <v>1272</v>
      </c>
      <c r="G180" s="38" t="s">
        <v>1273</v>
      </c>
      <c r="H180" s="15">
        <v>3.0</v>
      </c>
      <c r="I180" s="15" t="s">
        <v>1061</v>
      </c>
      <c r="J180" s="9" t="s">
        <v>28</v>
      </c>
      <c r="K180" s="11" t="s">
        <v>1274</v>
      </c>
      <c r="L180" s="13" t="s">
        <v>1275</v>
      </c>
      <c r="M180" s="13" t="s">
        <v>1276</v>
      </c>
      <c r="N180" s="13" t="s">
        <v>1277</v>
      </c>
      <c r="O180" s="13" t="s">
        <v>1278</v>
      </c>
      <c r="P180" s="13" t="s">
        <v>1279</v>
      </c>
      <c r="Q180" s="13" t="s">
        <v>1276</v>
      </c>
      <c r="R180" s="13" t="s">
        <v>1280</v>
      </c>
    </row>
    <row r="181" hidden="1">
      <c r="A181" s="22" t="s">
        <v>1281</v>
      </c>
      <c r="B181" s="7" t="s">
        <v>22</v>
      </c>
      <c r="C181" s="81" t="s">
        <v>1058</v>
      </c>
      <c r="D181" s="15">
        <v>2.0</v>
      </c>
      <c r="E181" s="9" t="s">
        <v>82</v>
      </c>
      <c r="F181" s="7" t="s">
        <v>1282</v>
      </c>
      <c r="G181" s="10" t="s">
        <v>1283</v>
      </c>
      <c r="H181" s="9">
        <v>3.0</v>
      </c>
      <c r="I181" s="9" t="s">
        <v>1153</v>
      </c>
      <c r="J181" s="9" t="s">
        <v>72</v>
      </c>
    </row>
    <row r="182" ht="14.25" hidden="1" customHeight="1">
      <c r="A182" s="7" t="s">
        <v>1284</v>
      </c>
      <c r="B182" s="7" t="s">
        <v>22</v>
      </c>
      <c r="C182" s="7" t="s">
        <v>1058</v>
      </c>
      <c r="D182" s="9">
        <v>1.0</v>
      </c>
      <c r="E182" s="9" t="s">
        <v>662</v>
      </c>
      <c r="F182" s="7" t="s">
        <v>1285</v>
      </c>
      <c r="G182" s="10" t="s">
        <v>1286</v>
      </c>
      <c r="H182" s="9">
        <v>1.0</v>
      </c>
      <c r="I182" s="9" t="s">
        <v>1088</v>
      </c>
      <c r="J182" s="9" t="s">
        <v>28</v>
      </c>
      <c r="K182" s="11" t="s">
        <v>1287</v>
      </c>
      <c r="L182" s="13" t="s">
        <v>1288</v>
      </c>
      <c r="M182" s="13" t="s">
        <v>1289</v>
      </c>
      <c r="N182" s="13" t="s">
        <v>1290</v>
      </c>
      <c r="O182" s="13" t="s">
        <v>1291</v>
      </c>
      <c r="P182" s="13" t="s">
        <v>1292</v>
      </c>
      <c r="Q182" s="13" t="s">
        <v>1293</v>
      </c>
      <c r="R182" s="13" t="s">
        <v>1294</v>
      </c>
    </row>
    <row r="183" hidden="1">
      <c r="A183" s="7" t="s">
        <v>1295</v>
      </c>
      <c r="B183" s="7" t="s">
        <v>22</v>
      </c>
      <c r="C183" s="81" t="s">
        <v>1058</v>
      </c>
      <c r="D183" s="15">
        <v>2.0</v>
      </c>
      <c r="E183" s="9" t="s">
        <v>39</v>
      </c>
      <c r="F183" s="83" t="s">
        <v>1296</v>
      </c>
      <c r="G183" s="10" t="s">
        <v>1297</v>
      </c>
      <c r="H183" s="9">
        <v>3.0</v>
      </c>
      <c r="I183" s="9" t="s">
        <v>1153</v>
      </c>
      <c r="J183" s="9" t="s">
        <v>72</v>
      </c>
    </row>
    <row r="184" ht="16.5" hidden="1" customHeight="1">
      <c r="A184" s="22" t="s">
        <v>1298</v>
      </c>
      <c r="B184" s="7" t="s">
        <v>22</v>
      </c>
      <c r="C184" s="81" t="s">
        <v>1058</v>
      </c>
      <c r="D184" s="9">
        <v>0.0</v>
      </c>
      <c r="E184" s="9" t="s">
        <v>240</v>
      </c>
      <c r="F184" s="7" t="s">
        <v>1299</v>
      </c>
      <c r="G184" s="10" t="s">
        <v>1300</v>
      </c>
      <c r="H184" s="9">
        <v>4.0</v>
      </c>
      <c r="I184" s="9" t="s">
        <v>1225</v>
      </c>
      <c r="J184" s="15" t="s">
        <v>72</v>
      </c>
    </row>
    <row r="185" hidden="1">
      <c r="A185" s="16" t="s">
        <v>1301</v>
      </c>
      <c r="B185" s="7" t="s">
        <v>22</v>
      </c>
      <c r="C185" s="81" t="s">
        <v>1058</v>
      </c>
      <c r="D185" s="9">
        <v>2.0</v>
      </c>
      <c r="E185" s="9" t="s">
        <v>1017</v>
      </c>
      <c r="F185" s="7" t="s">
        <v>1302</v>
      </c>
      <c r="G185" s="10" t="s">
        <v>660</v>
      </c>
      <c r="H185" s="9">
        <v>2.0</v>
      </c>
      <c r="I185" s="9" t="s">
        <v>1303</v>
      </c>
      <c r="J185" s="9" t="s">
        <v>72</v>
      </c>
    </row>
    <row r="186" hidden="1">
      <c r="A186" s="16" t="s">
        <v>1304</v>
      </c>
      <c r="B186" s="7" t="s">
        <v>22</v>
      </c>
      <c r="C186" s="7" t="s">
        <v>1058</v>
      </c>
      <c r="D186" s="9">
        <v>1.0</v>
      </c>
      <c r="E186" s="9" t="s">
        <v>39</v>
      </c>
      <c r="F186" s="7" t="s">
        <v>62</v>
      </c>
      <c r="G186" s="10" t="s">
        <v>1305</v>
      </c>
      <c r="H186" s="9">
        <v>1.0</v>
      </c>
      <c r="I186" s="9" t="s">
        <v>1222</v>
      </c>
      <c r="J186" s="9" t="s">
        <v>28</v>
      </c>
      <c r="K186" s="11" t="s">
        <v>1306</v>
      </c>
      <c r="L186" s="13" t="s">
        <v>1307</v>
      </c>
      <c r="M186" s="13" t="s">
        <v>1308</v>
      </c>
      <c r="N186" s="13" t="s">
        <v>1309</v>
      </c>
      <c r="O186" s="13" t="s">
        <v>1310</v>
      </c>
      <c r="P186" s="13" t="s">
        <v>1311</v>
      </c>
      <c r="Q186" s="13" t="s">
        <v>1312</v>
      </c>
      <c r="R186" s="13" t="s">
        <v>1313</v>
      </c>
      <c r="S186" s="13" t="s">
        <v>1314</v>
      </c>
      <c r="T186" s="13" t="s">
        <v>1315</v>
      </c>
    </row>
    <row r="187" hidden="1">
      <c r="A187" s="16" t="s">
        <v>1316</v>
      </c>
      <c r="B187" s="7" t="s">
        <v>22</v>
      </c>
      <c r="C187" s="79" t="s">
        <v>1058</v>
      </c>
      <c r="D187" s="15">
        <v>2.0</v>
      </c>
      <c r="E187" s="15" t="s">
        <v>113</v>
      </c>
      <c r="F187" s="16" t="s">
        <v>1317</v>
      </c>
      <c r="G187" s="17" t="s">
        <v>1318</v>
      </c>
      <c r="H187" s="15">
        <v>1.0</v>
      </c>
      <c r="I187" s="15" t="s">
        <v>1222</v>
      </c>
      <c r="J187" s="15" t="s">
        <v>28</v>
      </c>
    </row>
    <row r="188" hidden="1">
      <c r="A188" s="22" t="s">
        <v>1319</v>
      </c>
      <c r="B188" s="7" t="s">
        <v>22</v>
      </c>
      <c r="C188" s="7" t="s">
        <v>1058</v>
      </c>
      <c r="D188" s="9">
        <v>1.0</v>
      </c>
      <c r="E188" s="9" t="s">
        <v>135</v>
      </c>
      <c r="F188" s="7" t="s">
        <v>1320</v>
      </c>
      <c r="G188" s="10" t="s">
        <v>1321</v>
      </c>
      <c r="H188" s="9">
        <v>3.0</v>
      </c>
      <c r="I188" s="9" t="s">
        <v>1322</v>
      </c>
      <c r="J188" s="9" t="s">
        <v>28</v>
      </c>
      <c r="K188" s="11" t="s">
        <v>1323</v>
      </c>
      <c r="L188" s="13" t="s">
        <v>1324</v>
      </c>
      <c r="M188" s="13" t="s">
        <v>1325</v>
      </c>
      <c r="N188" s="13" t="s">
        <v>1326</v>
      </c>
      <c r="O188" s="13" t="s">
        <v>1327</v>
      </c>
      <c r="P188" s="13" t="s">
        <v>1328</v>
      </c>
    </row>
    <row r="189" hidden="1">
      <c r="A189" s="22" t="s">
        <v>1329</v>
      </c>
      <c r="B189" s="7" t="s">
        <v>22</v>
      </c>
      <c r="C189" s="7" t="s">
        <v>1058</v>
      </c>
      <c r="D189" s="9">
        <v>1.0</v>
      </c>
      <c r="E189" s="9" t="s">
        <v>435</v>
      </c>
      <c r="F189" s="7" t="s">
        <v>1330</v>
      </c>
      <c r="G189" s="10" t="s">
        <v>1331</v>
      </c>
      <c r="H189" s="9">
        <v>2.0</v>
      </c>
      <c r="I189" s="9" t="s">
        <v>1153</v>
      </c>
      <c r="J189" s="9" t="s">
        <v>28</v>
      </c>
      <c r="K189" s="11" t="s">
        <v>1332</v>
      </c>
      <c r="L189" s="13" t="s">
        <v>1333</v>
      </c>
      <c r="M189" s="13" t="s">
        <v>1334</v>
      </c>
      <c r="N189" s="13" t="s">
        <v>1335</v>
      </c>
      <c r="O189" s="13" t="s">
        <v>1336</v>
      </c>
      <c r="P189" s="13" t="s">
        <v>1337</v>
      </c>
      <c r="Q189" s="13" t="s">
        <v>1338</v>
      </c>
      <c r="R189" s="13" t="s">
        <v>1339</v>
      </c>
    </row>
    <row r="190" hidden="1">
      <c r="A190" s="22" t="s">
        <v>1340</v>
      </c>
      <c r="B190" s="7" t="s">
        <v>22</v>
      </c>
      <c r="C190" s="7" t="s">
        <v>1058</v>
      </c>
      <c r="D190" s="9">
        <v>1.0</v>
      </c>
      <c r="E190" s="9" t="s">
        <v>82</v>
      </c>
      <c r="F190" s="7" t="s">
        <v>1341</v>
      </c>
      <c r="G190" s="10" t="s">
        <v>1342</v>
      </c>
      <c r="H190" s="9">
        <v>4.0</v>
      </c>
      <c r="I190" s="9" t="s">
        <v>1343</v>
      </c>
      <c r="J190" s="9" t="s">
        <v>28</v>
      </c>
      <c r="K190" s="11" t="s">
        <v>1344</v>
      </c>
      <c r="L190" s="13" t="s">
        <v>1345</v>
      </c>
      <c r="M190" s="13" t="s">
        <v>1346</v>
      </c>
      <c r="N190" s="13" t="s">
        <v>1347</v>
      </c>
      <c r="O190" s="13" t="s">
        <v>1348</v>
      </c>
      <c r="P190" s="13" t="s">
        <v>1349</v>
      </c>
    </row>
    <row r="191" hidden="1">
      <c r="A191" s="7" t="s">
        <v>1350</v>
      </c>
      <c r="B191" s="7" t="s">
        <v>22</v>
      </c>
      <c r="C191" s="7" t="s">
        <v>1058</v>
      </c>
      <c r="D191" s="9">
        <v>1.0</v>
      </c>
      <c r="E191" s="9" t="s">
        <v>1017</v>
      </c>
      <c r="F191" s="74" t="s">
        <v>1351</v>
      </c>
      <c r="G191" s="17" t="s">
        <v>1352</v>
      </c>
      <c r="H191" s="9">
        <v>6.0</v>
      </c>
      <c r="I191" s="9" t="s">
        <v>1353</v>
      </c>
      <c r="J191" s="9" t="s">
        <v>28</v>
      </c>
      <c r="K191" s="11" t="s">
        <v>1354</v>
      </c>
      <c r="L191" s="13" t="s">
        <v>1355</v>
      </c>
      <c r="M191" s="13" t="s">
        <v>1356</v>
      </c>
      <c r="N191" s="13" t="s">
        <v>1357</v>
      </c>
      <c r="O191" s="13" t="s">
        <v>1358</v>
      </c>
      <c r="P191" s="13" t="s">
        <v>1359</v>
      </c>
      <c r="Q191" s="13" t="s">
        <v>1360</v>
      </c>
    </row>
    <row r="192" hidden="1">
      <c r="A192" s="22" t="s">
        <v>1361</v>
      </c>
      <c r="B192" s="7" t="s">
        <v>22</v>
      </c>
      <c r="C192" s="81" t="s">
        <v>1058</v>
      </c>
      <c r="D192" s="9">
        <v>2.0</v>
      </c>
      <c r="E192" s="9" t="s">
        <v>113</v>
      </c>
      <c r="F192" s="7" t="s">
        <v>1362</v>
      </c>
      <c r="G192" s="10" t="s">
        <v>1363</v>
      </c>
      <c r="H192" s="9">
        <v>1.0</v>
      </c>
      <c r="I192" s="9" t="s">
        <v>1088</v>
      </c>
      <c r="J192" s="9" t="s">
        <v>28</v>
      </c>
    </row>
    <row r="193" hidden="1">
      <c r="A193" s="7" t="s">
        <v>1364</v>
      </c>
      <c r="B193" s="7" t="s">
        <v>22</v>
      </c>
      <c r="C193" s="81" t="s">
        <v>1058</v>
      </c>
      <c r="D193" s="15">
        <v>2.0</v>
      </c>
      <c r="E193" s="9" t="s">
        <v>252</v>
      </c>
      <c r="F193" s="7" t="s">
        <v>1365</v>
      </c>
      <c r="G193" s="10" t="s">
        <v>26</v>
      </c>
      <c r="H193" s="9">
        <v>6.0</v>
      </c>
      <c r="I193" s="9" t="s">
        <v>1322</v>
      </c>
      <c r="J193" s="9" t="s">
        <v>34</v>
      </c>
    </row>
    <row r="194" hidden="1">
      <c r="A194" s="24" t="s">
        <v>1366</v>
      </c>
      <c r="B194" s="7" t="s">
        <v>22</v>
      </c>
      <c r="C194" s="7" t="s">
        <v>1058</v>
      </c>
      <c r="D194" s="9">
        <v>1.0</v>
      </c>
      <c r="E194" s="21" t="s">
        <v>113</v>
      </c>
      <c r="F194" s="74" t="s">
        <v>1367</v>
      </c>
      <c r="G194" s="64" t="s">
        <v>1368</v>
      </c>
      <c r="H194" s="9">
        <v>2.0</v>
      </c>
      <c r="I194" s="9" t="s">
        <v>1369</v>
      </c>
      <c r="J194" s="15" t="s">
        <v>28</v>
      </c>
      <c r="K194" s="11" t="s">
        <v>1370</v>
      </c>
      <c r="L194" s="13" t="s">
        <v>1371</v>
      </c>
      <c r="M194" s="13" t="s">
        <v>1372</v>
      </c>
      <c r="N194" s="13" t="s">
        <v>1373</v>
      </c>
      <c r="O194" s="13" t="s">
        <v>1374</v>
      </c>
      <c r="P194" s="13" t="s">
        <v>1375</v>
      </c>
    </row>
    <row r="195" hidden="1">
      <c r="A195" s="16" t="s">
        <v>1376</v>
      </c>
      <c r="B195" s="7" t="s">
        <v>22</v>
      </c>
      <c r="C195" s="79" t="s">
        <v>1058</v>
      </c>
      <c r="D195" s="15">
        <v>2.0</v>
      </c>
      <c r="E195" s="15" t="s">
        <v>1017</v>
      </c>
      <c r="F195" s="16" t="s">
        <v>1377</v>
      </c>
      <c r="G195" s="17" t="s">
        <v>26</v>
      </c>
      <c r="H195" s="15">
        <v>1.0</v>
      </c>
      <c r="I195" s="15" t="s">
        <v>1222</v>
      </c>
      <c r="J195" s="15" t="s">
        <v>28</v>
      </c>
    </row>
    <row r="196" hidden="1">
      <c r="A196" s="16" t="s">
        <v>1378</v>
      </c>
      <c r="B196" s="7" t="s">
        <v>22</v>
      </c>
      <c r="C196" s="7" t="s">
        <v>1058</v>
      </c>
      <c r="D196" s="9">
        <v>1.0</v>
      </c>
      <c r="E196" s="9" t="s">
        <v>448</v>
      </c>
      <c r="F196" s="7" t="s">
        <v>1379</v>
      </c>
      <c r="G196" s="10" t="s">
        <v>1380</v>
      </c>
      <c r="H196" s="9">
        <v>1.0</v>
      </c>
      <c r="I196" s="9" t="s">
        <v>1088</v>
      </c>
      <c r="J196" s="21" t="s">
        <v>28</v>
      </c>
      <c r="K196" s="11" t="s">
        <v>1381</v>
      </c>
      <c r="L196" s="13" t="s">
        <v>1382</v>
      </c>
      <c r="M196" s="13" t="s">
        <v>1383</v>
      </c>
      <c r="N196" s="13" t="s">
        <v>1384</v>
      </c>
      <c r="O196" s="13" t="s">
        <v>1385</v>
      </c>
      <c r="P196" s="13" t="s">
        <v>1386</v>
      </c>
      <c r="Q196" s="13" t="s">
        <v>1387</v>
      </c>
      <c r="R196" s="13" t="s">
        <v>1388</v>
      </c>
    </row>
    <row r="197" hidden="1">
      <c r="A197" s="7" t="s">
        <v>1389</v>
      </c>
      <c r="B197" s="7" t="s">
        <v>22</v>
      </c>
      <c r="C197" s="7" t="s">
        <v>1058</v>
      </c>
      <c r="D197" s="9">
        <v>1.0</v>
      </c>
      <c r="E197" s="9" t="s">
        <v>1017</v>
      </c>
      <c r="F197" s="7" t="s">
        <v>1390</v>
      </c>
      <c r="G197" s="10" t="s">
        <v>1391</v>
      </c>
      <c r="H197" s="9">
        <v>0.0</v>
      </c>
      <c r="I197" s="9" t="s">
        <v>1343</v>
      </c>
      <c r="J197" s="9" t="s">
        <v>28</v>
      </c>
      <c r="K197" s="11" t="s">
        <v>1392</v>
      </c>
      <c r="L197" s="13" t="s">
        <v>1393</v>
      </c>
      <c r="M197" s="13" t="s">
        <v>1394</v>
      </c>
      <c r="N197" s="13" t="s">
        <v>1395</v>
      </c>
      <c r="O197" s="13" t="s">
        <v>1396</v>
      </c>
      <c r="P197" s="13" t="s">
        <v>1397</v>
      </c>
    </row>
    <row r="198" hidden="1">
      <c r="A198" s="7" t="s">
        <v>1398</v>
      </c>
      <c r="B198" s="7" t="s">
        <v>22</v>
      </c>
      <c r="C198" s="7" t="s">
        <v>1058</v>
      </c>
      <c r="D198" s="9">
        <v>1.0</v>
      </c>
      <c r="E198" s="9" t="s">
        <v>113</v>
      </c>
      <c r="F198" s="74" t="s">
        <v>1399</v>
      </c>
      <c r="G198" s="84" t="s">
        <v>1400</v>
      </c>
      <c r="H198" s="9">
        <v>2.0</v>
      </c>
      <c r="I198" s="9" t="s">
        <v>1061</v>
      </c>
      <c r="J198" s="9" t="s">
        <v>28</v>
      </c>
      <c r="K198" s="11" t="s">
        <v>1401</v>
      </c>
      <c r="L198" s="13" t="s">
        <v>1402</v>
      </c>
      <c r="M198" s="13" t="s">
        <v>1403</v>
      </c>
    </row>
    <row r="199" hidden="1">
      <c r="A199" s="16" t="s">
        <v>1404</v>
      </c>
      <c r="B199" s="7" t="s">
        <v>22</v>
      </c>
      <c r="C199" s="7" t="s">
        <v>1058</v>
      </c>
      <c r="D199" s="9">
        <v>1.0</v>
      </c>
      <c r="E199" s="9" t="s">
        <v>151</v>
      </c>
      <c r="F199" s="32" t="s">
        <v>1405</v>
      </c>
      <c r="G199" s="10" t="s">
        <v>1406</v>
      </c>
      <c r="H199" s="9">
        <v>4.0</v>
      </c>
      <c r="I199" s="9" t="s">
        <v>1153</v>
      </c>
      <c r="J199" s="9" t="s">
        <v>72</v>
      </c>
      <c r="K199" s="11" t="s">
        <v>1407</v>
      </c>
      <c r="L199" s="13" t="s">
        <v>1408</v>
      </c>
      <c r="M199" s="13" t="s">
        <v>1409</v>
      </c>
      <c r="N199" s="13" t="s">
        <v>1410</v>
      </c>
      <c r="O199" s="13" t="s">
        <v>1411</v>
      </c>
      <c r="P199" s="13" t="s">
        <v>1412</v>
      </c>
      <c r="Q199" s="13" t="s">
        <v>1413</v>
      </c>
      <c r="R199" s="13" t="s">
        <v>1414</v>
      </c>
    </row>
    <row r="200" hidden="1">
      <c r="A200" s="7" t="s">
        <v>1415</v>
      </c>
      <c r="B200" s="7" t="s">
        <v>22</v>
      </c>
      <c r="C200" s="7" t="s">
        <v>1058</v>
      </c>
      <c r="D200" s="9">
        <v>1.0</v>
      </c>
      <c r="E200" s="9" t="s">
        <v>39</v>
      </c>
      <c r="F200" s="7" t="s">
        <v>1416</v>
      </c>
      <c r="G200" s="10" t="s">
        <v>1417</v>
      </c>
      <c r="H200" s="9">
        <v>1.0</v>
      </c>
      <c r="I200" s="9" t="s">
        <v>1088</v>
      </c>
      <c r="J200" s="9" t="s">
        <v>72</v>
      </c>
      <c r="K200" s="11" t="s">
        <v>1418</v>
      </c>
      <c r="L200" s="13" t="s">
        <v>1419</v>
      </c>
      <c r="M200" s="13" t="s">
        <v>1420</v>
      </c>
      <c r="N200" s="13" t="s">
        <v>1421</v>
      </c>
    </row>
    <row r="201" hidden="1">
      <c r="A201" s="16" t="s">
        <v>1422</v>
      </c>
      <c r="B201" s="7" t="s">
        <v>22</v>
      </c>
      <c r="C201" s="16" t="s">
        <v>1058</v>
      </c>
      <c r="D201" s="15">
        <v>2.0</v>
      </c>
      <c r="E201" s="15" t="s">
        <v>1423</v>
      </c>
      <c r="F201" s="16" t="s">
        <v>1424</v>
      </c>
      <c r="G201" s="17" t="s">
        <v>1425</v>
      </c>
      <c r="H201" s="15">
        <v>5.0</v>
      </c>
      <c r="I201" s="15" t="s">
        <v>1122</v>
      </c>
      <c r="J201" s="15" t="s">
        <v>28</v>
      </c>
    </row>
    <row r="202" hidden="1">
      <c r="A202" s="52" t="s">
        <v>1426</v>
      </c>
      <c r="B202" s="7" t="s">
        <v>22</v>
      </c>
      <c r="C202" s="55" t="s">
        <v>1427</v>
      </c>
      <c r="D202" s="54">
        <v>2.0</v>
      </c>
      <c r="E202" s="54" t="s">
        <v>1428</v>
      </c>
      <c r="F202" s="55" t="s">
        <v>1429</v>
      </c>
      <c r="G202" s="56" t="s">
        <v>26</v>
      </c>
      <c r="H202" s="57">
        <v>7.0</v>
      </c>
      <c r="I202" s="54" t="s">
        <v>1430</v>
      </c>
      <c r="J202" s="57" t="s">
        <v>72</v>
      </c>
    </row>
    <row r="203" hidden="1">
      <c r="A203" s="22" t="s">
        <v>1431</v>
      </c>
      <c r="B203" s="7" t="s">
        <v>22</v>
      </c>
      <c r="C203" s="7" t="s">
        <v>1058</v>
      </c>
      <c r="D203" s="9">
        <v>1.0</v>
      </c>
      <c r="E203" s="9" t="s">
        <v>252</v>
      </c>
      <c r="F203" s="7" t="s">
        <v>1432</v>
      </c>
      <c r="G203" s="10" t="s">
        <v>1433</v>
      </c>
      <c r="H203" s="9">
        <v>2.0</v>
      </c>
      <c r="I203" s="9" t="s">
        <v>1061</v>
      </c>
      <c r="J203" s="9" t="s">
        <v>72</v>
      </c>
      <c r="K203" s="11" t="s">
        <v>1434</v>
      </c>
      <c r="L203" s="13" t="s">
        <v>1435</v>
      </c>
      <c r="M203" s="13" t="s">
        <v>1436</v>
      </c>
      <c r="N203" s="13" t="s">
        <v>1437</v>
      </c>
    </row>
    <row r="204" hidden="1">
      <c r="A204" s="7" t="s">
        <v>1438</v>
      </c>
      <c r="B204" s="7" t="s">
        <v>22</v>
      </c>
      <c r="C204" s="7" t="s">
        <v>1427</v>
      </c>
      <c r="D204" s="9">
        <v>2.0</v>
      </c>
      <c r="E204" s="9" t="s">
        <v>410</v>
      </c>
      <c r="F204" s="16" t="s">
        <v>1439</v>
      </c>
      <c r="G204" s="17" t="s">
        <v>1440</v>
      </c>
      <c r="H204" s="9">
        <v>3.0</v>
      </c>
      <c r="I204" s="9" t="s">
        <v>1441</v>
      </c>
      <c r="J204" s="9" t="s">
        <v>72</v>
      </c>
    </row>
    <row r="205" hidden="1">
      <c r="A205" s="7" t="s">
        <v>1442</v>
      </c>
      <c r="B205" s="7" t="s">
        <v>22</v>
      </c>
      <c r="C205" s="7" t="s">
        <v>1058</v>
      </c>
      <c r="D205" s="9">
        <v>1.0</v>
      </c>
      <c r="E205" s="9" t="s">
        <v>82</v>
      </c>
      <c r="F205" s="7" t="s">
        <v>1443</v>
      </c>
      <c r="G205" s="10" t="s">
        <v>1444</v>
      </c>
      <c r="H205" s="9">
        <v>2.0</v>
      </c>
      <c r="I205" s="9" t="s">
        <v>1153</v>
      </c>
      <c r="J205" s="9" t="s">
        <v>72</v>
      </c>
      <c r="K205" s="11" t="s">
        <v>1445</v>
      </c>
      <c r="L205" s="13" t="s">
        <v>1446</v>
      </c>
      <c r="M205" s="13" t="s">
        <v>1447</v>
      </c>
      <c r="N205" s="13" t="s">
        <v>1448</v>
      </c>
      <c r="O205" s="13" t="s">
        <v>1449</v>
      </c>
      <c r="P205" s="13" t="s">
        <v>1450</v>
      </c>
    </row>
    <row r="206" hidden="1">
      <c r="A206" s="16" t="s">
        <v>1451</v>
      </c>
      <c r="B206" s="7" t="s">
        <v>22</v>
      </c>
      <c r="C206" s="16" t="s">
        <v>1427</v>
      </c>
      <c r="D206" s="15">
        <v>2.0</v>
      </c>
      <c r="E206" s="15" t="s">
        <v>240</v>
      </c>
      <c r="F206" s="16" t="s">
        <v>1452</v>
      </c>
      <c r="G206" s="17" t="s">
        <v>169</v>
      </c>
      <c r="H206" s="15">
        <v>2.0</v>
      </c>
      <c r="I206" s="15" t="s">
        <v>1453</v>
      </c>
      <c r="J206" s="15" t="s">
        <v>72</v>
      </c>
    </row>
    <row r="207" hidden="1">
      <c r="A207" s="16" t="s">
        <v>1454</v>
      </c>
      <c r="B207" s="7" t="s">
        <v>22</v>
      </c>
      <c r="C207" s="16" t="s">
        <v>1427</v>
      </c>
      <c r="D207" s="15">
        <v>2.0</v>
      </c>
      <c r="E207" s="15" t="s">
        <v>1455</v>
      </c>
      <c r="F207" s="16" t="s">
        <v>1456</v>
      </c>
      <c r="G207" s="34"/>
      <c r="H207" s="15">
        <v>3.0</v>
      </c>
      <c r="I207" s="15" t="s">
        <v>1441</v>
      </c>
      <c r="J207" s="15" t="s">
        <v>72</v>
      </c>
    </row>
    <row r="208" hidden="1">
      <c r="A208" s="85" t="s">
        <v>1457</v>
      </c>
      <c r="B208" s="7" t="s">
        <v>22</v>
      </c>
      <c r="C208" s="7" t="s">
        <v>1058</v>
      </c>
      <c r="D208" s="9">
        <v>1.0</v>
      </c>
      <c r="E208" s="9" t="s">
        <v>938</v>
      </c>
      <c r="F208" s="74" t="s">
        <v>1458</v>
      </c>
      <c r="G208" s="86" t="s">
        <v>1459</v>
      </c>
      <c r="H208" s="9">
        <v>3.0</v>
      </c>
      <c r="I208" s="9" t="s">
        <v>1153</v>
      </c>
      <c r="J208" s="21" t="s">
        <v>72</v>
      </c>
      <c r="K208" s="11" t="s">
        <v>1460</v>
      </c>
      <c r="L208" s="13" t="s">
        <v>1461</v>
      </c>
      <c r="M208" s="13" t="s">
        <v>1462</v>
      </c>
      <c r="N208" s="13" t="s">
        <v>1463</v>
      </c>
      <c r="O208" s="13" t="s">
        <v>1464</v>
      </c>
      <c r="P208" s="13" t="s">
        <v>1465</v>
      </c>
      <c r="Q208" s="13" t="s">
        <v>1466</v>
      </c>
      <c r="R208" s="13" t="s">
        <v>1467</v>
      </c>
      <c r="S208" s="13" t="s">
        <v>1468</v>
      </c>
    </row>
    <row r="209" hidden="1">
      <c r="A209" s="7" t="s">
        <v>1469</v>
      </c>
      <c r="B209" s="7" t="s">
        <v>22</v>
      </c>
      <c r="C209" s="7" t="s">
        <v>1427</v>
      </c>
      <c r="D209" s="9">
        <v>2.0</v>
      </c>
      <c r="E209" s="9" t="s">
        <v>448</v>
      </c>
      <c r="F209" s="7" t="s">
        <v>1470</v>
      </c>
      <c r="G209" s="10" t="s">
        <v>1471</v>
      </c>
      <c r="H209" s="9">
        <v>3.0</v>
      </c>
      <c r="I209" s="9" t="s">
        <v>1441</v>
      </c>
      <c r="J209" s="9" t="s">
        <v>72</v>
      </c>
    </row>
    <row r="210" hidden="1">
      <c r="A210" s="24" t="s">
        <v>1472</v>
      </c>
      <c r="B210" s="7" t="s">
        <v>22</v>
      </c>
      <c r="C210" s="7" t="s">
        <v>1058</v>
      </c>
      <c r="D210" s="9">
        <v>1.0</v>
      </c>
      <c r="E210" s="9" t="s">
        <v>151</v>
      </c>
      <c r="F210" s="7" t="s">
        <v>1473</v>
      </c>
      <c r="G210" s="10" t="s">
        <v>1474</v>
      </c>
      <c r="H210" s="21">
        <v>3.0</v>
      </c>
      <c r="I210" s="9" t="s">
        <v>1343</v>
      </c>
      <c r="J210" s="21" t="s">
        <v>72</v>
      </c>
      <c r="K210" s="11" t="s">
        <v>1475</v>
      </c>
      <c r="L210" s="13" t="s">
        <v>1476</v>
      </c>
      <c r="M210" s="13" t="s">
        <v>1477</v>
      </c>
      <c r="N210" s="13" t="s">
        <v>1478</v>
      </c>
      <c r="O210" s="13" t="s">
        <v>1479</v>
      </c>
      <c r="P210" s="13" t="s">
        <v>1480</v>
      </c>
      <c r="Q210" s="13" t="s">
        <v>1481</v>
      </c>
      <c r="R210" s="13" t="s">
        <v>1482</v>
      </c>
      <c r="S210" s="13" t="s">
        <v>1483</v>
      </c>
      <c r="T210" s="13" t="s">
        <v>1484</v>
      </c>
      <c r="U210" s="13" t="s">
        <v>1485</v>
      </c>
    </row>
    <row r="211" hidden="1">
      <c r="A211" s="7" t="s">
        <v>1486</v>
      </c>
      <c r="B211" s="7" t="s">
        <v>22</v>
      </c>
      <c r="C211" s="7" t="s">
        <v>1487</v>
      </c>
      <c r="D211" s="9">
        <v>2.0</v>
      </c>
      <c r="E211" s="9" t="s">
        <v>39</v>
      </c>
      <c r="F211" s="87" t="s">
        <v>1488</v>
      </c>
      <c r="G211" s="10" t="s">
        <v>838</v>
      </c>
      <c r="H211" s="9">
        <v>3.0</v>
      </c>
      <c r="I211" s="9" t="s">
        <v>1489</v>
      </c>
      <c r="J211" s="9" t="s">
        <v>72</v>
      </c>
    </row>
    <row r="212" hidden="1">
      <c r="A212" s="16" t="s">
        <v>1490</v>
      </c>
      <c r="B212" s="7" t="s">
        <v>22</v>
      </c>
      <c r="C212" s="16" t="s">
        <v>1058</v>
      </c>
      <c r="D212" s="15">
        <v>1.0</v>
      </c>
      <c r="E212" s="15" t="s">
        <v>151</v>
      </c>
      <c r="F212" s="16" t="s">
        <v>1491</v>
      </c>
      <c r="G212" s="17" t="s">
        <v>1492</v>
      </c>
      <c r="H212" s="15">
        <v>2.0</v>
      </c>
      <c r="I212" s="15" t="s">
        <v>1303</v>
      </c>
      <c r="J212" s="15" t="s">
        <v>72</v>
      </c>
      <c r="K212" s="11" t="s">
        <v>1493</v>
      </c>
      <c r="L212" s="13" t="s">
        <v>1494</v>
      </c>
      <c r="M212" s="13" t="s">
        <v>1495</v>
      </c>
      <c r="N212" s="13" t="s">
        <v>1496</v>
      </c>
      <c r="O212" s="13" t="s">
        <v>1497</v>
      </c>
      <c r="P212" s="13" t="s">
        <v>1498</v>
      </c>
      <c r="Q212" s="13" t="s">
        <v>1499</v>
      </c>
      <c r="R212" s="13" t="s">
        <v>1500</v>
      </c>
      <c r="S212" s="13" t="s">
        <v>1501</v>
      </c>
      <c r="T212" s="13" t="s">
        <v>1502</v>
      </c>
    </row>
    <row r="213" hidden="1">
      <c r="A213" s="16" t="s">
        <v>1503</v>
      </c>
      <c r="B213" s="7" t="s">
        <v>22</v>
      </c>
      <c r="C213" s="16" t="s">
        <v>1487</v>
      </c>
      <c r="D213" s="15">
        <v>2.0</v>
      </c>
      <c r="E213" s="15" t="s">
        <v>1504</v>
      </c>
      <c r="F213" s="16" t="s">
        <v>1505</v>
      </c>
      <c r="G213" s="17" t="s">
        <v>838</v>
      </c>
      <c r="H213" s="15">
        <v>3.0</v>
      </c>
      <c r="I213" s="15" t="s">
        <v>1506</v>
      </c>
      <c r="J213" s="9" t="s">
        <v>72</v>
      </c>
    </row>
    <row r="214" hidden="1">
      <c r="A214" s="70" t="s">
        <v>1507</v>
      </c>
      <c r="B214" s="7" t="s">
        <v>22</v>
      </c>
      <c r="C214" s="88" t="s">
        <v>1058</v>
      </c>
      <c r="D214" s="72">
        <v>1.0</v>
      </c>
      <c r="E214" s="72" t="s">
        <v>324</v>
      </c>
      <c r="F214" s="70" t="s">
        <v>1508</v>
      </c>
      <c r="G214" s="70"/>
      <c r="H214" s="72">
        <v>4.0</v>
      </c>
      <c r="I214" s="72" t="s">
        <v>1122</v>
      </c>
      <c r="J214" s="72" t="s">
        <v>72</v>
      </c>
      <c r="K214" s="11" t="s">
        <v>1509</v>
      </c>
      <c r="L214" s="73" t="s">
        <v>1510</v>
      </c>
      <c r="M214" s="73" t="s">
        <v>1511</v>
      </c>
      <c r="N214" s="73" t="s">
        <v>1512</v>
      </c>
      <c r="O214" s="73" t="s">
        <v>1513</v>
      </c>
      <c r="P214" s="73" t="s">
        <v>1514</v>
      </c>
      <c r="Q214" s="73" t="s">
        <v>1515</v>
      </c>
      <c r="R214" s="73" t="s">
        <v>1516</v>
      </c>
      <c r="S214" s="73" t="s">
        <v>1517</v>
      </c>
      <c r="T214" s="28"/>
      <c r="U214" s="28"/>
    </row>
    <row r="215" hidden="1">
      <c r="A215" s="22" t="s">
        <v>1518</v>
      </c>
      <c r="B215" s="7" t="s">
        <v>22</v>
      </c>
      <c r="C215" s="7" t="s">
        <v>1487</v>
      </c>
      <c r="D215" s="9">
        <v>2.0</v>
      </c>
      <c r="E215" s="9" t="s">
        <v>344</v>
      </c>
      <c r="F215" s="87" t="s">
        <v>1519</v>
      </c>
      <c r="G215" s="10" t="s">
        <v>1520</v>
      </c>
      <c r="H215" s="9">
        <v>2.0</v>
      </c>
      <c r="I215" s="75" t="s">
        <v>1489</v>
      </c>
      <c r="J215" s="9" t="s">
        <v>72</v>
      </c>
    </row>
    <row r="216" hidden="1">
      <c r="A216" s="16" t="s">
        <v>1521</v>
      </c>
      <c r="B216" s="7" t="s">
        <v>22</v>
      </c>
      <c r="C216" s="16" t="s">
        <v>1487</v>
      </c>
      <c r="D216" s="15">
        <v>2.0</v>
      </c>
      <c r="E216" s="15" t="s">
        <v>1522</v>
      </c>
      <c r="F216" s="16" t="s">
        <v>1523</v>
      </c>
      <c r="G216" s="34"/>
      <c r="H216" s="15">
        <v>3.0</v>
      </c>
      <c r="I216" s="15" t="s">
        <v>1524</v>
      </c>
      <c r="J216" s="9" t="s">
        <v>72</v>
      </c>
    </row>
    <row r="217" hidden="1">
      <c r="A217" s="16" t="s">
        <v>1525</v>
      </c>
      <c r="B217" s="7" t="s">
        <v>22</v>
      </c>
      <c r="C217" s="16" t="s">
        <v>1487</v>
      </c>
      <c r="D217" s="15">
        <v>2.0</v>
      </c>
      <c r="E217" s="15" t="s">
        <v>1233</v>
      </c>
      <c r="F217" s="16" t="s">
        <v>1526</v>
      </c>
      <c r="G217" s="34"/>
      <c r="H217" s="15">
        <v>7.0</v>
      </c>
      <c r="I217" s="15" t="s">
        <v>1527</v>
      </c>
      <c r="J217" s="15" t="s">
        <v>72</v>
      </c>
    </row>
    <row r="218" hidden="1">
      <c r="A218" s="16" t="s">
        <v>1528</v>
      </c>
      <c r="B218" s="7" t="s">
        <v>22</v>
      </c>
      <c r="C218" s="16" t="s">
        <v>1487</v>
      </c>
      <c r="D218" s="15">
        <v>2.0</v>
      </c>
      <c r="E218" s="15" t="s">
        <v>39</v>
      </c>
      <c r="F218" s="16" t="s">
        <v>1529</v>
      </c>
      <c r="G218" s="34"/>
      <c r="H218" s="15">
        <v>1.0</v>
      </c>
      <c r="I218" s="15" t="s">
        <v>1530</v>
      </c>
      <c r="J218" s="15" t="s">
        <v>28</v>
      </c>
    </row>
    <row r="219" hidden="1">
      <c r="A219" s="16" t="s">
        <v>1531</v>
      </c>
      <c r="B219" s="7" t="s">
        <v>22</v>
      </c>
      <c r="C219" s="7" t="s">
        <v>1058</v>
      </c>
      <c r="D219" s="9">
        <v>1.0</v>
      </c>
      <c r="E219" s="9" t="s">
        <v>151</v>
      </c>
      <c r="F219" s="16" t="s">
        <v>1532</v>
      </c>
      <c r="G219" s="17" t="s">
        <v>1533</v>
      </c>
      <c r="H219" s="9">
        <v>2.0</v>
      </c>
      <c r="I219" s="9" t="s">
        <v>1122</v>
      </c>
      <c r="J219" s="9" t="s">
        <v>34</v>
      </c>
      <c r="K219" s="58" t="s">
        <v>1534</v>
      </c>
      <c r="L219" s="13" t="s">
        <v>1535</v>
      </c>
      <c r="M219" s="13" t="s">
        <v>1536</v>
      </c>
      <c r="N219" s="13" t="s">
        <v>1537</v>
      </c>
      <c r="O219" s="13" t="s">
        <v>1538</v>
      </c>
      <c r="P219" s="13" t="s">
        <v>1539</v>
      </c>
    </row>
    <row r="220" hidden="1">
      <c r="A220" s="16" t="s">
        <v>1540</v>
      </c>
      <c r="B220" s="7" t="s">
        <v>22</v>
      </c>
      <c r="C220" s="16" t="s">
        <v>1058</v>
      </c>
      <c r="D220" s="15">
        <v>1.0</v>
      </c>
      <c r="E220" s="15" t="s">
        <v>135</v>
      </c>
      <c r="F220" s="16" t="s">
        <v>1541</v>
      </c>
      <c r="G220" s="17" t="s">
        <v>1542</v>
      </c>
      <c r="H220" s="15">
        <v>3.0</v>
      </c>
      <c r="I220" s="15" t="s">
        <v>1061</v>
      </c>
      <c r="J220" s="9" t="s">
        <v>34</v>
      </c>
      <c r="K220" s="58" t="s">
        <v>1543</v>
      </c>
      <c r="L220" s="13" t="s">
        <v>1544</v>
      </c>
      <c r="M220" s="13" t="s">
        <v>1545</v>
      </c>
      <c r="N220" s="13" t="s">
        <v>1546</v>
      </c>
      <c r="O220" s="13" t="s">
        <v>1547</v>
      </c>
    </row>
    <row r="221" hidden="1">
      <c r="A221" s="24" t="s">
        <v>1548</v>
      </c>
      <c r="B221" s="7" t="s">
        <v>22</v>
      </c>
      <c r="C221" s="7" t="s">
        <v>1058</v>
      </c>
      <c r="D221" s="9">
        <v>1.0</v>
      </c>
      <c r="E221" s="9" t="s">
        <v>1522</v>
      </c>
      <c r="F221" s="7" t="s">
        <v>1549</v>
      </c>
      <c r="G221" s="10" t="s">
        <v>1550</v>
      </c>
      <c r="H221" s="9">
        <v>4.0</v>
      </c>
      <c r="I221" s="9" t="s">
        <v>1153</v>
      </c>
      <c r="J221" s="21" t="s">
        <v>34</v>
      </c>
      <c r="K221" s="16" t="s">
        <v>1551</v>
      </c>
      <c r="L221" s="13" t="s">
        <v>1552</v>
      </c>
      <c r="M221" s="13" t="s">
        <v>1553</v>
      </c>
      <c r="N221" s="13" t="s">
        <v>1554</v>
      </c>
      <c r="O221" s="13" t="s">
        <v>1555</v>
      </c>
      <c r="P221" s="13" t="s">
        <v>1556</v>
      </c>
      <c r="Q221" s="13" t="s">
        <v>1557</v>
      </c>
      <c r="R221" s="13" t="s">
        <v>1558</v>
      </c>
      <c r="S221" s="13" t="s">
        <v>1559</v>
      </c>
      <c r="T221" s="13" t="s">
        <v>1560</v>
      </c>
    </row>
    <row r="222" hidden="1">
      <c r="A222" s="7" t="s">
        <v>1561</v>
      </c>
      <c r="B222" s="7" t="s">
        <v>22</v>
      </c>
      <c r="C222" s="89" t="s">
        <v>1562</v>
      </c>
      <c r="D222" s="9">
        <v>2.0</v>
      </c>
      <c r="E222" s="9" t="s">
        <v>113</v>
      </c>
      <c r="F222" s="16" t="s">
        <v>1563</v>
      </c>
      <c r="G222" s="17" t="s">
        <v>26</v>
      </c>
      <c r="H222" s="9">
        <v>0.0</v>
      </c>
      <c r="I222" s="9" t="s">
        <v>1564</v>
      </c>
      <c r="J222" s="9" t="s">
        <v>34</v>
      </c>
    </row>
    <row r="223" hidden="1">
      <c r="A223" s="28" t="s">
        <v>1565</v>
      </c>
      <c r="B223" s="7" t="s">
        <v>22</v>
      </c>
      <c r="C223" s="29" t="s">
        <v>1058</v>
      </c>
      <c r="D223" s="66">
        <v>1.0</v>
      </c>
      <c r="E223" s="66" t="s">
        <v>448</v>
      </c>
      <c r="F223" s="90" t="s">
        <v>1566</v>
      </c>
      <c r="G223" s="67" t="s">
        <v>660</v>
      </c>
      <c r="H223" s="68">
        <v>7.0</v>
      </c>
      <c r="I223" s="66" t="s">
        <v>1567</v>
      </c>
      <c r="J223" s="68" t="s">
        <v>34</v>
      </c>
      <c r="K223" s="16" t="s">
        <v>1568</v>
      </c>
      <c r="L223" s="13" t="s">
        <v>1569</v>
      </c>
      <c r="M223" s="13" t="s">
        <v>1570</v>
      </c>
      <c r="N223" s="13" t="s">
        <v>1571</v>
      </c>
      <c r="O223" s="13" t="s">
        <v>1572</v>
      </c>
      <c r="P223" s="13" t="s">
        <v>1573</v>
      </c>
      <c r="Q223" s="13" t="s">
        <v>1574</v>
      </c>
      <c r="R223" s="13" t="s">
        <v>1575</v>
      </c>
    </row>
    <row r="224" hidden="1">
      <c r="A224" s="31" t="s">
        <v>1576</v>
      </c>
      <c r="B224" s="7" t="s">
        <v>22</v>
      </c>
      <c r="C224" s="16" t="s">
        <v>1058</v>
      </c>
      <c r="D224" s="15">
        <v>1.0</v>
      </c>
      <c r="E224" s="15" t="s">
        <v>389</v>
      </c>
      <c r="F224" s="16" t="s">
        <v>1577</v>
      </c>
      <c r="G224" s="17" t="s">
        <v>1578</v>
      </c>
      <c r="H224" s="15">
        <v>4.0</v>
      </c>
      <c r="I224" s="15" t="s">
        <v>1322</v>
      </c>
      <c r="J224" s="15" t="s">
        <v>34</v>
      </c>
      <c r="K224" s="16" t="s">
        <v>1579</v>
      </c>
      <c r="L224" s="13" t="s">
        <v>1580</v>
      </c>
      <c r="M224" s="13" t="s">
        <v>1581</v>
      </c>
      <c r="N224" s="13" t="s">
        <v>1582</v>
      </c>
      <c r="O224" s="13" t="s">
        <v>1583</v>
      </c>
    </row>
    <row r="225" hidden="1">
      <c r="A225" s="16" t="s">
        <v>1584</v>
      </c>
      <c r="B225" s="7" t="s">
        <v>22</v>
      </c>
      <c r="C225" s="91" t="s">
        <v>1562</v>
      </c>
      <c r="D225" s="15">
        <v>2.0</v>
      </c>
      <c r="E225" s="15" t="s">
        <v>1585</v>
      </c>
      <c r="F225" s="16" t="s">
        <v>1586</v>
      </c>
      <c r="G225" s="17" t="s">
        <v>242</v>
      </c>
      <c r="H225" s="15">
        <v>3.0</v>
      </c>
      <c r="I225" s="15" t="s">
        <v>1587</v>
      </c>
      <c r="J225" s="15" t="s">
        <v>34</v>
      </c>
    </row>
    <row r="226" hidden="1">
      <c r="A226" s="22" t="s">
        <v>1588</v>
      </c>
      <c r="B226" s="7" t="s">
        <v>22</v>
      </c>
      <c r="C226" s="89" t="s">
        <v>1562</v>
      </c>
      <c r="D226" s="9">
        <v>2.0</v>
      </c>
      <c r="E226" s="9" t="s">
        <v>39</v>
      </c>
      <c r="F226" s="7" t="s">
        <v>1589</v>
      </c>
      <c r="G226" s="10" t="s">
        <v>1590</v>
      </c>
      <c r="H226" s="9">
        <v>2.0</v>
      </c>
      <c r="I226" s="9" t="s">
        <v>1591</v>
      </c>
      <c r="J226" s="9" t="s">
        <v>72</v>
      </c>
    </row>
    <row r="227" hidden="1">
      <c r="A227" s="16" t="s">
        <v>1592</v>
      </c>
      <c r="B227" s="7" t="s">
        <v>22</v>
      </c>
      <c r="C227" s="91" t="s">
        <v>1562</v>
      </c>
      <c r="D227" s="15">
        <v>2.0</v>
      </c>
      <c r="E227" s="15" t="s">
        <v>1593</v>
      </c>
      <c r="F227" s="16" t="s">
        <v>1594</v>
      </c>
      <c r="G227" s="17" t="s">
        <v>1595</v>
      </c>
      <c r="H227" s="15">
        <v>5.0</v>
      </c>
      <c r="I227" s="15" t="s">
        <v>1596</v>
      </c>
      <c r="J227" s="15" t="s">
        <v>72</v>
      </c>
    </row>
    <row r="228" hidden="1">
      <c r="A228" s="16" t="s">
        <v>1597</v>
      </c>
      <c r="B228" s="7" t="s">
        <v>22</v>
      </c>
      <c r="C228" s="30" t="s">
        <v>1562</v>
      </c>
      <c r="D228" s="15">
        <v>2.0</v>
      </c>
      <c r="E228" s="15" t="s">
        <v>1598</v>
      </c>
      <c r="F228" s="16" t="s">
        <v>1599</v>
      </c>
      <c r="G228" s="17" t="s">
        <v>215</v>
      </c>
      <c r="H228" s="15">
        <v>4.0</v>
      </c>
      <c r="I228" s="15" t="s">
        <v>1587</v>
      </c>
      <c r="J228" s="15" t="s">
        <v>28</v>
      </c>
    </row>
    <row r="229" hidden="1">
      <c r="A229" s="70" t="s">
        <v>1600</v>
      </c>
      <c r="B229" s="7" t="s">
        <v>22</v>
      </c>
      <c r="C229" s="88" t="s">
        <v>1058</v>
      </c>
      <c r="D229" s="72">
        <v>1.0</v>
      </c>
      <c r="E229" s="72" t="s">
        <v>448</v>
      </c>
      <c r="F229" s="70" t="s">
        <v>1601</v>
      </c>
      <c r="G229" s="70"/>
      <c r="H229" s="72">
        <v>7.0</v>
      </c>
      <c r="I229" s="72" t="s">
        <v>1567</v>
      </c>
      <c r="J229" s="72" t="s">
        <v>34</v>
      </c>
      <c r="K229" s="16" t="s">
        <v>1602</v>
      </c>
      <c r="L229" s="73" t="s">
        <v>1603</v>
      </c>
      <c r="M229" s="73" t="s">
        <v>1604</v>
      </c>
      <c r="N229" s="73" t="s">
        <v>1605</v>
      </c>
      <c r="O229" s="73" t="s">
        <v>1606</v>
      </c>
      <c r="P229" s="73" t="s">
        <v>1607</v>
      </c>
      <c r="Q229" s="73" t="s">
        <v>1608</v>
      </c>
      <c r="R229" s="28"/>
      <c r="S229" s="28"/>
      <c r="T229" s="28"/>
      <c r="U229" s="28"/>
    </row>
    <row r="230" hidden="1">
      <c r="A230" s="31" t="s">
        <v>1609</v>
      </c>
      <c r="B230" s="7" t="s">
        <v>22</v>
      </c>
      <c r="C230" s="16" t="s">
        <v>1058</v>
      </c>
      <c r="D230" s="15">
        <v>1.0</v>
      </c>
      <c r="E230" s="15" t="s">
        <v>252</v>
      </c>
      <c r="F230" s="16" t="s">
        <v>1610</v>
      </c>
      <c r="G230" s="34"/>
      <c r="H230" s="15">
        <v>3.0</v>
      </c>
      <c r="I230" s="15" t="s">
        <v>1088</v>
      </c>
      <c r="J230" s="15" t="s">
        <v>34</v>
      </c>
      <c r="K230" s="16" t="s">
        <v>1611</v>
      </c>
      <c r="L230" s="13" t="s">
        <v>1612</v>
      </c>
      <c r="M230" s="13" t="s">
        <v>1613</v>
      </c>
      <c r="N230" s="13" t="s">
        <v>1614</v>
      </c>
      <c r="O230" s="13" t="s">
        <v>1615</v>
      </c>
      <c r="P230" s="13" t="s">
        <v>1616</v>
      </c>
      <c r="Q230" s="13" t="s">
        <v>1617</v>
      </c>
    </row>
    <row r="231" hidden="1">
      <c r="A231" s="16" t="s">
        <v>1618</v>
      </c>
      <c r="B231" s="7" t="s">
        <v>22</v>
      </c>
      <c r="C231" s="92" t="s">
        <v>1058</v>
      </c>
      <c r="D231" s="15">
        <v>1.0</v>
      </c>
      <c r="E231" s="15" t="s">
        <v>337</v>
      </c>
      <c r="F231" s="16" t="s">
        <v>1619</v>
      </c>
      <c r="G231" s="34"/>
      <c r="H231" s="15">
        <v>2.0</v>
      </c>
      <c r="I231" s="15" t="s">
        <v>1222</v>
      </c>
      <c r="J231" s="15" t="s">
        <v>34</v>
      </c>
      <c r="K231" s="16" t="s">
        <v>1620</v>
      </c>
      <c r="L231" s="93" t="s">
        <v>1621</v>
      </c>
      <c r="M231" s="13" t="s">
        <v>1622</v>
      </c>
      <c r="N231" s="13" t="s">
        <v>1623</v>
      </c>
      <c r="O231" s="13" t="s">
        <v>1624</v>
      </c>
    </row>
    <row r="232" hidden="1">
      <c r="A232" s="16" t="s">
        <v>1625</v>
      </c>
      <c r="B232" s="7" t="s">
        <v>22</v>
      </c>
      <c r="C232" s="7" t="s">
        <v>1058</v>
      </c>
      <c r="D232" s="9">
        <v>1.0</v>
      </c>
      <c r="E232" s="9" t="s">
        <v>448</v>
      </c>
      <c r="F232" s="94"/>
      <c r="G232" s="95" t="s">
        <v>1626</v>
      </c>
      <c r="H232" s="9">
        <v>5.0</v>
      </c>
      <c r="I232" s="15" t="s">
        <v>1225</v>
      </c>
      <c r="J232" s="9" t="s">
        <v>28</v>
      </c>
      <c r="K232" s="11" t="s">
        <v>1627</v>
      </c>
      <c r="L232" s="13" t="s">
        <v>1628</v>
      </c>
      <c r="M232" s="13" t="s">
        <v>1629</v>
      </c>
      <c r="N232" s="13" t="s">
        <v>1630</v>
      </c>
      <c r="O232" s="13" t="s">
        <v>1631</v>
      </c>
      <c r="P232" s="13" t="s">
        <v>1632</v>
      </c>
      <c r="Q232" s="13" t="s">
        <v>1633</v>
      </c>
      <c r="R232" s="13" t="s">
        <v>1634</v>
      </c>
    </row>
    <row r="233" hidden="1">
      <c r="A233" s="7" t="s">
        <v>1635</v>
      </c>
      <c r="B233" s="7" t="s">
        <v>22</v>
      </c>
      <c r="C233" s="7" t="s">
        <v>1058</v>
      </c>
      <c r="D233" s="9">
        <v>1.0</v>
      </c>
      <c r="E233" s="9" t="s">
        <v>151</v>
      </c>
      <c r="F233" s="96"/>
      <c r="G233" s="10" t="s">
        <v>1636</v>
      </c>
      <c r="H233" s="9">
        <v>4.0</v>
      </c>
      <c r="I233" s="9" t="s">
        <v>1343</v>
      </c>
      <c r="J233" s="9" t="s">
        <v>28</v>
      </c>
      <c r="K233" s="11" t="s">
        <v>1637</v>
      </c>
      <c r="L233" s="13" t="s">
        <v>1638</v>
      </c>
      <c r="M233" s="13" t="s">
        <v>1639</v>
      </c>
      <c r="N233" s="13" t="s">
        <v>1640</v>
      </c>
      <c r="O233" s="13" t="s">
        <v>1641</v>
      </c>
      <c r="P233" s="13" t="s">
        <v>1642</v>
      </c>
      <c r="Q233" s="13" t="s">
        <v>1643</v>
      </c>
      <c r="R233" s="13" t="s">
        <v>1644</v>
      </c>
      <c r="S233" s="13" t="s">
        <v>1645</v>
      </c>
      <c r="T233" s="13" t="s">
        <v>1646</v>
      </c>
    </row>
    <row r="234" hidden="1">
      <c r="A234" s="16" t="s">
        <v>1647</v>
      </c>
      <c r="B234" s="7" t="s">
        <v>22</v>
      </c>
      <c r="C234" s="16" t="s">
        <v>1058</v>
      </c>
      <c r="D234" s="15">
        <v>1.0</v>
      </c>
      <c r="E234" s="15" t="s">
        <v>1648</v>
      </c>
      <c r="G234" s="34"/>
      <c r="H234" s="15">
        <v>3.0</v>
      </c>
      <c r="I234" s="15" t="s">
        <v>1061</v>
      </c>
      <c r="J234" s="15" t="s">
        <v>28</v>
      </c>
      <c r="K234" s="16" t="s">
        <v>1649</v>
      </c>
      <c r="L234" s="13" t="s">
        <v>1650</v>
      </c>
      <c r="M234" s="13" t="s">
        <v>1651</v>
      </c>
      <c r="N234" s="13" t="s">
        <v>1652</v>
      </c>
    </row>
    <row r="235" hidden="1">
      <c r="A235" s="24" t="s">
        <v>1653</v>
      </c>
      <c r="B235" s="7" t="s">
        <v>22</v>
      </c>
      <c r="C235" s="89" t="s">
        <v>1562</v>
      </c>
      <c r="D235" s="9">
        <v>2.0</v>
      </c>
      <c r="E235" s="9" t="s">
        <v>919</v>
      </c>
      <c r="F235" s="87" t="s">
        <v>1654</v>
      </c>
      <c r="G235" s="10" t="s">
        <v>26</v>
      </c>
      <c r="H235" s="9">
        <v>2.0</v>
      </c>
      <c r="I235" s="9" t="s">
        <v>1564</v>
      </c>
      <c r="J235" s="21" t="s">
        <v>28</v>
      </c>
    </row>
    <row r="236" hidden="1">
      <c r="A236" s="22" t="s">
        <v>1655</v>
      </c>
      <c r="B236" s="7" t="s">
        <v>22</v>
      </c>
      <c r="C236" s="89" t="s">
        <v>1562</v>
      </c>
      <c r="D236" s="9">
        <v>0.0</v>
      </c>
      <c r="E236" s="9" t="s">
        <v>1656</v>
      </c>
      <c r="F236" s="18" t="s">
        <v>1657</v>
      </c>
      <c r="G236" s="10" t="s">
        <v>1658</v>
      </c>
      <c r="H236" s="9">
        <v>4.0</v>
      </c>
      <c r="I236" s="9" t="s">
        <v>1587</v>
      </c>
      <c r="J236" s="9" t="s">
        <v>72</v>
      </c>
    </row>
    <row r="237" hidden="1">
      <c r="A237" s="16" t="s">
        <v>1659</v>
      </c>
      <c r="B237" s="7" t="s">
        <v>22</v>
      </c>
      <c r="C237" s="16" t="s">
        <v>1058</v>
      </c>
      <c r="D237" s="15">
        <v>1.0</v>
      </c>
      <c r="E237" s="15" t="s">
        <v>197</v>
      </c>
      <c r="G237" s="17" t="s">
        <v>1660</v>
      </c>
      <c r="H237" s="15">
        <v>2.0</v>
      </c>
      <c r="I237" s="15" t="s">
        <v>1088</v>
      </c>
      <c r="J237" s="15" t="s">
        <v>28</v>
      </c>
      <c r="K237" s="16" t="s">
        <v>1661</v>
      </c>
      <c r="L237" s="13" t="s">
        <v>1662</v>
      </c>
      <c r="M237" s="13" t="s">
        <v>1663</v>
      </c>
      <c r="N237" s="13" t="s">
        <v>1664</v>
      </c>
      <c r="O237" s="13" t="s">
        <v>1665</v>
      </c>
      <c r="P237" s="13" t="s">
        <v>1666</v>
      </c>
    </row>
    <row r="238" hidden="1">
      <c r="A238" s="16" t="s">
        <v>1667</v>
      </c>
      <c r="B238" s="7" t="s">
        <v>22</v>
      </c>
      <c r="C238" s="89" t="s">
        <v>1562</v>
      </c>
      <c r="D238" s="9">
        <v>2.0</v>
      </c>
      <c r="E238" s="9" t="s">
        <v>662</v>
      </c>
      <c r="F238" s="24"/>
      <c r="G238" s="10" t="s">
        <v>1668</v>
      </c>
      <c r="H238" s="9">
        <v>7.0</v>
      </c>
      <c r="I238" s="9" t="s">
        <v>1669</v>
      </c>
      <c r="J238" s="9" t="s">
        <v>28</v>
      </c>
    </row>
    <row r="239" hidden="1">
      <c r="A239" s="31" t="s">
        <v>1670</v>
      </c>
      <c r="B239" s="7" t="s">
        <v>22</v>
      </c>
      <c r="C239" s="91" t="s">
        <v>1562</v>
      </c>
      <c r="D239" s="15">
        <v>2.0</v>
      </c>
      <c r="E239" s="15" t="s">
        <v>1671</v>
      </c>
      <c r="F239" s="16" t="s">
        <v>277</v>
      </c>
      <c r="G239" s="17" t="s">
        <v>698</v>
      </c>
      <c r="H239" s="15">
        <v>2.0</v>
      </c>
      <c r="I239" s="15" t="s">
        <v>1564</v>
      </c>
      <c r="J239" s="15" t="s">
        <v>28</v>
      </c>
    </row>
    <row r="240" hidden="1">
      <c r="A240" s="16" t="s">
        <v>1672</v>
      </c>
      <c r="B240" s="7" t="s">
        <v>22</v>
      </c>
      <c r="C240" s="91" t="s">
        <v>1562</v>
      </c>
      <c r="D240" s="15">
        <v>2.0</v>
      </c>
      <c r="E240" s="15" t="s">
        <v>135</v>
      </c>
      <c r="F240" s="16" t="s">
        <v>1673</v>
      </c>
      <c r="G240" s="17" t="s">
        <v>1674</v>
      </c>
      <c r="H240" s="15">
        <v>2.0</v>
      </c>
      <c r="I240" s="9" t="s">
        <v>1669</v>
      </c>
      <c r="J240" s="9" t="s">
        <v>72</v>
      </c>
    </row>
    <row r="241" hidden="1">
      <c r="A241" s="16" t="s">
        <v>1675</v>
      </c>
      <c r="B241" s="7" t="s">
        <v>22</v>
      </c>
      <c r="C241" s="16" t="s">
        <v>1058</v>
      </c>
      <c r="D241" s="15">
        <v>1.0</v>
      </c>
      <c r="E241" s="15" t="s">
        <v>1676</v>
      </c>
      <c r="F241" s="97" t="s">
        <v>1677</v>
      </c>
      <c r="G241" s="34"/>
      <c r="H241" s="15">
        <v>2.0</v>
      </c>
      <c r="I241" s="15" t="s">
        <v>1088</v>
      </c>
      <c r="J241" s="9" t="s">
        <v>72</v>
      </c>
      <c r="K241" s="16" t="s">
        <v>1678</v>
      </c>
      <c r="L241" s="13" t="s">
        <v>1679</v>
      </c>
      <c r="M241" s="13" t="s">
        <v>1680</v>
      </c>
      <c r="N241" s="13" t="s">
        <v>1681</v>
      </c>
      <c r="O241" s="13" t="s">
        <v>1682</v>
      </c>
      <c r="P241" s="13" t="s">
        <v>1683</v>
      </c>
      <c r="Q241" s="13" t="s">
        <v>1684</v>
      </c>
      <c r="R241" s="13" t="s">
        <v>1685</v>
      </c>
    </row>
    <row r="242" hidden="1">
      <c r="A242" s="16" t="s">
        <v>1686</v>
      </c>
      <c r="B242" s="7" t="s">
        <v>22</v>
      </c>
      <c r="C242" s="16" t="s">
        <v>1058</v>
      </c>
      <c r="D242" s="15">
        <v>1.0</v>
      </c>
      <c r="E242" s="15" t="s">
        <v>374</v>
      </c>
      <c r="F242" s="16" t="s">
        <v>1687</v>
      </c>
      <c r="G242" s="34"/>
      <c r="H242" s="15">
        <v>1.0</v>
      </c>
      <c r="I242" s="15" t="s">
        <v>1222</v>
      </c>
      <c r="J242" s="9" t="s">
        <v>72</v>
      </c>
      <c r="K242" s="16" t="s">
        <v>1688</v>
      </c>
      <c r="L242" s="13" t="s">
        <v>1689</v>
      </c>
      <c r="M242" s="13" t="s">
        <v>1690</v>
      </c>
      <c r="N242" s="13" t="s">
        <v>1691</v>
      </c>
      <c r="O242" s="13" t="s">
        <v>1692</v>
      </c>
      <c r="P242" s="13" t="s">
        <v>1693</v>
      </c>
      <c r="Q242" s="13" t="s">
        <v>1694</v>
      </c>
      <c r="R242" s="13" t="s">
        <v>1695</v>
      </c>
      <c r="S242" s="13" t="s">
        <v>1696</v>
      </c>
    </row>
    <row r="243" hidden="1">
      <c r="A243" s="16" t="s">
        <v>1697</v>
      </c>
      <c r="B243" s="7" t="s">
        <v>22</v>
      </c>
      <c r="C243" s="16" t="s">
        <v>1058</v>
      </c>
      <c r="D243" s="15">
        <v>1.0</v>
      </c>
      <c r="E243" s="15" t="s">
        <v>98</v>
      </c>
      <c r="F243" s="16" t="s">
        <v>1698</v>
      </c>
      <c r="G243" s="34"/>
      <c r="H243" s="15">
        <v>3.0</v>
      </c>
      <c r="I243" s="16" t="s">
        <v>1369</v>
      </c>
      <c r="J243" s="9" t="s">
        <v>28</v>
      </c>
      <c r="K243" s="16" t="s">
        <v>1699</v>
      </c>
      <c r="L243" s="13" t="s">
        <v>1700</v>
      </c>
      <c r="M243" s="13" t="s">
        <v>1701</v>
      </c>
    </row>
    <row r="244" hidden="1">
      <c r="A244" s="16" t="s">
        <v>1702</v>
      </c>
      <c r="B244" s="7" t="s">
        <v>22</v>
      </c>
      <c r="C244" s="91" t="s">
        <v>1562</v>
      </c>
      <c r="D244" s="15">
        <v>2.0</v>
      </c>
      <c r="E244" s="15" t="s">
        <v>113</v>
      </c>
      <c r="F244" s="16" t="s">
        <v>1703</v>
      </c>
      <c r="G244" s="17" t="s">
        <v>26</v>
      </c>
      <c r="H244" s="15">
        <v>1.0</v>
      </c>
      <c r="I244" s="15" t="s">
        <v>1564</v>
      </c>
      <c r="J244" s="15" t="s">
        <v>28</v>
      </c>
    </row>
    <row r="245" hidden="1">
      <c r="A245" s="16" t="s">
        <v>1704</v>
      </c>
      <c r="B245" s="7" t="s">
        <v>22</v>
      </c>
      <c r="C245" s="16" t="s">
        <v>1058</v>
      </c>
      <c r="D245" s="15">
        <v>1.0</v>
      </c>
      <c r="E245" s="15" t="s">
        <v>1428</v>
      </c>
      <c r="F245" s="16" t="s">
        <v>1705</v>
      </c>
      <c r="G245" s="17" t="s">
        <v>1706</v>
      </c>
      <c r="H245" s="15">
        <v>5.0</v>
      </c>
      <c r="I245" s="16" t="s">
        <v>1707</v>
      </c>
      <c r="J245" s="9" t="s">
        <v>28</v>
      </c>
      <c r="K245" s="16" t="s">
        <v>1708</v>
      </c>
      <c r="L245" s="13" t="s">
        <v>1709</v>
      </c>
      <c r="M245" s="13" t="s">
        <v>1710</v>
      </c>
      <c r="N245" s="13" t="s">
        <v>1711</v>
      </c>
      <c r="O245" s="13" t="s">
        <v>1712</v>
      </c>
      <c r="P245" s="13" t="s">
        <v>1713</v>
      </c>
      <c r="Q245" s="13" t="s">
        <v>1714</v>
      </c>
    </row>
    <row r="246" hidden="1">
      <c r="A246" s="16" t="s">
        <v>1715</v>
      </c>
      <c r="B246" s="7" t="s">
        <v>22</v>
      </c>
      <c r="C246" s="16" t="s">
        <v>1058</v>
      </c>
      <c r="D246" s="15">
        <v>1.0</v>
      </c>
      <c r="E246" s="15" t="s">
        <v>337</v>
      </c>
      <c r="F246" s="16" t="s">
        <v>1716</v>
      </c>
      <c r="G246" s="17"/>
      <c r="H246" s="15">
        <v>3.0</v>
      </c>
      <c r="I246" s="16" t="s">
        <v>1122</v>
      </c>
      <c r="J246" s="9" t="s">
        <v>28</v>
      </c>
      <c r="K246" s="16" t="s">
        <v>1717</v>
      </c>
      <c r="L246" s="13" t="s">
        <v>1718</v>
      </c>
      <c r="M246" s="13" t="s">
        <v>1719</v>
      </c>
      <c r="N246" s="13" t="s">
        <v>1720</v>
      </c>
    </row>
    <row r="247" hidden="1">
      <c r="A247" s="7" t="s">
        <v>1721</v>
      </c>
      <c r="B247" s="7" t="s">
        <v>22</v>
      </c>
      <c r="C247" s="7" t="s">
        <v>1427</v>
      </c>
      <c r="D247" s="9">
        <v>1.0</v>
      </c>
      <c r="E247" s="9" t="s">
        <v>1017</v>
      </c>
      <c r="F247" s="7" t="s">
        <v>1722</v>
      </c>
      <c r="G247" s="10" t="s">
        <v>1723</v>
      </c>
      <c r="H247" s="9">
        <v>3.0</v>
      </c>
      <c r="I247" s="9" t="s">
        <v>1724</v>
      </c>
      <c r="J247" s="9" t="s">
        <v>72</v>
      </c>
      <c r="K247" s="16" t="s">
        <v>1725</v>
      </c>
      <c r="L247" s="13" t="s">
        <v>1726</v>
      </c>
      <c r="M247" s="13" t="s">
        <v>1727</v>
      </c>
      <c r="N247" s="13" t="s">
        <v>1728</v>
      </c>
      <c r="O247" s="13" t="s">
        <v>1729</v>
      </c>
    </row>
    <row r="248" hidden="1">
      <c r="A248" s="22" t="s">
        <v>1730</v>
      </c>
      <c r="B248" s="7" t="s">
        <v>22</v>
      </c>
      <c r="C248" s="7" t="s">
        <v>1427</v>
      </c>
      <c r="D248" s="9">
        <v>1.0</v>
      </c>
      <c r="E248" s="9" t="s">
        <v>1731</v>
      </c>
      <c r="F248" s="7" t="s">
        <v>1732</v>
      </c>
      <c r="G248" s="10" t="s">
        <v>1733</v>
      </c>
      <c r="H248" s="9">
        <v>3.0</v>
      </c>
      <c r="I248" s="9" t="s">
        <v>1734</v>
      </c>
      <c r="J248" s="9" t="s">
        <v>34</v>
      </c>
      <c r="K248" s="16" t="s">
        <v>1735</v>
      </c>
      <c r="L248" s="13" t="s">
        <v>1736</v>
      </c>
      <c r="M248" s="13" t="s">
        <v>1737</v>
      </c>
      <c r="N248" s="13" t="s">
        <v>1738</v>
      </c>
      <c r="O248" s="13" t="s">
        <v>1739</v>
      </c>
      <c r="P248" s="13" t="s">
        <v>1740</v>
      </c>
    </row>
    <row r="249" hidden="1">
      <c r="A249" s="7" t="s">
        <v>1741</v>
      </c>
      <c r="B249" s="7" t="s">
        <v>22</v>
      </c>
      <c r="C249" s="7" t="s">
        <v>1427</v>
      </c>
      <c r="D249" s="9">
        <v>1.0</v>
      </c>
      <c r="E249" s="9" t="s">
        <v>1742</v>
      </c>
      <c r="F249" s="7"/>
      <c r="G249" s="10" t="s">
        <v>1743</v>
      </c>
      <c r="H249" s="9">
        <v>2.0</v>
      </c>
      <c r="I249" s="9" t="s">
        <v>1744</v>
      </c>
      <c r="J249" s="9" t="s">
        <v>28</v>
      </c>
      <c r="K249" s="16" t="s">
        <v>1745</v>
      </c>
      <c r="L249" s="13" t="s">
        <v>1746</v>
      </c>
      <c r="M249" s="13" t="s">
        <v>1747</v>
      </c>
      <c r="N249" s="13" t="s">
        <v>1748</v>
      </c>
      <c r="O249" s="13" t="s">
        <v>1749</v>
      </c>
      <c r="P249" s="13" t="s">
        <v>1750</v>
      </c>
    </row>
    <row r="250" hidden="1">
      <c r="A250" s="7" t="s">
        <v>1751</v>
      </c>
      <c r="B250" s="7" t="s">
        <v>22</v>
      </c>
      <c r="C250" s="7" t="s">
        <v>1487</v>
      </c>
      <c r="D250" s="9">
        <v>1.0</v>
      </c>
      <c r="E250" s="9" t="s">
        <v>1752</v>
      </c>
      <c r="F250" s="7" t="s">
        <v>1753</v>
      </c>
      <c r="G250" s="10" t="s">
        <v>1754</v>
      </c>
      <c r="H250" s="9">
        <v>1.0</v>
      </c>
      <c r="I250" s="9" t="s">
        <v>1755</v>
      </c>
      <c r="J250" s="9" t="s">
        <v>72</v>
      </c>
      <c r="K250" s="16" t="s">
        <v>1756</v>
      </c>
      <c r="L250" s="13" t="s">
        <v>1757</v>
      </c>
      <c r="M250" s="13" t="s">
        <v>1758</v>
      </c>
      <c r="N250" s="13" t="s">
        <v>1759</v>
      </c>
      <c r="O250" s="13" t="s">
        <v>1760</v>
      </c>
      <c r="P250" s="13" t="s">
        <v>1761</v>
      </c>
    </row>
    <row r="251" hidden="1">
      <c r="A251" s="31" t="s">
        <v>1762</v>
      </c>
      <c r="B251" s="7" t="s">
        <v>22</v>
      </c>
      <c r="C251" s="91" t="s">
        <v>1562</v>
      </c>
      <c r="D251" s="15">
        <v>2.0</v>
      </c>
      <c r="E251" s="15" t="s">
        <v>1763</v>
      </c>
      <c r="F251" s="16" t="s">
        <v>1764</v>
      </c>
      <c r="G251" s="17" t="s">
        <v>943</v>
      </c>
      <c r="H251" s="15">
        <v>4.0</v>
      </c>
      <c r="I251" s="15" t="s">
        <v>1765</v>
      </c>
      <c r="J251" s="15" t="s">
        <v>28</v>
      </c>
    </row>
    <row r="252" hidden="1">
      <c r="A252" s="22" t="s">
        <v>1766</v>
      </c>
      <c r="B252" s="7" t="s">
        <v>22</v>
      </c>
      <c r="C252" s="89" t="s">
        <v>1562</v>
      </c>
      <c r="D252" s="9">
        <v>0.0</v>
      </c>
      <c r="E252" s="9" t="s">
        <v>1585</v>
      </c>
      <c r="F252" s="7" t="s">
        <v>1767</v>
      </c>
      <c r="G252" s="10" t="s">
        <v>1768</v>
      </c>
      <c r="H252" s="9">
        <v>5.0</v>
      </c>
      <c r="I252" s="9" t="s">
        <v>1765</v>
      </c>
      <c r="J252" s="9" t="s">
        <v>28</v>
      </c>
    </row>
    <row r="253" ht="14.25" hidden="1" customHeight="1">
      <c r="A253" s="7" t="s">
        <v>1769</v>
      </c>
      <c r="B253" s="7" t="s">
        <v>22</v>
      </c>
      <c r="C253" s="87" t="s">
        <v>1562</v>
      </c>
      <c r="D253" s="9">
        <v>2.0</v>
      </c>
      <c r="E253" s="9" t="s">
        <v>662</v>
      </c>
      <c r="F253" s="7" t="s">
        <v>1770</v>
      </c>
      <c r="G253" s="10" t="s">
        <v>1771</v>
      </c>
      <c r="H253" s="9">
        <v>1.0</v>
      </c>
      <c r="I253" s="9" t="s">
        <v>1591</v>
      </c>
      <c r="J253" s="9" t="s">
        <v>72</v>
      </c>
    </row>
    <row r="254" hidden="1">
      <c r="A254" s="7" t="s">
        <v>1772</v>
      </c>
      <c r="B254" s="7" t="s">
        <v>22</v>
      </c>
      <c r="C254" s="7" t="s">
        <v>1487</v>
      </c>
      <c r="D254" s="9">
        <v>1.0</v>
      </c>
      <c r="E254" s="9" t="s">
        <v>1504</v>
      </c>
      <c r="F254" s="7" t="s">
        <v>1773</v>
      </c>
      <c r="G254" s="10" t="s">
        <v>1774</v>
      </c>
      <c r="H254" s="9">
        <v>2.0</v>
      </c>
      <c r="I254" s="9" t="s">
        <v>1775</v>
      </c>
      <c r="J254" s="9" t="s">
        <v>34</v>
      </c>
      <c r="K254" s="16" t="s">
        <v>1776</v>
      </c>
      <c r="L254" s="13" t="s">
        <v>1777</v>
      </c>
      <c r="M254" s="13" t="s">
        <v>1778</v>
      </c>
      <c r="N254" s="13" t="s">
        <v>1779</v>
      </c>
      <c r="O254" s="13" t="s">
        <v>1780</v>
      </c>
      <c r="P254" s="13" t="s">
        <v>1781</v>
      </c>
    </row>
    <row r="255" hidden="1">
      <c r="A255" s="31" t="s">
        <v>1782</v>
      </c>
      <c r="B255" s="7" t="s">
        <v>22</v>
      </c>
      <c r="C255" s="16" t="s">
        <v>1562</v>
      </c>
      <c r="D255" s="15">
        <v>2.0</v>
      </c>
      <c r="E255" s="15" t="s">
        <v>1783</v>
      </c>
      <c r="F255" s="16" t="s">
        <v>1784</v>
      </c>
      <c r="G255" s="17" t="s">
        <v>1785</v>
      </c>
      <c r="H255" s="15">
        <v>4.0</v>
      </c>
      <c r="I255" s="15" t="s">
        <v>1596</v>
      </c>
      <c r="J255" s="15" t="s">
        <v>72</v>
      </c>
    </row>
    <row r="256" hidden="1">
      <c r="A256" s="16" t="s">
        <v>1786</v>
      </c>
      <c r="B256" s="7" t="s">
        <v>22</v>
      </c>
      <c r="C256" s="16" t="s">
        <v>1562</v>
      </c>
      <c r="D256" s="15">
        <v>2.0</v>
      </c>
      <c r="E256" s="15" t="s">
        <v>113</v>
      </c>
      <c r="F256" s="16" t="s">
        <v>1787</v>
      </c>
      <c r="G256" s="17" t="s">
        <v>1788</v>
      </c>
      <c r="H256" s="15">
        <v>6.0</v>
      </c>
      <c r="I256" s="15" t="s">
        <v>1789</v>
      </c>
      <c r="J256" s="15" t="s">
        <v>34</v>
      </c>
    </row>
    <row r="257" hidden="1">
      <c r="A257" s="16" t="s">
        <v>1790</v>
      </c>
      <c r="B257" s="7" t="s">
        <v>22</v>
      </c>
      <c r="C257" s="91" t="s">
        <v>1562</v>
      </c>
      <c r="D257" s="15">
        <v>2.0</v>
      </c>
      <c r="E257" s="15" t="s">
        <v>299</v>
      </c>
      <c r="F257" s="16" t="s">
        <v>1791</v>
      </c>
      <c r="G257" s="17" t="s">
        <v>1231</v>
      </c>
      <c r="H257" s="15">
        <v>3.0</v>
      </c>
      <c r="I257" s="15" t="s">
        <v>1765</v>
      </c>
      <c r="J257" s="15" t="s">
        <v>72</v>
      </c>
    </row>
    <row r="258" hidden="1">
      <c r="A258" s="16" t="s">
        <v>1792</v>
      </c>
      <c r="B258" s="7" t="s">
        <v>22</v>
      </c>
      <c r="C258" s="91" t="s">
        <v>1562</v>
      </c>
      <c r="D258" s="15">
        <v>0.0</v>
      </c>
      <c r="E258" s="15" t="s">
        <v>151</v>
      </c>
      <c r="F258" s="16" t="s">
        <v>1793</v>
      </c>
      <c r="G258" s="17" t="s">
        <v>1794</v>
      </c>
      <c r="H258" s="9">
        <v>3.0</v>
      </c>
      <c r="I258" s="9" t="s">
        <v>1795</v>
      </c>
      <c r="J258" s="9" t="s">
        <v>34</v>
      </c>
    </row>
    <row r="259" hidden="1">
      <c r="A259" s="7" t="s">
        <v>1796</v>
      </c>
      <c r="B259" s="7" t="s">
        <v>22</v>
      </c>
      <c r="C259" s="7" t="s">
        <v>1487</v>
      </c>
      <c r="D259" s="9">
        <v>1.0</v>
      </c>
      <c r="E259" s="9" t="s">
        <v>1258</v>
      </c>
      <c r="F259" s="7"/>
      <c r="G259" s="10" t="s">
        <v>1797</v>
      </c>
      <c r="H259" s="9">
        <v>2.0</v>
      </c>
      <c r="I259" s="9" t="s">
        <v>1530</v>
      </c>
      <c r="J259" s="9" t="s">
        <v>28</v>
      </c>
      <c r="K259" s="16" t="s">
        <v>1798</v>
      </c>
      <c r="L259" s="13" t="s">
        <v>1799</v>
      </c>
      <c r="M259" s="13" t="s">
        <v>1800</v>
      </c>
      <c r="N259" s="13" t="s">
        <v>1801</v>
      </c>
      <c r="O259" s="13" t="s">
        <v>1802</v>
      </c>
      <c r="P259" s="13" t="s">
        <v>1803</v>
      </c>
    </row>
    <row r="260" hidden="1">
      <c r="A260" s="16" t="s">
        <v>1804</v>
      </c>
      <c r="B260" s="7" t="s">
        <v>22</v>
      </c>
      <c r="C260" s="16" t="s">
        <v>1562</v>
      </c>
      <c r="D260" s="15">
        <v>2.0</v>
      </c>
      <c r="E260" s="15" t="s">
        <v>1805</v>
      </c>
      <c r="F260" s="16" t="s">
        <v>1806</v>
      </c>
      <c r="G260" s="17" t="s">
        <v>1807</v>
      </c>
      <c r="H260" s="15">
        <v>6.0</v>
      </c>
      <c r="I260" s="15" t="s">
        <v>1789</v>
      </c>
      <c r="J260" s="15" t="s">
        <v>34</v>
      </c>
    </row>
    <row r="261" hidden="1">
      <c r="A261" s="16" t="s">
        <v>1808</v>
      </c>
      <c r="B261" s="7" t="s">
        <v>22</v>
      </c>
      <c r="C261" s="91" t="s">
        <v>1562</v>
      </c>
      <c r="D261" s="15">
        <v>2.0</v>
      </c>
      <c r="E261" s="15" t="s">
        <v>329</v>
      </c>
      <c r="F261" s="16" t="s">
        <v>1809</v>
      </c>
      <c r="G261" s="17" t="s">
        <v>1810</v>
      </c>
      <c r="H261" s="15">
        <v>3.0</v>
      </c>
      <c r="I261" s="15" t="s">
        <v>1811</v>
      </c>
      <c r="J261" s="15" t="s">
        <v>28</v>
      </c>
    </row>
    <row r="262" hidden="1">
      <c r="A262" s="16" t="s">
        <v>1812</v>
      </c>
      <c r="B262" s="7" t="s">
        <v>22</v>
      </c>
      <c r="C262" s="16" t="s">
        <v>1562</v>
      </c>
      <c r="D262" s="15">
        <v>1.0</v>
      </c>
      <c r="E262" s="15" t="s">
        <v>389</v>
      </c>
      <c r="F262" s="16" t="s">
        <v>1813</v>
      </c>
      <c r="G262" s="17" t="s">
        <v>943</v>
      </c>
      <c r="H262" s="15">
        <v>3.0</v>
      </c>
      <c r="I262" s="15" t="s">
        <v>1591</v>
      </c>
      <c r="J262" s="9" t="s">
        <v>28</v>
      </c>
      <c r="K262" s="16" t="s">
        <v>1814</v>
      </c>
      <c r="L262" s="13" t="s">
        <v>1815</v>
      </c>
      <c r="M262" s="13" t="s">
        <v>1816</v>
      </c>
      <c r="N262" s="13" t="s">
        <v>1817</v>
      </c>
      <c r="O262" s="13" t="s">
        <v>1818</v>
      </c>
      <c r="P262" s="13" t="s">
        <v>1819</v>
      </c>
    </row>
    <row r="263" hidden="1">
      <c r="A263" s="7" t="s">
        <v>1820</v>
      </c>
      <c r="B263" s="7" t="s">
        <v>22</v>
      </c>
      <c r="C263" s="7" t="s">
        <v>1562</v>
      </c>
      <c r="D263" s="9">
        <v>1.0</v>
      </c>
      <c r="E263" s="9" t="s">
        <v>385</v>
      </c>
      <c r="F263" s="16" t="s">
        <v>1821</v>
      </c>
      <c r="G263" s="17" t="s">
        <v>1822</v>
      </c>
      <c r="H263" s="9">
        <v>6.0</v>
      </c>
      <c r="I263" s="9" t="s">
        <v>1765</v>
      </c>
      <c r="J263" s="15" t="s">
        <v>72</v>
      </c>
      <c r="K263" s="16" t="s">
        <v>1823</v>
      </c>
      <c r="L263" s="13" t="s">
        <v>1824</v>
      </c>
      <c r="M263" s="13" t="s">
        <v>1825</v>
      </c>
      <c r="N263" s="13" t="s">
        <v>1826</v>
      </c>
      <c r="O263" s="13" t="s">
        <v>1827</v>
      </c>
      <c r="P263" s="13" t="s">
        <v>1828</v>
      </c>
    </row>
    <row r="264" hidden="1">
      <c r="A264" s="22" t="s">
        <v>1829</v>
      </c>
      <c r="B264" s="7" t="s">
        <v>22</v>
      </c>
      <c r="C264" s="7" t="s">
        <v>1562</v>
      </c>
      <c r="D264" s="9">
        <v>1.0</v>
      </c>
      <c r="E264" s="9" t="s">
        <v>113</v>
      </c>
      <c r="F264" s="7" t="s">
        <v>1830</v>
      </c>
      <c r="G264" s="10" t="s">
        <v>1831</v>
      </c>
      <c r="H264" s="9">
        <v>4.0</v>
      </c>
      <c r="I264" s="9" t="s">
        <v>1765</v>
      </c>
      <c r="J264" s="9" t="s">
        <v>72</v>
      </c>
      <c r="K264" s="16" t="s">
        <v>1832</v>
      </c>
      <c r="L264" s="13" t="s">
        <v>1833</v>
      </c>
      <c r="M264" s="13" t="s">
        <v>1834</v>
      </c>
      <c r="N264" s="13" t="s">
        <v>1835</v>
      </c>
      <c r="O264" s="13" t="s">
        <v>1836</v>
      </c>
      <c r="P264" s="13" t="s">
        <v>1837</v>
      </c>
      <c r="Q264" s="13" t="s">
        <v>1838</v>
      </c>
      <c r="R264" s="13" t="s">
        <v>1839</v>
      </c>
    </row>
    <row r="265" hidden="1">
      <c r="A265" s="22" t="s">
        <v>1840</v>
      </c>
      <c r="B265" s="7" t="s">
        <v>22</v>
      </c>
      <c r="C265" s="89" t="s">
        <v>1562</v>
      </c>
      <c r="D265" s="9">
        <v>2.0</v>
      </c>
      <c r="E265" s="9" t="s">
        <v>1783</v>
      </c>
      <c r="F265" s="16" t="s">
        <v>1841</v>
      </c>
      <c r="G265" s="10" t="s">
        <v>1842</v>
      </c>
      <c r="H265" s="9">
        <v>3.0</v>
      </c>
      <c r="I265" s="9" t="s">
        <v>1811</v>
      </c>
      <c r="J265" s="9" t="s">
        <v>28</v>
      </c>
    </row>
    <row r="266" hidden="1">
      <c r="A266" s="7" t="s">
        <v>1843</v>
      </c>
      <c r="B266" s="7" t="s">
        <v>22</v>
      </c>
      <c r="C266" s="7" t="s">
        <v>1562</v>
      </c>
      <c r="D266" s="9">
        <v>1.0</v>
      </c>
      <c r="E266" s="9" t="s">
        <v>240</v>
      </c>
      <c r="F266" s="7" t="s">
        <v>83</v>
      </c>
      <c r="G266" s="10" t="s">
        <v>1844</v>
      </c>
      <c r="H266" s="9">
        <v>1.0</v>
      </c>
      <c r="I266" s="9" t="s">
        <v>1845</v>
      </c>
      <c r="J266" s="9" t="s">
        <v>28</v>
      </c>
      <c r="K266" s="16" t="s">
        <v>1846</v>
      </c>
      <c r="L266" s="13" t="s">
        <v>1847</v>
      </c>
      <c r="M266" s="13" t="s">
        <v>1848</v>
      </c>
      <c r="N266" s="13" t="s">
        <v>1849</v>
      </c>
      <c r="O266" s="13" t="s">
        <v>1850</v>
      </c>
      <c r="P266" s="13" t="s">
        <v>1851</v>
      </c>
      <c r="Q266" s="13" t="s">
        <v>1852</v>
      </c>
      <c r="R266" s="13" t="s">
        <v>1853</v>
      </c>
    </row>
    <row r="267" hidden="1">
      <c r="A267" s="16" t="s">
        <v>1854</v>
      </c>
      <c r="B267" s="7" t="s">
        <v>22</v>
      </c>
      <c r="C267" s="91" t="s">
        <v>1562</v>
      </c>
      <c r="D267" s="15">
        <v>2.0</v>
      </c>
      <c r="E267" s="15" t="s">
        <v>1855</v>
      </c>
      <c r="F267" s="16" t="s">
        <v>1856</v>
      </c>
      <c r="G267" s="17" t="s">
        <v>1318</v>
      </c>
      <c r="H267" s="15">
        <v>4.0</v>
      </c>
      <c r="I267" s="15" t="s">
        <v>1811</v>
      </c>
      <c r="J267" s="15" t="s">
        <v>28</v>
      </c>
    </row>
    <row r="268" hidden="1">
      <c r="A268" s="22" t="s">
        <v>1857</v>
      </c>
      <c r="B268" s="7" t="s">
        <v>22</v>
      </c>
      <c r="C268" s="7" t="s">
        <v>1562</v>
      </c>
      <c r="D268" s="9">
        <v>2.0</v>
      </c>
      <c r="E268" s="9" t="s">
        <v>1858</v>
      </c>
      <c r="F268" s="87" t="s">
        <v>1859</v>
      </c>
      <c r="G268" s="10" t="s">
        <v>1860</v>
      </c>
      <c r="H268" s="9">
        <v>6.0</v>
      </c>
      <c r="I268" s="9" t="s">
        <v>1861</v>
      </c>
      <c r="J268" s="9" t="s">
        <v>34</v>
      </c>
    </row>
    <row r="269" hidden="1">
      <c r="A269" s="16" t="s">
        <v>1862</v>
      </c>
      <c r="B269" s="7" t="s">
        <v>22</v>
      </c>
      <c r="C269" s="87" t="s">
        <v>1562</v>
      </c>
      <c r="D269" s="9">
        <v>2.0</v>
      </c>
      <c r="E269" s="15" t="s">
        <v>919</v>
      </c>
      <c r="F269" s="16" t="s">
        <v>1863</v>
      </c>
      <c r="G269" s="17" t="s">
        <v>1864</v>
      </c>
      <c r="H269" s="15">
        <v>3.0</v>
      </c>
      <c r="I269" s="15" t="s">
        <v>1587</v>
      </c>
      <c r="J269" s="15" t="s">
        <v>72</v>
      </c>
    </row>
    <row r="270" ht="15.75" hidden="1" customHeight="1">
      <c r="A270" s="7" t="s">
        <v>1865</v>
      </c>
      <c r="B270" s="7" t="s">
        <v>22</v>
      </c>
      <c r="C270" s="7" t="s">
        <v>1562</v>
      </c>
      <c r="D270" s="9">
        <v>1.0</v>
      </c>
      <c r="E270" s="9" t="s">
        <v>389</v>
      </c>
      <c r="F270" s="7" t="s">
        <v>1866</v>
      </c>
      <c r="G270" s="10" t="s">
        <v>1867</v>
      </c>
      <c r="H270" s="9">
        <v>2.0</v>
      </c>
      <c r="I270" s="9" t="s">
        <v>1591</v>
      </c>
      <c r="J270" s="9" t="s">
        <v>72</v>
      </c>
      <c r="K270" s="16" t="s">
        <v>1868</v>
      </c>
      <c r="L270" s="13" t="s">
        <v>1869</v>
      </c>
      <c r="M270" s="13" t="s">
        <v>1870</v>
      </c>
      <c r="N270" s="13" t="s">
        <v>1871</v>
      </c>
      <c r="O270" s="13" t="s">
        <v>1872</v>
      </c>
      <c r="P270" s="13" t="s">
        <v>1873</v>
      </c>
      <c r="Q270" s="13" t="s">
        <v>1874</v>
      </c>
      <c r="R270" s="13" t="s">
        <v>1875</v>
      </c>
      <c r="S270" s="13" t="s">
        <v>1876</v>
      </c>
      <c r="T270" s="13" t="s">
        <v>1877</v>
      </c>
    </row>
    <row r="271" hidden="1">
      <c r="A271" s="16" t="s">
        <v>1878</v>
      </c>
      <c r="B271" s="7" t="s">
        <v>22</v>
      </c>
      <c r="C271" s="91" t="s">
        <v>1562</v>
      </c>
      <c r="D271" s="15">
        <v>2.0</v>
      </c>
      <c r="E271" s="15" t="s">
        <v>540</v>
      </c>
      <c r="F271" s="16" t="s">
        <v>1879</v>
      </c>
      <c r="G271" s="17" t="s">
        <v>121</v>
      </c>
      <c r="H271" s="15">
        <v>2.0</v>
      </c>
      <c r="I271" s="15" t="s">
        <v>1591</v>
      </c>
      <c r="J271" s="15" t="s">
        <v>28</v>
      </c>
    </row>
    <row r="272" hidden="1">
      <c r="A272" s="7" t="s">
        <v>1880</v>
      </c>
      <c r="B272" s="7" t="s">
        <v>22</v>
      </c>
      <c r="C272" s="87" t="s">
        <v>1562</v>
      </c>
      <c r="D272" s="9">
        <v>2.0</v>
      </c>
      <c r="E272" s="9" t="s">
        <v>1585</v>
      </c>
      <c r="F272" s="7" t="s">
        <v>1881</v>
      </c>
      <c r="G272" s="10" t="s">
        <v>1882</v>
      </c>
      <c r="H272" s="9">
        <v>5.0</v>
      </c>
      <c r="I272" s="9" t="s">
        <v>1596</v>
      </c>
      <c r="J272" s="9" t="s">
        <v>28</v>
      </c>
    </row>
    <row r="273" hidden="1">
      <c r="A273" s="16" t="s">
        <v>1883</v>
      </c>
      <c r="B273" s="7" t="s">
        <v>22</v>
      </c>
      <c r="C273" s="16" t="s">
        <v>1562</v>
      </c>
      <c r="D273" s="15">
        <v>1.0</v>
      </c>
      <c r="E273" s="15" t="s">
        <v>1855</v>
      </c>
      <c r="F273" s="16" t="s">
        <v>1884</v>
      </c>
      <c r="G273" s="17" t="s">
        <v>1885</v>
      </c>
      <c r="H273" s="15">
        <v>3.0</v>
      </c>
      <c r="I273" s="15" t="s">
        <v>1591</v>
      </c>
      <c r="J273" s="15" t="s">
        <v>28</v>
      </c>
      <c r="K273" s="16" t="s">
        <v>1886</v>
      </c>
      <c r="L273" s="13" t="s">
        <v>1887</v>
      </c>
      <c r="M273" s="13" t="s">
        <v>1888</v>
      </c>
      <c r="N273" s="13" t="s">
        <v>1889</v>
      </c>
      <c r="O273" s="13" t="s">
        <v>1890</v>
      </c>
      <c r="P273" s="13" t="s">
        <v>1891</v>
      </c>
      <c r="Q273" s="13" t="s">
        <v>1892</v>
      </c>
    </row>
    <row r="274" hidden="1">
      <c r="A274" s="22" t="s">
        <v>1893</v>
      </c>
      <c r="B274" s="7" t="s">
        <v>22</v>
      </c>
      <c r="C274" s="89" t="s">
        <v>1562</v>
      </c>
      <c r="D274" s="9">
        <v>2.0</v>
      </c>
      <c r="E274" s="9" t="s">
        <v>1455</v>
      </c>
      <c r="F274" s="7" t="s">
        <v>1894</v>
      </c>
      <c r="G274" s="10" t="s">
        <v>1895</v>
      </c>
      <c r="H274" s="9">
        <v>1.0</v>
      </c>
      <c r="I274" s="9" t="s">
        <v>1564</v>
      </c>
      <c r="J274" s="15" t="s">
        <v>28</v>
      </c>
    </row>
    <row r="275" hidden="1">
      <c r="A275" s="16" t="s">
        <v>1896</v>
      </c>
      <c r="B275" s="7" t="s">
        <v>22</v>
      </c>
      <c r="C275" s="16" t="s">
        <v>1897</v>
      </c>
      <c r="D275" s="15">
        <v>0.0</v>
      </c>
      <c r="E275" s="15" t="s">
        <v>1898</v>
      </c>
      <c r="F275" s="16" t="s">
        <v>1899</v>
      </c>
      <c r="G275" s="38" t="s">
        <v>1900</v>
      </c>
      <c r="H275" s="15">
        <v>7.0</v>
      </c>
      <c r="I275" s="15" t="s">
        <v>1901</v>
      </c>
      <c r="J275" s="9" t="s">
        <v>34</v>
      </c>
    </row>
    <row r="276" hidden="1">
      <c r="A276" s="7" t="s">
        <v>1902</v>
      </c>
      <c r="B276" s="7" t="s">
        <v>22</v>
      </c>
      <c r="C276" s="7" t="s">
        <v>1897</v>
      </c>
      <c r="D276" s="9">
        <v>2.0</v>
      </c>
      <c r="E276" s="9" t="s">
        <v>1903</v>
      </c>
      <c r="F276" s="7" t="s">
        <v>1904</v>
      </c>
      <c r="G276" s="10" t="s">
        <v>1905</v>
      </c>
      <c r="H276" s="9">
        <v>3.0</v>
      </c>
      <c r="I276" s="9" t="s">
        <v>1906</v>
      </c>
      <c r="J276" s="9" t="s">
        <v>72</v>
      </c>
    </row>
    <row r="277" hidden="1">
      <c r="A277" s="16" t="s">
        <v>1907</v>
      </c>
      <c r="B277" s="7" t="s">
        <v>22</v>
      </c>
      <c r="C277" s="16" t="s">
        <v>1562</v>
      </c>
      <c r="D277" s="15">
        <v>1.0</v>
      </c>
      <c r="E277" s="15" t="s">
        <v>299</v>
      </c>
      <c r="F277" s="7" t="s">
        <v>1908</v>
      </c>
      <c r="G277" s="10" t="s">
        <v>1909</v>
      </c>
      <c r="H277" s="15">
        <v>3.0</v>
      </c>
      <c r="I277" s="15" t="s">
        <v>1591</v>
      </c>
      <c r="J277" s="15" t="s">
        <v>28</v>
      </c>
      <c r="K277" s="16" t="s">
        <v>1910</v>
      </c>
      <c r="L277" s="13" t="s">
        <v>1911</v>
      </c>
      <c r="M277" s="13" t="s">
        <v>1912</v>
      </c>
      <c r="N277" s="13" t="s">
        <v>1913</v>
      </c>
      <c r="O277" s="13" t="s">
        <v>1914</v>
      </c>
    </row>
    <row r="278" hidden="1">
      <c r="A278" s="16" t="s">
        <v>1915</v>
      </c>
      <c r="B278" s="7" t="s">
        <v>22</v>
      </c>
      <c r="C278" s="91" t="s">
        <v>1562</v>
      </c>
      <c r="D278" s="15">
        <v>1.0</v>
      </c>
      <c r="E278" s="15" t="s">
        <v>1783</v>
      </c>
      <c r="F278" s="16" t="s">
        <v>1916</v>
      </c>
      <c r="G278" s="34"/>
      <c r="H278" s="15">
        <v>4.0</v>
      </c>
      <c r="I278" s="15" t="s">
        <v>1811</v>
      </c>
      <c r="J278" s="15" t="s">
        <v>72</v>
      </c>
      <c r="K278" s="16" t="s">
        <v>1917</v>
      </c>
      <c r="L278" s="13" t="s">
        <v>1918</v>
      </c>
      <c r="M278" s="13" t="s">
        <v>1919</v>
      </c>
      <c r="N278" s="13" t="s">
        <v>1920</v>
      </c>
    </row>
    <row r="279" hidden="1">
      <c r="A279" s="7" t="s">
        <v>1921</v>
      </c>
      <c r="B279" s="7" t="s">
        <v>22</v>
      </c>
      <c r="C279" s="7" t="s">
        <v>1562</v>
      </c>
      <c r="D279" s="9">
        <v>1.0</v>
      </c>
      <c r="E279" s="9" t="s">
        <v>385</v>
      </c>
      <c r="F279" s="7" t="s">
        <v>1922</v>
      </c>
      <c r="G279" s="10" t="s">
        <v>1923</v>
      </c>
      <c r="H279" s="9">
        <v>5.0</v>
      </c>
      <c r="I279" s="9" t="s">
        <v>1765</v>
      </c>
      <c r="J279" s="9" t="s">
        <v>28</v>
      </c>
      <c r="K279" s="16" t="s">
        <v>1924</v>
      </c>
      <c r="L279" s="13" t="s">
        <v>1925</v>
      </c>
      <c r="M279" s="13" t="s">
        <v>1926</v>
      </c>
    </row>
    <row r="280" hidden="1">
      <c r="A280" s="16" t="s">
        <v>1927</v>
      </c>
      <c r="B280" s="7" t="s">
        <v>22</v>
      </c>
      <c r="C280" s="16" t="s">
        <v>1562</v>
      </c>
      <c r="D280" s="15">
        <v>0.0</v>
      </c>
      <c r="E280" s="15" t="s">
        <v>113</v>
      </c>
      <c r="F280" s="7" t="s">
        <v>1928</v>
      </c>
      <c r="G280" s="10" t="s">
        <v>1929</v>
      </c>
      <c r="H280" s="15">
        <v>2.0</v>
      </c>
      <c r="I280" s="15" t="s">
        <v>1564</v>
      </c>
      <c r="J280" s="15" t="s">
        <v>28</v>
      </c>
    </row>
    <row r="281" hidden="1">
      <c r="A281" s="7" t="s">
        <v>1930</v>
      </c>
      <c r="B281" s="7" t="s">
        <v>22</v>
      </c>
      <c r="C281" s="7" t="s">
        <v>1562</v>
      </c>
      <c r="D281" s="9">
        <v>1.0</v>
      </c>
      <c r="E281" s="9" t="s">
        <v>662</v>
      </c>
      <c r="F281" s="7" t="s">
        <v>1931</v>
      </c>
      <c r="G281" s="10" t="s">
        <v>1932</v>
      </c>
      <c r="H281" s="9">
        <v>3.0</v>
      </c>
      <c r="I281" s="9" t="s">
        <v>1587</v>
      </c>
      <c r="J281" s="9" t="s">
        <v>72</v>
      </c>
      <c r="K281" s="16" t="s">
        <v>1933</v>
      </c>
      <c r="L281" s="13" t="s">
        <v>1934</v>
      </c>
      <c r="M281" s="13" t="s">
        <v>1935</v>
      </c>
      <c r="N281" s="13" t="s">
        <v>1936</v>
      </c>
    </row>
    <row r="282" hidden="1">
      <c r="A282" s="7" t="s">
        <v>1937</v>
      </c>
      <c r="B282" s="7" t="s">
        <v>22</v>
      </c>
      <c r="C282" s="7" t="s">
        <v>1562</v>
      </c>
      <c r="D282" s="9">
        <v>1.0</v>
      </c>
      <c r="E282" s="9" t="s">
        <v>1455</v>
      </c>
      <c r="F282" s="16" t="s">
        <v>1938</v>
      </c>
      <c r="G282" s="10" t="s">
        <v>1939</v>
      </c>
      <c r="H282" s="9">
        <v>3.0</v>
      </c>
      <c r="I282" s="9" t="s">
        <v>1795</v>
      </c>
      <c r="J282" s="9" t="s">
        <v>28</v>
      </c>
      <c r="K282" s="16" t="s">
        <v>1940</v>
      </c>
      <c r="L282" s="13" t="s">
        <v>1941</v>
      </c>
      <c r="M282" s="13" t="s">
        <v>1942</v>
      </c>
      <c r="N282" s="13" t="s">
        <v>1943</v>
      </c>
      <c r="O282" s="13" t="s">
        <v>1944</v>
      </c>
      <c r="P282" s="13" t="s">
        <v>1945</v>
      </c>
      <c r="Q282" s="13" t="s">
        <v>1946</v>
      </c>
    </row>
    <row r="283" hidden="1">
      <c r="A283" s="7" t="s">
        <v>1947</v>
      </c>
      <c r="B283" s="7" t="s">
        <v>22</v>
      </c>
      <c r="C283" s="98" t="s">
        <v>1948</v>
      </c>
      <c r="D283" s="9">
        <v>2.0</v>
      </c>
      <c r="E283" s="9" t="s">
        <v>126</v>
      </c>
      <c r="F283" s="7" t="s">
        <v>1949</v>
      </c>
      <c r="G283" s="17" t="s">
        <v>1950</v>
      </c>
      <c r="H283" s="9">
        <v>1.0</v>
      </c>
      <c r="I283" s="9" t="s">
        <v>1951</v>
      </c>
      <c r="J283" s="15" t="s">
        <v>72</v>
      </c>
    </row>
    <row r="284" hidden="1">
      <c r="A284" s="20" t="s">
        <v>1952</v>
      </c>
      <c r="B284" s="7" t="s">
        <v>22</v>
      </c>
      <c r="C284" s="7" t="s">
        <v>1562</v>
      </c>
      <c r="D284" s="9">
        <v>1.0</v>
      </c>
      <c r="E284" s="9" t="s">
        <v>1858</v>
      </c>
      <c r="F284" s="7" t="s">
        <v>1953</v>
      </c>
      <c r="G284" s="10" t="s">
        <v>1954</v>
      </c>
      <c r="H284" s="9">
        <v>2.0</v>
      </c>
      <c r="I284" s="9" t="s">
        <v>1564</v>
      </c>
      <c r="J284" s="21" t="s">
        <v>28</v>
      </c>
      <c r="K284" s="16" t="s">
        <v>1955</v>
      </c>
      <c r="L284" s="13" t="s">
        <v>1956</v>
      </c>
      <c r="M284" s="13" t="s">
        <v>1957</v>
      </c>
      <c r="N284" s="13" t="s">
        <v>1958</v>
      </c>
      <c r="O284" s="13" t="s">
        <v>1959</v>
      </c>
      <c r="P284" s="13" t="s">
        <v>1960</v>
      </c>
    </row>
    <row r="285" hidden="1">
      <c r="A285" s="22" t="s">
        <v>1961</v>
      </c>
      <c r="B285" s="7" t="s">
        <v>22</v>
      </c>
      <c r="C285" s="98" t="s">
        <v>1948</v>
      </c>
      <c r="D285" s="9">
        <v>2.0</v>
      </c>
      <c r="E285" s="9" t="s">
        <v>1962</v>
      </c>
      <c r="F285" s="7" t="s">
        <v>1963</v>
      </c>
      <c r="G285" s="10" t="s">
        <v>1964</v>
      </c>
      <c r="H285" s="9">
        <v>4.0</v>
      </c>
      <c r="I285" s="9" t="s">
        <v>1965</v>
      </c>
      <c r="J285" s="9" t="s">
        <v>34</v>
      </c>
    </row>
    <row r="286" hidden="1">
      <c r="A286" s="16" t="s">
        <v>1966</v>
      </c>
      <c r="B286" s="7" t="s">
        <v>22</v>
      </c>
      <c r="C286" s="99" t="s">
        <v>1948</v>
      </c>
      <c r="D286" s="15">
        <v>2.0</v>
      </c>
      <c r="E286" s="15" t="s">
        <v>1967</v>
      </c>
      <c r="F286" s="30" t="s">
        <v>1968</v>
      </c>
      <c r="G286" s="17" t="s">
        <v>1969</v>
      </c>
      <c r="H286" s="15">
        <v>4.0</v>
      </c>
      <c r="I286" s="15" t="s">
        <v>1970</v>
      </c>
      <c r="J286" s="9" t="s">
        <v>34</v>
      </c>
    </row>
    <row r="287" hidden="1">
      <c r="A287" s="7" t="s">
        <v>1971</v>
      </c>
      <c r="B287" s="7" t="s">
        <v>22</v>
      </c>
      <c r="C287" s="98" t="s">
        <v>1948</v>
      </c>
      <c r="D287" s="9">
        <v>2.0</v>
      </c>
      <c r="E287" s="9" t="s">
        <v>1972</v>
      </c>
      <c r="F287" s="16" t="s">
        <v>1973</v>
      </c>
      <c r="G287" s="10" t="s">
        <v>1974</v>
      </c>
      <c r="H287" s="9">
        <v>3.0</v>
      </c>
      <c r="I287" s="9" t="s">
        <v>1975</v>
      </c>
      <c r="J287" s="15" t="s">
        <v>72</v>
      </c>
    </row>
    <row r="288" hidden="1">
      <c r="A288" s="7" t="s">
        <v>1976</v>
      </c>
      <c r="B288" s="7" t="s">
        <v>22</v>
      </c>
      <c r="C288" s="98" t="s">
        <v>1948</v>
      </c>
      <c r="D288" s="9">
        <v>2.0</v>
      </c>
      <c r="E288" s="9" t="s">
        <v>183</v>
      </c>
      <c r="F288" s="100" t="s">
        <v>1977</v>
      </c>
      <c r="G288" s="10" t="s">
        <v>1978</v>
      </c>
      <c r="H288" s="9">
        <v>0.0</v>
      </c>
      <c r="I288" s="9" t="s">
        <v>1979</v>
      </c>
      <c r="J288" s="15" t="s">
        <v>72</v>
      </c>
    </row>
    <row r="289" hidden="1">
      <c r="A289" s="16" t="s">
        <v>1980</v>
      </c>
      <c r="B289" s="7" t="s">
        <v>22</v>
      </c>
      <c r="C289" s="98" t="s">
        <v>1948</v>
      </c>
      <c r="D289" s="9">
        <v>2.0</v>
      </c>
      <c r="E289" s="9" t="s">
        <v>126</v>
      </c>
      <c r="F289" s="7" t="s">
        <v>1981</v>
      </c>
      <c r="G289" s="10" t="s">
        <v>1982</v>
      </c>
      <c r="H289" s="9">
        <v>3.0</v>
      </c>
      <c r="I289" s="9" t="s">
        <v>1975</v>
      </c>
      <c r="J289" s="9" t="s">
        <v>28</v>
      </c>
    </row>
    <row r="290" hidden="1">
      <c r="A290" s="16" t="s">
        <v>1983</v>
      </c>
      <c r="B290" s="7" t="s">
        <v>22</v>
      </c>
      <c r="C290" s="99" t="s">
        <v>1948</v>
      </c>
      <c r="D290" s="15">
        <v>2.0</v>
      </c>
      <c r="E290" s="15" t="s">
        <v>998</v>
      </c>
      <c r="F290" s="16" t="s">
        <v>1984</v>
      </c>
      <c r="G290" s="17" t="s">
        <v>1985</v>
      </c>
      <c r="H290" s="15">
        <v>0.0</v>
      </c>
      <c r="I290" s="15" t="s">
        <v>1979</v>
      </c>
      <c r="J290" s="15" t="s">
        <v>72</v>
      </c>
    </row>
    <row r="291" hidden="1">
      <c r="A291" s="16" t="s">
        <v>1986</v>
      </c>
      <c r="B291" s="7" t="s">
        <v>22</v>
      </c>
      <c r="C291" s="99" t="s">
        <v>1948</v>
      </c>
      <c r="D291" s="15">
        <v>2.0</v>
      </c>
      <c r="E291" s="15" t="s">
        <v>126</v>
      </c>
      <c r="F291" s="16" t="s">
        <v>1987</v>
      </c>
      <c r="G291" s="17" t="s">
        <v>664</v>
      </c>
      <c r="H291" s="15">
        <v>4.0</v>
      </c>
      <c r="I291" s="15" t="s">
        <v>1988</v>
      </c>
      <c r="J291" s="9" t="s">
        <v>28</v>
      </c>
    </row>
    <row r="292" hidden="1">
      <c r="A292" s="7" t="s">
        <v>1989</v>
      </c>
      <c r="B292" s="7" t="s">
        <v>22</v>
      </c>
      <c r="C292" s="98" t="s">
        <v>1948</v>
      </c>
      <c r="D292" s="9">
        <v>2.0</v>
      </c>
      <c r="E292" s="9" t="s">
        <v>1972</v>
      </c>
      <c r="F292" s="7" t="s">
        <v>1990</v>
      </c>
      <c r="G292" s="10" t="s">
        <v>664</v>
      </c>
      <c r="H292" s="9">
        <v>1.0</v>
      </c>
      <c r="I292" s="9" t="s">
        <v>1991</v>
      </c>
      <c r="J292" s="9" t="s">
        <v>34</v>
      </c>
    </row>
    <row r="293" hidden="1">
      <c r="A293" s="7" t="s">
        <v>1992</v>
      </c>
      <c r="B293" s="7" t="s">
        <v>22</v>
      </c>
      <c r="C293" s="98" t="s">
        <v>1948</v>
      </c>
      <c r="D293" s="9">
        <v>2.0</v>
      </c>
      <c r="E293" s="9" t="s">
        <v>203</v>
      </c>
      <c r="F293" s="7" t="s">
        <v>1993</v>
      </c>
      <c r="G293" s="10" t="s">
        <v>1982</v>
      </c>
      <c r="H293" s="9">
        <v>5.0</v>
      </c>
      <c r="I293" s="9" t="s">
        <v>1965</v>
      </c>
      <c r="J293" s="9" t="s">
        <v>72</v>
      </c>
    </row>
    <row r="294" hidden="1">
      <c r="A294" s="7" t="s">
        <v>1994</v>
      </c>
      <c r="B294" s="7" t="s">
        <v>22</v>
      </c>
      <c r="C294" s="7" t="s">
        <v>1562</v>
      </c>
      <c r="D294" s="9">
        <v>1.0</v>
      </c>
      <c r="E294" s="9" t="s">
        <v>1455</v>
      </c>
      <c r="F294" s="16" t="s">
        <v>1995</v>
      </c>
      <c r="G294" s="17" t="s">
        <v>1996</v>
      </c>
      <c r="H294" s="9">
        <v>2.0</v>
      </c>
      <c r="I294" s="9" t="s">
        <v>1564</v>
      </c>
      <c r="J294" s="9" t="s">
        <v>28</v>
      </c>
      <c r="K294" s="16" t="s">
        <v>1997</v>
      </c>
      <c r="L294" s="13" t="s">
        <v>1998</v>
      </c>
      <c r="M294" s="13" t="s">
        <v>1999</v>
      </c>
      <c r="N294" s="13" t="s">
        <v>2000</v>
      </c>
      <c r="O294" s="13" t="s">
        <v>2001</v>
      </c>
    </row>
    <row r="295" hidden="1">
      <c r="A295" s="7" t="s">
        <v>2002</v>
      </c>
      <c r="B295" s="7" t="s">
        <v>22</v>
      </c>
      <c r="C295" s="98" t="s">
        <v>1948</v>
      </c>
      <c r="D295" s="9">
        <v>2.0</v>
      </c>
      <c r="E295" s="9" t="s">
        <v>1972</v>
      </c>
      <c r="F295" s="7" t="s">
        <v>2003</v>
      </c>
      <c r="G295" s="10" t="s">
        <v>664</v>
      </c>
      <c r="H295" s="9">
        <v>1.0</v>
      </c>
      <c r="I295" s="9" t="s">
        <v>1951</v>
      </c>
      <c r="J295" s="9" t="s">
        <v>28</v>
      </c>
    </row>
    <row r="296" hidden="1">
      <c r="A296" s="80" t="s">
        <v>2004</v>
      </c>
      <c r="B296" s="7" t="s">
        <v>22</v>
      </c>
      <c r="C296" s="7" t="s">
        <v>1562</v>
      </c>
      <c r="D296" s="9">
        <v>1.0</v>
      </c>
      <c r="E296" s="9" t="s">
        <v>2005</v>
      </c>
      <c r="F296" s="7" t="s">
        <v>2006</v>
      </c>
      <c r="G296" s="17" t="s">
        <v>2007</v>
      </c>
      <c r="H296" s="9">
        <v>5.0</v>
      </c>
      <c r="I296" s="9" t="s">
        <v>2008</v>
      </c>
      <c r="J296" s="9" t="s">
        <v>72</v>
      </c>
      <c r="K296" s="16" t="s">
        <v>2009</v>
      </c>
      <c r="L296" s="13" t="s">
        <v>2010</v>
      </c>
      <c r="M296" s="13" t="s">
        <v>2011</v>
      </c>
      <c r="N296" s="13" t="s">
        <v>2012</v>
      </c>
      <c r="O296" s="13" t="s">
        <v>2013</v>
      </c>
      <c r="P296" s="13" t="s">
        <v>2014</v>
      </c>
    </row>
    <row r="297" hidden="1">
      <c r="A297" s="7" t="s">
        <v>2015</v>
      </c>
      <c r="B297" s="7" t="s">
        <v>22</v>
      </c>
      <c r="C297" s="7" t="s">
        <v>1562</v>
      </c>
      <c r="D297" s="9">
        <v>0.0</v>
      </c>
      <c r="E297" s="9" t="s">
        <v>662</v>
      </c>
      <c r="F297" s="16" t="s">
        <v>2016</v>
      </c>
      <c r="G297" s="17" t="s">
        <v>2017</v>
      </c>
      <c r="H297" s="9">
        <v>2.0</v>
      </c>
      <c r="I297" s="9" t="s">
        <v>1564</v>
      </c>
      <c r="J297" s="9" t="s">
        <v>28</v>
      </c>
    </row>
    <row r="298" hidden="1">
      <c r="A298" s="24" t="s">
        <v>2018</v>
      </c>
      <c r="B298" s="7" t="s">
        <v>22</v>
      </c>
      <c r="C298" s="7" t="s">
        <v>1562</v>
      </c>
      <c r="D298" s="15">
        <v>1.0</v>
      </c>
      <c r="E298" s="9" t="s">
        <v>1763</v>
      </c>
      <c r="F298" s="7" t="s">
        <v>2019</v>
      </c>
      <c r="G298" s="10" t="s">
        <v>2020</v>
      </c>
      <c r="H298" s="9">
        <v>7.0</v>
      </c>
      <c r="I298" s="9" t="s">
        <v>1789</v>
      </c>
      <c r="J298" s="9" t="s">
        <v>72</v>
      </c>
      <c r="K298" s="16" t="s">
        <v>2021</v>
      </c>
      <c r="L298" s="13" t="s">
        <v>2022</v>
      </c>
      <c r="M298" s="13" t="s">
        <v>2023</v>
      </c>
      <c r="N298" s="13" t="s">
        <v>2024</v>
      </c>
      <c r="O298" s="13" t="s">
        <v>2025</v>
      </c>
      <c r="P298" s="13" t="s">
        <v>2026</v>
      </c>
    </row>
    <row r="299" hidden="1">
      <c r="A299" s="24" t="s">
        <v>2027</v>
      </c>
      <c r="B299" s="7" t="s">
        <v>22</v>
      </c>
      <c r="C299" s="7" t="s">
        <v>1562</v>
      </c>
      <c r="D299" s="9">
        <v>1.0</v>
      </c>
      <c r="E299" s="9" t="s">
        <v>1805</v>
      </c>
      <c r="F299" s="7" t="s">
        <v>2028</v>
      </c>
      <c r="G299" s="10" t="s">
        <v>2029</v>
      </c>
      <c r="H299" s="9">
        <v>4.0</v>
      </c>
      <c r="I299" s="9" t="s">
        <v>1765</v>
      </c>
      <c r="J299" s="9" t="s">
        <v>28</v>
      </c>
      <c r="K299" s="16" t="s">
        <v>2030</v>
      </c>
      <c r="L299" s="13" t="s">
        <v>2031</v>
      </c>
      <c r="M299" s="13" t="s">
        <v>2032</v>
      </c>
      <c r="N299" s="13" t="s">
        <v>2033</v>
      </c>
      <c r="O299" s="13" t="s">
        <v>2034</v>
      </c>
      <c r="P299" s="13" t="s">
        <v>2035</v>
      </c>
      <c r="Q299" s="13" t="s">
        <v>2036</v>
      </c>
      <c r="R299" s="13" t="s">
        <v>2037</v>
      </c>
    </row>
    <row r="300" hidden="1">
      <c r="A300" s="22" t="s">
        <v>2038</v>
      </c>
      <c r="B300" s="7" t="s">
        <v>22</v>
      </c>
      <c r="C300" s="98" t="s">
        <v>1948</v>
      </c>
      <c r="D300" s="9">
        <v>2.0</v>
      </c>
      <c r="E300" s="9" t="s">
        <v>1233</v>
      </c>
      <c r="F300" s="7" t="s">
        <v>2039</v>
      </c>
      <c r="G300" s="10" t="s">
        <v>2040</v>
      </c>
      <c r="H300" s="9">
        <v>3.0</v>
      </c>
      <c r="I300" s="9" t="s">
        <v>1975</v>
      </c>
      <c r="J300" s="9" t="s">
        <v>28</v>
      </c>
    </row>
    <row r="301" hidden="1">
      <c r="A301" s="22" t="s">
        <v>2041</v>
      </c>
      <c r="B301" s="7" t="s">
        <v>22</v>
      </c>
      <c r="C301" s="98" t="s">
        <v>1948</v>
      </c>
      <c r="D301" s="9">
        <v>2.0</v>
      </c>
      <c r="E301" s="9" t="s">
        <v>39</v>
      </c>
      <c r="F301" s="7" t="s">
        <v>2042</v>
      </c>
      <c r="G301" s="10" t="s">
        <v>2043</v>
      </c>
      <c r="H301" s="9">
        <v>6.0</v>
      </c>
      <c r="I301" s="9" t="s">
        <v>2044</v>
      </c>
      <c r="J301" s="9" t="s">
        <v>72</v>
      </c>
    </row>
    <row r="302" hidden="1">
      <c r="A302" s="7" t="s">
        <v>2045</v>
      </c>
      <c r="B302" s="7" t="s">
        <v>22</v>
      </c>
      <c r="C302" s="98" t="s">
        <v>1948</v>
      </c>
      <c r="D302" s="9">
        <v>2.0</v>
      </c>
      <c r="E302" s="9" t="s">
        <v>1972</v>
      </c>
      <c r="F302" s="16" t="s">
        <v>2046</v>
      </c>
      <c r="G302" s="10" t="s">
        <v>2047</v>
      </c>
      <c r="H302" s="9">
        <v>2.0</v>
      </c>
      <c r="I302" s="9" t="s">
        <v>1979</v>
      </c>
      <c r="J302" s="9" t="s">
        <v>72</v>
      </c>
    </row>
    <row r="303" hidden="1">
      <c r="A303" s="16" t="s">
        <v>2048</v>
      </c>
      <c r="B303" s="7" t="s">
        <v>22</v>
      </c>
      <c r="C303" s="98" t="s">
        <v>1948</v>
      </c>
      <c r="D303" s="9">
        <v>2.0</v>
      </c>
      <c r="E303" s="15" t="s">
        <v>1048</v>
      </c>
      <c r="F303" s="16" t="s">
        <v>2049</v>
      </c>
      <c r="G303" s="56" t="s">
        <v>838</v>
      </c>
      <c r="H303" s="15">
        <v>5.0</v>
      </c>
      <c r="I303" s="15" t="s">
        <v>2050</v>
      </c>
      <c r="J303" s="15" t="s">
        <v>28</v>
      </c>
    </row>
    <row r="304" hidden="1">
      <c r="A304" s="7" t="s">
        <v>2051</v>
      </c>
      <c r="B304" s="7" t="s">
        <v>22</v>
      </c>
      <c r="C304" s="7" t="s">
        <v>1562</v>
      </c>
      <c r="D304" s="9">
        <v>1.0</v>
      </c>
      <c r="E304" s="9" t="s">
        <v>299</v>
      </c>
      <c r="F304" s="7" t="s">
        <v>2052</v>
      </c>
      <c r="G304" s="10" t="s">
        <v>2053</v>
      </c>
      <c r="H304" s="9">
        <v>5.0</v>
      </c>
      <c r="I304" s="9" t="s">
        <v>1765</v>
      </c>
      <c r="J304" s="9" t="s">
        <v>28</v>
      </c>
      <c r="K304" s="16" t="s">
        <v>2054</v>
      </c>
      <c r="L304" s="13" t="s">
        <v>2055</v>
      </c>
      <c r="M304" s="13" t="s">
        <v>2056</v>
      </c>
      <c r="N304" s="13" t="s">
        <v>2057</v>
      </c>
    </row>
    <row r="305" hidden="1">
      <c r="A305" s="16" t="s">
        <v>2058</v>
      </c>
      <c r="B305" s="7" t="s">
        <v>22</v>
      </c>
      <c r="C305" s="16" t="s">
        <v>1562</v>
      </c>
      <c r="D305" s="15">
        <v>1.0</v>
      </c>
      <c r="E305" s="15" t="s">
        <v>389</v>
      </c>
      <c r="F305" s="16" t="s">
        <v>2059</v>
      </c>
      <c r="G305" s="34"/>
      <c r="H305" s="15">
        <v>4.0</v>
      </c>
      <c r="I305" s="15" t="s">
        <v>1765</v>
      </c>
      <c r="J305" s="15" t="s">
        <v>72</v>
      </c>
      <c r="K305" s="16" t="s">
        <v>2060</v>
      </c>
      <c r="L305" s="101" t="s">
        <v>2061</v>
      </c>
      <c r="M305" s="13" t="s">
        <v>2062</v>
      </c>
      <c r="N305" s="13" t="s">
        <v>2063</v>
      </c>
    </row>
    <row r="306" hidden="1">
      <c r="A306" s="7" t="s">
        <v>2064</v>
      </c>
      <c r="B306" s="7" t="s">
        <v>22</v>
      </c>
      <c r="C306" s="98" t="s">
        <v>1948</v>
      </c>
      <c r="D306" s="9">
        <v>2.0</v>
      </c>
      <c r="E306" s="9" t="s">
        <v>2065</v>
      </c>
      <c r="F306" s="18" t="s">
        <v>2066</v>
      </c>
      <c r="G306" s="17" t="s">
        <v>2067</v>
      </c>
      <c r="H306" s="9">
        <v>3.0</v>
      </c>
      <c r="I306" s="9" t="s">
        <v>1979</v>
      </c>
      <c r="J306" s="9" t="s">
        <v>72</v>
      </c>
    </row>
    <row r="307" hidden="1">
      <c r="A307" s="7" t="s">
        <v>2068</v>
      </c>
      <c r="B307" s="7" t="s">
        <v>22</v>
      </c>
      <c r="C307" s="7" t="s">
        <v>1562</v>
      </c>
      <c r="D307" s="9">
        <v>1.0</v>
      </c>
      <c r="E307" s="9" t="s">
        <v>2069</v>
      </c>
      <c r="F307" s="7" t="s">
        <v>2070</v>
      </c>
      <c r="G307" s="10" t="s">
        <v>2071</v>
      </c>
      <c r="H307" s="9">
        <v>1.0</v>
      </c>
      <c r="I307" s="9" t="s">
        <v>1564</v>
      </c>
      <c r="J307" s="9" t="s">
        <v>28</v>
      </c>
      <c r="K307" s="16" t="s">
        <v>2072</v>
      </c>
      <c r="L307" s="13" t="s">
        <v>2073</v>
      </c>
      <c r="M307" s="13" t="s">
        <v>2074</v>
      </c>
      <c r="N307" s="13" t="s">
        <v>2075</v>
      </c>
      <c r="O307" s="13" t="s">
        <v>2076</v>
      </c>
      <c r="P307" s="13" t="s">
        <v>2077</v>
      </c>
      <c r="Q307" s="13" t="s">
        <v>2078</v>
      </c>
      <c r="R307" s="13" t="s">
        <v>2079</v>
      </c>
      <c r="S307" s="13" t="s">
        <v>2080</v>
      </c>
      <c r="T307" s="13" t="s">
        <v>2081</v>
      </c>
      <c r="U307" s="13" t="s">
        <v>2082</v>
      </c>
    </row>
    <row r="308" hidden="1">
      <c r="A308" s="22" t="s">
        <v>2083</v>
      </c>
      <c r="B308" s="7" t="s">
        <v>22</v>
      </c>
      <c r="C308" s="7" t="s">
        <v>1562</v>
      </c>
      <c r="D308" s="9">
        <v>1.0</v>
      </c>
      <c r="E308" s="9" t="s">
        <v>299</v>
      </c>
      <c r="F308" s="7" t="s">
        <v>2084</v>
      </c>
      <c r="G308" s="10" t="s">
        <v>2085</v>
      </c>
      <c r="H308" s="9">
        <v>1.0</v>
      </c>
      <c r="I308" s="9" t="s">
        <v>1591</v>
      </c>
      <c r="J308" s="9" t="s">
        <v>28</v>
      </c>
      <c r="K308" s="16" t="s">
        <v>2086</v>
      </c>
      <c r="L308" s="13" t="s">
        <v>2087</v>
      </c>
      <c r="M308" s="13" t="s">
        <v>2088</v>
      </c>
      <c r="N308" s="13" t="s">
        <v>2089</v>
      </c>
    </row>
    <row r="309" hidden="1">
      <c r="A309" s="7" t="s">
        <v>2090</v>
      </c>
      <c r="B309" s="7" t="s">
        <v>22</v>
      </c>
      <c r="C309" s="98" t="s">
        <v>1948</v>
      </c>
      <c r="D309" s="9">
        <v>2.0</v>
      </c>
      <c r="E309" s="9" t="s">
        <v>203</v>
      </c>
      <c r="F309" s="7" t="s">
        <v>2091</v>
      </c>
      <c r="G309" s="10" t="s">
        <v>1982</v>
      </c>
      <c r="H309" s="9">
        <v>2.0</v>
      </c>
      <c r="I309" s="9" t="s">
        <v>1975</v>
      </c>
      <c r="J309" s="9" t="s">
        <v>28</v>
      </c>
    </row>
    <row r="310" hidden="1">
      <c r="A310" s="7" t="s">
        <v>2092</v>
      </c>
      <c r="B310" s="7" t="s">
        <v>22</v>
      </c>
      <c r="C310" s="98" t="s">
        <v>1948</v>
      </c>
      <c r="D310" s="9">
        <v>2.0</v>
      </c>
      <c r="E310" s="9" t="s">
        <v>1903</v>
      </c>
      <c r="F310" s="7" t="s">
        <v>2093</v>
      </c>
      <c r="G310" s="10" t="s">
        <v>2094</v>
      </c>
      <c r="H310" s="9">
        <v>1.0</v>
      </c>
      <c r="I310" s="51" t="s">
        <v>2050</v>
      </c>
      <c r="J310" s="9" t="s">
        <v>72</v>
      </c>
    </row>
    <row r="311" hidden="1">
      <c r="A311" s="80" t="s">
        <v>2095</v>
      </c>
      <c r="B311" s="7" t="s">
        <v>22</v>
      </c>
      <c r="C311" s="7" t="s">
        <v>1562</v>
      </c>
      <c r="D311" s="9">
        <v>1.0</v>
      </c>
      <c r="E311" s="9" t="s">
        <v>1855</v>
      </c>
      <c r="F311" s="7" t="s">
        <v>2096</v>
      </c>
      <c r="G311" s="10" t="s">
        <v>2097</v>
      </c>
      <c r="H311" s="9">
        <v>2.0</v>
      </c>
      <c r="I311" s="9" t="s">
        <v>1587</v>
      </c>
      <c r="J311" s="21" t="s">
        <v>72</v>
      </c>
      <c r="K311" s="16" t="s">
        <v>2098</v>
      </c>
      <c r="L311" s="13" t="s">
        <v>2099</v>
      </c>
      <c r="M311" s="13" t="s">
        <v>2100</v>
      </c>
      <c r="N311" s="13" t="s">
        <v>2101</v>
      </c>
      <c r="O311" s="13" t="s">
        <v>2102</v>
      </c>
    </row>
    <row r="312" hidden="1">
      <c r="A312" s="7" t="s">
        <v>2103</v>
      </c>
      <c r="B312" s="7" t="s">
        <v>22</v>
      </c>
      <c r="C312" s="7" t="s">
        <v>1562</v>
      </c>
      <c r="D312" s="9">
        <v>1.0</v>
      </c>
      <c r="E312" s="9" t="s">
        <v>2104</v>
      </c>
      <c r="F312" s="7" t="s">
        <v>2105</v>
      </c>
      <c r="G312" s="10" t="s">
        <v>2106</v>
      </c>
      <c r="H312" s="9">
        <v>4.0</v>
      </c>
      <c r="I312" s="9" t="s">
        <v>2107</v>
      </c>
      <c r="J312" s="9" t="s">
        <v>34</v>
      </c>
      <c r="K312" s="16" t="s">
        <v>2108</v>
      </c>
      <c r="L312" s="13" t="s">
        <v>2109</v>
      </c>
      <c r="M312" s="13" t="s">
        <v>2110</v>
      </c>
      <c r="N312" s="13" t="s">
        <v>2111</v>
      </c>
      <c r="O312" s="13" t="s">
        <v>2112</v>
      </c>
      <c r="P312" s="13" t="s">
        <v>2113</v>
      </c>
    </row>
    <row r="313" hidden="1">
      <c r="A313" s="20" t="s">
        <v>2114</v>
      </c>
      <c r="B313" s="7" t="s">
        <v>22</v>
      </c>
      <c r="C313" s="87" t="s">
        <v>1562</v>
      </c>
      <c r="D313" s="9">
        <v>1.0</v>
      </c>
      <c r="E313" s="9" t="s">
        <v>1048</v>
      </c>
      <c r="F313" s="7" t="s">
        <v>2115</v>
      </c>
      <c r="G313" s="10" t="s">
        <v>2116</v>
      </c>
      <c r="H313" s="9">
        <v>6.0</v>
      </c>
      <c r="I313" s="9" t="s">
        <v>1587</v>
      </c>
      <c r="J313" s="9" t="s">
        <v>34</v>
      </c>
      <c r="K313" s="16" t="s">
        <v>2117</v>
      </c>
      <c r="L313" s="13" t="s">
        <v>2118</v>
      </c>
      <c r="M313" s="13" t="s">
        <v>2119</v>
      </c>
      <c r="N313" s="13" t="s">
        <v>2120</v>
      </c>
    </row>
    <row r="314" hidden="1">
      <c r="A314" s="7" t="s">
        <v>2121</v>
      </c>
      <c r="B314" s="7" t="s">
        <v>22</v>
      </c>
      <c r="C314" s="7" t="s">
        <v>1562</v>
      </c>
      <c r="D314" s="9">
        <v>1.0</v>
      </c>
      <c r="E314" s="9" t="s">
        <v>197</v>
      </c>
      <c r="F314" s="7" t="s">
        <v>2122</v>
      </c>
      <c r="G314" s="10" t="s">
        <v>2123</v>
      </c>
      <c r="H314" s="9">
        <v>4.0</v>
      </c>
      <c r="I314" s="9" t="s">
        <v>2008</v>
      </c>
      <c r="J314" s="9" t="s">
        <v>34</v>
      </c>
      <c r="K314" s="16" t="s">
        <v>2124</v>
      </c>
      <c r="L314" s="13" t="s">
        <v>2125</v>
      </c>
      <c r="M314" s="13" t="s">
        <v>2126</v>
      </c>
      <c r="N314" s="13" t="s">
        <v>2127</v>
      </c>
      <c r="O314" s="13" t="s">
        <v>2128</v>
      </c>
      <c r="P314" s="13" t="s">
        <v>2129</v>
      </c>
      <c r="Q314" s="13" t="s">
        <v>2130</v>
      </c>
      <c r="R314" s="13" t="s">
        <v>2131</v>
      </c>
      <c r="S314" s="13" t="s">
        <v>2132</v>
      </c>
      <c r="T314" s="13" t="s">
        <v>2133</v>
      </c>
      <c r="U314" s="13" t="s">
        <v>2134</v>
      </c>
    </row>
    <row r="315" hidden="1">
      <c r="A315" s="7" t="s">
        <v>2135</v>
      </c>
      <c r="B315" s="7" t="s">
        <v>22</v>
      </c>
      <c r="C315" s="98" t="s">
        <v>1948</v>
      </c>
      <c r="D315" s="9">
        <v>2.0</v>
      </c>
      <c r="E315" s="9" t="s">
        <v>1972</v>
      </c>
      <c r="F315" s="7" t="s">
        <v>2136</v>
      </c>
      <c r="G315" s="10" t="s">
        <v>2137</v>
      </c>
      <c r="H315" s="9">
        <v>3.0</v>
      </c>
      <c r="I315" s="9" t="s">
        <v>1975</v>
      </c>
      <c r="J315" s="9" t="s">
        <v>72</v>
      </c>
    </row>
    <row r="316" hidden="1">
      <c r="A316" s="16" t="s">
        <v>2138</v>
      </c>
      <c r="B316" s="7" t="s">
        <v>22</v>
      </c>
      <c r="C316" s="16" t="s">
        <v>1562</v>
      </c>
      <c r="D316" s="15">
        <v>1.0</v>
      </c>
      <c r="E316" s="15" t="s">
        <v>1962</v>
      </c>
      <c r="F316" s="16" t="s">
        <v>2139</v>
      </c>
      <c r="G316" s="17" t="s">
        <v>2140</v>
      </c>
      <c r="H316" s="15">
        <v>5.0</v>
      </c>
      <c r="I316" s="15" t="s">
        <v>1765</v>
      </c>
      <c r="J316" s="15" t="s">
        <v>34</v>
      </c>
      <c r="K316" s="16" t="s">
        <v>2141</v>
      </c>
      <c r="L316" s="13" t="s">
        <v>2142</v>
      </c>
      <c r="M316" s="13" t="s">
        <v>2143</v>
      </c>
      <c r="N316" s="13" t="s">
        <v>2144</v>
      </c>
      <c r="O316" s="13" t="s">
        <v>2145</v>
      </c>
      <c r="P316" s="13" t="s">
        <v>2146</v>
      </c>
      <c r="Q316" s="13" t="s">
        <v>2147</v>
      </c>
    </row>
    <row r="317" hidden="1">
      <c r="A317" s="31" t="s">
        <v>2148</v>
      </c>
      <c r="B317" s="7" t="s">
        <v>22</v>
      </c>
      <c r="C317" s="99" t="s">
        <v>1948</v>
      </c>
      <c r="D317" s="15">
        <v>2.0</v>
      </c>
      <c r="E317" s="15" t="s">
        <v>1671</v>
      </c>
      <c r="F317" s="16" t="s">
        <v>277</v>
      </c>
      <c r="G317" s="17" t="s">
        <v>2149</v>
      </c>
      <c r="H317" s="15">
        <v>2.0</v>
      </c>
      <c r="I317" s="15" t="s">
        <v>1979</v>
      </c>
      <c r="J317" s="15" t="s">
        <v>28</v>
      </c>
    </row>
    <row r="318" hidden="1">
      <c r="A318" s="22" t="s">
        <v>2150</v>
      </c>
      <c r="B318" s="7" t="s">
        <v>22</v>
      </c>
      <c r="C318" s="98" t="s">
        <v>1948</v>
      </c>
      <c r="D318" s="15">
        <v>2.0</v>
      </c>
      <c r="E318" s="9" t="s">
        <v>126</v>
      </c>
      <c r="F318" s="87" t="s">
        <v>2151</v>
      </c>
      <c r="G318" s="10" t="s">
        <v>2152</v>
      </c>
      <c r="H318" s="9">
        <v>2.0</v>
      </c>
      <c r="I318" s="9" t="s">
        <v>1979</v>
      </c>
      <c r="J318" s="9" t="s">
        <v>28</v>
      </c>
    </row>
    <row r="319" hidden="1">
      <c r="A319" s="16" t="s">
        <v>2153</v>
      </c>
      <c r="B319" s="7" t="s">
        <v>22</v>
      </c>
      <c r="C319" s="99" t="s">
        <v>1948</v>
      </c>
      <c r="D319" s="15">
        <v>2.0</v>
      </c>
      <c r="E319" s="15" t="s">
        <v>2154</v>
      </c>
      <c r="F319" s="16" t="s">
        <v>2155</v>
      </c>
      <c r="G319" s="17" t="s">
        <v>2156</v>
      </c>
      <c r="H319" s="15">
        <v>3.0</v>
      </c>
      <c r="I319" s="15" t="s">
        <v>2157</v>
      </c>
      <c r="J319" s="15" t="s">
        <v>28</v>
      </c>
    </row>
    <row r="320" hidden="1">
      <c r="A320" s="16" t="s">
        <v>2158</v>
      </c>
      <c r="B320" s="7" t="s">
        <v>22</v>
      </c>
      <c r="C320" s="98" t="s">
        <v>1948</v>
      </c>
      <c r="D320" s="9">
        <v>2.0</v>
      </c>
      <c r="E320" s="9" t="s">
        <v>1962</v>
      </c>
      <c r="F320" s="7" t="s">
        <v>2159</v>
      </c>
      <c r="G320" s="10" t="s">
        <v>2160</v>
      </c>
      <c r="H320" s="9">
        <v>2.0</v>
      </c>
      <c r="I320" s="9" t="s">
        <v>2050</v>
      </c>
      <c r="J320" s="9" t="s">
        <v>72</v>
      </c>
    </row>
    <row r="321" hidden="1">
      <c r="A321" s="16" t="s">
        <v>2161</v>
      </c>
      <c r="B321" s="7" t="s">
        <v>22</v>
      </c>
      <c r="C321" s="99" t="s">
        <v>1948</v>
      </c>
      <c r="D321" s="15">
        <v>2.0</v>
      </c>
      <c r="E321" s="15" t="s">
        <v>90</v>
      </c>
      <c r="F321" s="16" t="s">
        <v>2162</v>
      </c>
      <c r="G321" s="17" t="s">
        <v>2163</v>
      </c>
      <c r="H321" s="15">
        <v>0.0</v>
      </c>
      <c r="I321" s="15" t="s">
        <v>2050</v>
      </c>
      <c r="J321" s="15" t="s">
        <v>72</v>
      </c>
    </row>
    <row r="322" hidden="1">
      <c r="A322" s="31" t="s">
        <v>2164</v>
      </c>
      <c r="B322" s="7" t="s">
        <v>22</v>
      </c>
      <c r="C322" s="16" t="s">
        <v>1562</v>
      </c>
      <c r="D322" s="15">
        <v>1.0</v>
      </c>
      <c r="E322" s="15" t="s">
        <v>389</v>
      </c>
      <c r="F322" s="16" t="s">
        <v>2165</v>
      </c>
      <c r="G322" s="34"/>
      <c r="H322" s="15">
        <v>6.0</v>
      </c>
      <c r="I322" s="15" t="s">
        <v>2166</v>
      </c>
      <c r="J322" s="9" t="s">
        <v>34</v>
      </c>
      <c r="K322" s="16" t="s">
        <v>2167</v>
      </c>
      <c r="L322" s="13" t="s">
        <v>2168</v>
      </c>
      <c r="M322" s="13" t="s">
        <v>2169</v>
      </c>
      <c r="N322" s="13" t="s">
        <v>2170</v>
      </c>
      <c r="O322" s="13" t="s">
        <v>2171</v>
      </c>
    </row>
    <row r="323" hidden="1">
      <c r="A323" s="16" t="s">
        <v>2172</v>
      </c>
      <c r="B323" s="7" t="s">
        <v>22</v>
      </c>
      <c r="C323" s="16" t="s">
        <v>1562</v>
      </c>
      <c r="D323" s="15">
        <v>1.0</v>
      </c>
      <c r="E323" s="15" t="s">
        <v>299</v>
      </c>
      <c r="G323" s="34"/>
      <c r="H323" s="15">
        <v>2.0</v>
      </c>
      <c r="I323" s="15" t="s">
        <v>1845</v>
      </c>
      <c r="J323" s="15" t="s">
        <v>28</v>
      </c>
      <c r="K323" s="11" t="s">
        <v>2173</v>
      </c>
      <c r="L323" s="13" t="s">
        <v>2174</v>
      </c>
      <c r="M323" s="13" t="s">
        <v>2175</v>
      </c>
    </row>
    <row r="324" hidden="1">
      <c r="A324" s="7" t="s">
        <v>2176</v>
      </c>
      <c r="B324" s="7" t="s">
        <v>22</v>
      </c>
      <c r="C324" s="7" t="s">
        <v>1562</v>
      </c>
      <c r="D324" s="9">
        <v>1.0</v>
      </c>
      <c r="E324" s="9" t="s">
        <v>2069</v>
      </c>
      <c r="G324" s="10" t="s">
        <v>2177</v>
      </c>
      <c r="H324" s="9">
        <v>4.0</v>
      </c>
      <c r="I324" s="9" t="s">
        <v>1795</v>
      </c>
      <c r="J324" s="9" t="s">
        <v>28</v>
      </c>
      <c r="K324" s="16" t="s">
        <v>2178</v>
      </c>
      <c r="L324" s="13" t="s">
        <v>2179</v>
      </c>
      <c r="M324" s="13" t="s">
        <v>2180</v>
      </c>
      <c r="N324" s="13" t="s">
        <v>2181</v>
      </c>
      <c r="O324" s="13" t="s">
        <v>2182</v>
      </c>
    </row>
    <row r="325" hidden="1">
      <c r="A325" s="16" t="s">
        <v>2183</v>
      </c>
      <c r="B325" s="7" t="s">
        <v>22</v>
      </c>
      <c r="C325" s="99" t="s">
        <v>1948</v>
      </c>
      <c r="D325" s="15">
        <v>2.0</v>
      </c>
      <c r="E325" s="15" t="s">
        <v>2184</v>
      </c>
      <c r="F325" s="16" t="s">
        <v>2185</v>
      </c>
      <c r="G325" s="17" t="s">
        <v>2186</v>
      </c>
      <c r="H325" s="15">
        <v>4.0</v>
      </c>
      <c r="I325" s="15" t="s">
        <v>2050</v>
      </c>
      <c r="J325" s="15" t="s">
        <v>72</v>
      </c>
    </row>
    <row r="326" hidden="1">
      <c r="A326" s="16" t="s">
        <v>2187</v>
      </c>
      <c r="B326" s="7" t="s">
        <v>22</v>
      </c>
      <c r="C326" s="16" t="s">
        <v>1562</v>
      </c>
      <c r="D326" s="15">
        <v>1.0</v>
      </c>
      <c r="E326" s="15" t="s">
        <v>919</v>
      </c>
      <c r="G326" s="34"/>
      <c r="H326" s="15">
        <v>5.0</v>
      </c>
      <c r="I326" s="15" t="s">
        <v>2188</v>
      </c>
      <c r="J326" s="15" t="s">
        <v>28</v>
      </c>
      <c r="K326" s="16" t="s">
        <v>2189</v>
      </c>
      <c r="L326" s="13" t="s">
        <v>2190</v>
      </c>
      <c r="M326" s="13" t="s">
        <v>2191</v>
      </c>
      <c r="N326" s="13" t="s">
        <v>2192</v>
      </c>
      <c r="O326" s="13" t="s">
        <v>2193</v>
      </c>
      <c r="P326" s="13" t="s">
        <v>2194</v>
      </c>
      <c r="Q326" s="13" t="s">
        <v>2195</v>
      </c>
    </row>
    <row r="327" hidden="1">
      <c r="A327" s="16" t="s">
        <v>2196</v>
      </c>
      <c r="B327" s="7" t="s">
        <v>22</v>
      </c>
      <c r="C327" s="99" t="s">
        <v>1948</v>
      </c>
      <c r="D327" s="15">
        <v>2.0</v>
      </c>
      <c r="E327" s="15" t="s">
        <v>1233</v>
      </c>
      <c r="F327" s="16" t="s">
        <v>2197</v>
      </c>
      <c r="G327" s="17" t="s">
        <v>2198</v>
      </c>
      <c r="H327" s="15">
        <v>2.0</v>
      </c>
      <c r="I327" s="15" t="s">
        <v>1975</v>
      </c>
      <c r="J327" s="15" t="s">
        <v>28</v>
      </c>
    </row>
    <row r="328" hidden="1">
      <c r="A328" s="31" t="s">
        <v>2199</v>
      </c>
      <c r="B328" s="7" t="s">
        <v>22</v>
      </c>
      <c r="C328" s="16" t="s">
        <v>1562</v>
      </c>
      <c r="D328" s="15">
        <v>1.0</v>
      </c>
      <c r="E328" s="15" t="s">
        <v>1455</v>
      </c>
      <c r="F328" s="102" t="s">
        <v>2200</v>
      </c>
      <c r="G328" s="17" t="s">
        <v>2201</v>
      </c>
      <c r="H328" s="15">
        <v>1.0</v>
      </c>
      <c r="I328" s="15" t="s">
        <v>1845</v>
      </c>
      <c r="J328" s="15" t="s">
        <v>34</v>
      </c>
      <c r="K328" s="16" t="s">
        <v>2202</v>
      </c>
      <c r="L328" s="13" t="s">
        <v>2203</v>
      </c>
      <c r="M328" s="13" t="s">
        <v>2204</v>
      </c>
      <c r="N328" s="13" t="s">
        <v>2205</v>
      </c>
      <c r="O328" s="13" t="s">
        <v>2206</v>
      </c>
      <c r="P328" s="13" t="s">
        <v>2207</v>
      </c>
      <c r="Q328" s="13" t="s">
        <v>2208</v>
      </c>
    </row>
    <row r="329" hidden="1">
      <c r="A329" s="31" t="s">
        <v>2209</v>
      </c>
      <c r="B329" s="7" t="s">
        <v>22</v>
      </c>
      <c r="C329" s="16" t="s">
        <v>1562</v>
      </c>
      <c r="D329" s="15">
        <v>1.0</v>
      </c>
      <c r="E329" s="15" t="s">
        <v>1858</v>
      </c>
      <c r="F329" s="16" t="s">
        <v>2210</v>
      </c>
      <c r="G329" s="34"/>
      <c r="H329" s="15">
        <v>6.0</v>
      </c>
      <c r="I329" s="16" t="s">
        <v>1596</v>
      </c>
      <c r="J329" s="9" t="s">
        <v>72</v>
      </c>
      <c r="K329" s="16" t="s">
        <v>2211</v>
      </c>
      <c r="L329" s="13" t="s">
        <v>2212</v>
      </c>
      <c r="M329" s="13" t="s">
        <v>2213</v>
      </c>
      <c r="N329" s="13" t="s">
        <v>2214</v>
      </c>
      <c r="O329" s="13" t="s">
        <v>2215</v>
      </c>
      <c r="P329" s="13" t="s">
        <v>2216</v>
      </c>
    </row>
    <row r="330" hidden="1">
      <c r="A330" s="31" t="s">
        <v>2217</v>
      </c>
      <c r="B330" s="7" t="s">
        <v>22</v>
      </c>
      <c r="C330" s="16" t="s">
        <v>1562</v>
      </c>
      <c r="D330" s="15">
        <v>1.0</v>
      </c>
      <c r="E330" s="15" t="s">
        <v>252</v>
      </c>
      <c r="F330" s="16" t="s">
        <v>2218</v>
      </c>
      <c r="G330" s="34"/>
      <c r="H330" s="15">
        <v>4.0</v>
      </c>
      <c r="I330" s="15" t="s">
        <v>2008</v>
      </c>
      <c r="J330" s="9" t="s">
        <v>34</v>
      </c>
      <c r="K330" s="16" t="s">
        <v>2219</v>
      </c>
      <c r="L330" s="13" t="s">
        <v>2220</v>
      </c>
      <c r="M330" s="13" t="s">
        <v>2221</v>
      </c>
      <c r="N330" s="13" t="s">
        <v>2222</v>
      </c>
      <c r="O330" s="13" t="s">
        <v>2223</v>
      </c>
      <c r="P330" s="13" t="s">
        <v>2224</v>
      </c>
    </row>
    <row r="331" hidden="1">
      <c r="A331" s="16" t="s">
        <v>2225</v>
      </c>
      <c r="B331" s="7" t="s">
        <v>22</v>
      </c>
      <c r="C331" s="99" t="s">
        <v>1948</v>
      </c>
      <c r="D331" s="15">
        <v>2.0</v>
      </c>
      <c r="E331" s="15" t="s">
        <v>652</v>
      </c>
      <c r="F331" s="16" t="s">
        <v>2226</v>
      </c>
      <c r="G331" s="17" t="s">
        <v>2227</v>
      </c>
      <c r="H331" s="15">
        <v>0.0</v>
      </c>
      <c r="I331" s="15" t="s">
        <v>1965</v>
      </c>
      <c r="J331" s="15" t="s">
        <v>72</v>
      </c>
    </row>
    <row r="332" hidden="1">
      <c r="A332" s="7" t="s">
        <v>2228</v>
      </c>
      <c r="B332" s="7" t="s">
        <v>22</v>
      </c>
      <c r="C332" s="98" t="s">
        <v>1948</v>
      </c>
      <c r="D332" s="9">
        <v>2.0</v>
      </c>
      <c r="E332" s="9" t="s">
        <v>344</v>
      </c>
      <c r="F332" s="7" t="s">
        <v>2229</v>
      </c>
      <c r="G332" s="10" t="s">
        <v>2230</v>
      </c>
      <c r="H332" s="9">
        <v>2.0</v>
      </c>
      <c r="I332" s="9" t="s">
        <v>2050</v>
      </c>
      <c r="J332" s="9" t="s">
        <v>72</v>
      </c>
    </row>
    <row r="333" hidden="1">
      <c r="A333" s="16" t="s">
        <v>2231</v>
      </c>
      <c r="B333" s="7" t="s">
        <v>22</v>
      </c>
      <c r="C333" s="99" t="s">
        <v>1948</v>
      </c>
      <c r="D333" s="15">
        <v>2.0</v>
      </c>
      <c r="E333" s="15" t="s">
        <v>2232</v>
      </c>
      <c r="F333" s="16" t="s">
        <v>2233</v>
      </c>
      <c r="G333" s="17" t="s">
        <v>2234</v>
      </c>
      <c r="H333" s="15">
        <v>3.0</v>
      </c>
      <c r="I333" s="15" t="s">
        <v>1975</v>
      </c>
      <c r="J333" s="15" t="s">
        <v>28</v>
      </c>
    </row>
    <row r="334" hidden="1">
      <c r="A334" s="7" t="s">
        <v>2235</v>
      </c>
      <c r="B334" s="7" t="s">
        <v>22</v>
      </c>
      <c r="C334" s="98" t="s">
        <v>1948</v>
      </c>
      <c r="D334" s="9">
        <v>2.0</v>
      </c>
      <c r="E334" s="9" t="s">
        <v>2236</v>
      </c>
      <c r="F334" s="7" t="s">
        <v>2237</v>
      </c>
      <c r="G334" s="10" t="s">
        <v>2238</v>
      </c>
      <c r="H334" s="9">
        <v>4.0</v>
      </c>
      <c r="I334" s="9" t="s">
        <v>1965</v>
      </c>
      <c r="J334" s="9" t="s">
        <v>72</v>
      </c>
    </row>
    <row r="335" hidden="1">
      <c r="A335" s="16" t="s">
        <v>2239</v>
      </c>
      <c r="B335" s="7" t="s">
        <v>22</v>
      </c>
      <c r="C335" s="92" t="s">
        <v>1562</v>
      </c>
      <c r="D335" s="15">
        <v>1.0</v>
      </c>
      <c r="E335" s="15" t="s">
        <v>2240</v>
      </c>
      <c r="F335" s="16" t="s">
        <v>2241</v>
      </c>
      <c r="G335" s="34"/>
      <c r="H335" s="15">
        <v>0.0</v>
      </c>
      <c r="I335" s="15" t="s">
        <v>1596</v>
      </c>
      <c r="J335" s="15" t="s">
        <v>34</v>
      </c>
      <c r="K335" s="16" t="s">
        <v>2242</v>
      </c>
      <c r="L335" s="13" t="s">
        <v>2243</v>
      </c>
      <c r="M335" s="13" t="s">
        <v>2244</v>
      </c>
      <c r="N335" s="13" t="s">
        <v>2245</v>
      </c>
    </row>
    <row r="336" hidden="1">
      <c r="A336" s="16" t="s">
        <v>2246</v>
      </c>
      <c r="B336" s="7" t="s">
        <v>22</v>
      </c>
      <c r="C336" s="98" t="s">
        <v>1948</v>
      </c>
      <c r="D336" s="9">
        <v>2.0</v>
      </c>
      <c r="E336" s="15" t="s">
        <v>2247</v>
      </c>
      <c r="F336" s="16" t="s">
        <v>2248</v>
      </c>
      <c r="G336" s="17" t="s">
        <v>2249</v>
      </c>
      <c r="H336" s="15">
        <v>2.0</v>
      </c>
      <c r="I336" s="15" t="s">
        <v>1979</v>
      </c>
      <c r="J336" s="15" t="s">
        <v>28</v>
      </c>
    </row>
    <row r="337" hidden="1">
      <c r="A337" s="16" t="s">
        <v>2250</v>
      </c>
      <c r="B337" s="7" t="s">
        <v>22</v>
      </c>
      <c r="C337" s="99" t="s">
        <v>1948</v>
      </c>
      <c r="D337" s="15">
        <v>2.0</v>
      </c>
      <c r="E337" s="15" t="s">
        <v>183</v>
      </c>
      <c r="F337" s="16" t="s">
        <v>2251</v>
      </c>
      <c r="G337" s="17" t="s">
        <v>2252</v>
      </c>
      <c r="H337" s="15">
        <v>0.0</v>
      </c>
      <c r="I337" s="15" t="s">
        <v>2050</v>
      </c>
      <c r="J337" s="15" t="s">
        <v>72</v>
      </c>
    </row>
    <row r="338" hidden="1">
      <c r="A338" s="52" t="s">
        <v>2253</v>
      </c>
      <c r="B338" s="7" t="s">
        <v>22</v>
      </c>
      <c r="C338" s="52"/>
      <c r="D338" s="54">
        <v>2.0</v>
      </c>
      <c r="E338" s="54" t="s">
        <v>2254</v>
      </c>
      <c r="F338" s="55" t="s">
        <v>2255</v>
      </c>
      <c r="G338" s="56" t="s">
        <v>2256</v>
      </c>
      <c r="H338" s="57">
        <v>3.0</v>
      </c>
      <c r="I338" s="54" t="s">
        <v>2257</v>
      </c>
      <c r="J338" s="54" t="s">
        <v>28</v>
      </c>
    </row>
    <row r="339" hidden="1">
      <c r="A339" s="16" t="s">
        <v>2258</v>
      </c>
      <c r="B339" s="7" t="s">
        <v>22</v>
      </c>
      <c r="C339" s="16" t="s">
        <v>1562</v>
      </c>
      <c r="D339" s="15">
        <v>1.0</v>
      </c>
      <c r="E339" s="15" t="s">
        <v>42</v>
      </c>
      <c r="G339" s="34"/>
      <c r="H339" s="15">
        <v>6.0</v>
      </c>
      <c r="I339" s="15" t="s">
        <v>2259</v>
      </c>
      <c r="J339" s="15" t="s">
        <v>28</v>
      </c>
      <c r="K339" s="16" t="s">
        <v>2260</v>
      </c>
      <c r="L339" s="13" t="s">
        <v>2261</v>
      </c>
      <c r="M339" s="13" t="s">
        <v>2262</v>
      </c>
      <c r="N339" s="13" t="s">
        <v>2263</v>
      </c>
      <c r="O339" s="13" t="s">
        <v>2264</v>
      </c>
      <c r="P339" s="13" t="s">
        <v>2265</v>
      </c>
      <c r="Q339" s="13" t="s">
        <v>2266</v>
      </c>
      <c r="R339" s="13" t="s">
        <v>2267</v>
      </c>
      <c r="S339" s="13" t="s">
        <v>2268</v>
      </c>
    </row>
    <row r="340" hidden="1">
      <c r="A340" s="16" t="s">
        <v>2269</v>
      </c>
      <c r="B340" s="7" t="s">
        <v>22</v>
      </c>
      <c r="D340" s="15">
        <v>2.0</v>
      </c>
      <c r="E340" s="15" t="s">
        <v>1671</v>
      </c>
      <c r="F340" s="16" t="s">
        <v>277</v>
      </c>
      <c r="G340" s="17" t="s">
        <v>2270</v>
      </c>
      <c r="H340" s="15">
        <v>2.0</v>
      </c>
      <c r="I340" s="15" t="s">
        <v>2271</v>
      </c>
      <c r="J340" s="15" t="s">
        <v>28</v>
      </c>
    </row>
    <row r="341" hidden="1">
      <c r="A341" s="52" t="s">
        <v>2272</v>
      </c>
      <c r="B341" s="7" t="s">
        <v>22</v>
      </c>
      <c r="C341" s="52"/>
      <c r="D341" s="54">
        <v>2.0</v>
      </c>
      <c r="E341" s="54" t="s">
        <v>2184</v>
      </c>
      <c r="F341" s="55" t="s">
        <v>2273</v>
      </c>
      <c r="G341" s="56" t="s">
        <v>2274</v>
      </c>
      <c r="H341" s="54">
        <v>9.0</v>
      </c>
      <c r="I341" s="54" t="s">
        <v>2275</v>
      </c>
      <c r="J341" s="57" t="s">
        <v>72</v>
      </c>
    </row>
    <row r="342" hidden="1">
      <c r="A342" s="52" t="s">
        <v>2276</v>
      </c>
      <c r="B342" s="7" t="s">
        <v>22</v>
      </c>
      <c r="C342" s="52"/>
      <c r="D342" s="54">
        <v>2.0</v>
      </c>
      <c r="E342" s="54" t="s">
        <v>2277</v>
      </c>
      <c r="F342" s="103" t="s">
        <v>2278</v>
      </c>
      <c r="G342" s="56" t="s">
        <v>2279</v>
      </c>
      <c r="H342" s="54">
        <v>6.0</v>
      </c>
      <c r="I342" s="54" t="s">
        <v>2280</v>
      </c>
      <c r="J342" s="57" t="s">
        <v>28</v>
      </c>
    </row>
    <row r="343" hidden="1">
      <c r="A343" s="16" t="s">
        <v>2281</v>
      </c>
      <c r="B343" s="7" t="s">
        <v>22</v>
      </c>
      <c r="C343" s="16"/>
      <c r="D343" s="15">
        <v>2.0</v>
      </c>
      <c r="E343" s="15"/>
      <c r="F343" s="16" t="s">
        <v>2282</v>
      </c>
      <c r="G343" s="17" t="s">
        <v>2283</v>
      </c>
      <c r="H343" s="15">
        <v>2.0</v>
      </c>
      <c r="I343" s="15" t="s">
        <v>2271</v>
      </c>
      <c r="J343" s="15" t="s">
        <v>72</v>
      </c>
    </row>
    <row r="344" hidden="1">
      <c r="A344" s="7" t="s">
        <v>2284</v>
      </c>
      <c r="B344" s="7" t="s">
        <v>22</v>
      </c>
      <c r="C344" s="7" t="s">
        <v>1562</v>
      </c>
      <c r="D344" s="9">
        <v>1.0</v>
      </c>
      <c r="E344" s="9" t="s">
        <v>389</v>
      </c>
      <c r="G344" s="64" t="s">
        <v>2285</v>
      </c>
      <c r="H344" s="9">
        <v>8.0</v>
      </c>
      <c r="I344" s="9" t="s">
        <v>1789</v>
      </c>
      <c r="J344" s="9" t="s">
        <v>28</v>
      </c>
      <c r="K344" s="16" t="s">
        <v>2286</v>
      </c>
      <c r="L344" s="13" t="s">
        <v>2287</v>
      </c>
      <c r="M344" s="13" t="s">
        <v>2288</v>
      </c>
      <c r="N344" s="13" t="s">
        <v>2289</v>
      </c>
      <c r="O344" s="13" t="s">
        <v>2290</v>
      </c>
      <c r="P344" s="13" t="s">
        <v>2291</v>
      </c>
      <c r="Q344" s="13" t="s">
        <v>2292</v>
      </c>
      <c r="R344" s="13" t="s">
        <v>2293</v>
      </c>
      <c r="S344" s="13" t="s">
        <v>2294</v>
      </c>
    </row>
    <row r="345" hidden="1">
      <c r="A345" s="16" t="s">
        <v>2295</v>
      </c>
      <c r="B345" s="7" t="s">
        <v>22</v>
      </c>
      <c r="C345" s="16"/>
      <c r="D345" s="15">
        <v>2.0</v>
      </c>
      <c r="E345" s="15" t="s">
        <v>2296</v>
      </c>
      <c r="F345" s="16" t="s">
        <v>2297</v>
      </c>
      <c r="G345" s="17" t="s">
        <v>838</v>
      </c>
      <c r="H345" s="15">
        <v>0.0</v>
      </c>
      <c r="I345" s="15" t="s">
        <v>2271</v>
      </c>
      <c r="J345" s="15" t="s">
        <v>72</v>
      </c>
    </row>
    <row r="346" hidden="1">
      <c r="A346" s="16" t="s">
        <v>2298</v>
      </c>
      <c r="B346" s="7" t="s">
        <v>22</v>
      </c>
      <c r="C346" s="16" t="s">
        <v>1562</v>
      </c>
      <c r="D346" s="15">
        <v>1.0</v>
      </c>
      <c r="E346" s="15" t="s">
        <v>1017</v>
      </c>
      <c r="G346" s="34"/>
      <c r="H346" s="15">
        <v>3.0</v>
      </c>
      <c r="I346" s="15" t="s">
        <v>1564</v>
      </c>
      <c r="J346" s="15" t="s">
        <v>28</v>
      </c>
      <c r="K346" s="16" t="s">
        <v>2299</v>
      </c>
      <c r="L346" s="13" t="s">
        <v>2300</v>
      </c>
      <c r="M346" s="13" t="s">
        <v>2301</v>
      </c>
      <c r="N346" s="13" t="s">
        <v>2302</v>
      </c>
    </row>
    <row r="347" hidden="1">
      <c r="A347" s="16" t="s">
        <v>2303</v>
      </c>
      <c r="B347" s="7" t="s">
        <v>22</v>
      </c>
      <c r="C347" s="16" t="s">
        <v>1897</v>
      </c>
      <c r="D347" s="15">
        <v>1.0</v>
      </c>
      <c r="E347" s="15" t="s">
        <v>1903</v>
      </c>
      <c r="F347" s="16" t="s">
        <v>2304</v>
      </c>
      <c r="G347" s="38" t="s">
        <v>2305</v>
      </c>
      <c r="H347" s="15">
        <v>0.0</v>
      </c>
      <c r="I347" s="15" t="s">
        <v>2306</v>
      </c>
      <c r="J347" s="15" t="s">
        <v>72</v>
      </c>
      <c r="K347" s="16" t="s">
        <v>2307</v>
      </c>
      <c r="L347" s="13" t="s">
        <v>2308</v>
      </c>
      <c r="M347" s="13" t="s">
        <v>2309</v>
      </c>
      <c r="N347" s="13" t="s">
        <v>2310</v>
      </c>
      <c r="O347" s="13" t="s">
        <v>2311</v>
      </c>
      <c r="P347" s="13" t="s">
        <v>2312</v>
      </c>
    </row>
    <row r="348" hidden="1">
      <c r="A348" s="7" t="s">
        <v>2313</v>
      </c>
      <c r="B348" s="7" t="s">
        <v>22</v>
      </c>
      <c r="C348" s="7" t="s">
        <v>1897</v>
      </c>
      <c r="D348" s="9">
        <v>1.0</v>
      </c>
      <c r="E348" s="9" t="s">
        <v>998</v>
      </c>
      <c r="F348" s="7" t="s">
        <v>2314</v>
      </c>
      <c r="G348" s="10" t="s">
        <v>2315</v>
      </c>
      <c r="H348" s="9">
        <v>1.0</v>
      </c>
      <c r="I348" s="9" t="s">
        <v>2316</v>
      </c>
      <c r="J348" s="9" t="s">
        <v>34</v>
      </c>
      <c r="K348" s="16" t="s">
        <v>2317</v>
      </c>
      <c r="L348" s="13" t="s">
        <v>2318</v>
      </c>
      <c r="M348" s="13" t="s">
        <v>2319</v>
      </c>
      <c r="N348" s="13" t="s">
        <v>2320</v>
      </c>
      <c r="O348" s="13" t="s">
        <v>2321</v>
      </c>
      <c r="P348" s="13" t="s">
        <v>2322</v>
      </c>
      <c r="Q348" s="13" t="s">
        <v>2323</v>
      </c>
      <c r="R348" s="13" t="s">
        <v>2324</v>
      </c>
    </row>
    <row r="349" hidden="1">
      <c r="A349" s="7" t="s">
        <v>2325</v>
      </c>
      <c r="B349" s="7" t="s">
        <v>22</v>
      </c>
      <c r="C349" s="7" t="s">
        <v>1897</v>
      </c>
      <c r="D349" s="9">
        <v>1.0</v>
      </c>
      <c r="E349" s="9" t="s">
        <v>2326</v>
      </c>
      <c r="F349" s="7"/>
      <c r="G349" s="10" t="s">
        <v>2327</v>
      </c>
      <c r="H349" s="9">
        <v>2.0</v>
      </c>
      <c r="I349" s="9" t="s">
        <v>2328</v>
      </c>
      <c r="J349" s="9" t="s">
        <v>28</v>
      </c>
      <c r="K349" s="16" t="s">
        <v>2329</v>
      </c>
      <c r="L349" s="13" t="s">
        <v>2330</v>
      </c>
      <c r="M349" s="13" t="s">
        <v>2331</v>
      </c>
      <c r="N349" s="13" t="s">
        <v>2332</v>
      </c>
      <c r="O349" s="13" t="s">
        <v>2333</v>
      </c>
      <c r="P349" s="13" t="s">
        <v>2334</v>
      </c>
      <c r="Q349" s="13" t="s">
        <v>2335</v>
      </c>
      <c r="R349" s="13" t="s">
        <v>2336</v>
      </c>
    </row>
    <row r="350" hidden="1">
      <c r="A350" s="16" t="s">
        <v>2337</v>
      </c>
      <c r="B350" s="7" t="s">
        <v>22</v>
      </c>
      <c r="C350" s="16" t="s">
        <v>1948</v>
      </c>
      <c r="D350" s="15">
        <v>1.0</v>
      </c>
      <c r="E350" s="15" t="s">
        <v>2338</v>
      </c>
      <c r="F350" s="16" t="s">
        <v>2339</v>
      </c>
      <c r="G350" s="17" t="s">
        <v>2340</v>
      </c>
      <c r="H350" s="15">
        <v>2.0</v>
      </c>
      <c r="I350" s="15" t="s">
        <v>2341</v>
      </c>
      <c r="J350" s="15" t="s">
        <v>72</v>
      </c>
      <c r="K350" s="11" t="s">
        <v>2342</v>
      </c>
      <c r="L350" s="13" t="s">
        <v>2343</v>
      </c>
    </row>
    <row r="351" hidden="1">
      <c r="A351" s="7" t="s">
        <v>2344</v>
      </c>
      <c r="B351" s="7" t="s">
        <v>22</v>
      </c>
      <c r="C351" s="7" t="s">
        <v>1948</v>
      </c>
      <c r="D351" s="9">
        <v>1.0</v>
      </c>
      <c r="E351" s="9" t="s">
        <v>2236</v>
      </c>
      <c r="F351" s="7" t="s">
        <v>2345</v>
      </c>
      <c r="G351" s="10" t="s">
        <v>2346</v>
      </c>
      <c r="H351" s="9">
        <v>4.0</v>
      </c>
      <c r="I351" s="51" t="s">
        <v>2050</v>
      </c>
      <c r="J351" s="9" t="s">
        <v>72</v>
      </c>
      <c r="K351" s="35" t="s">
        <v>2347</v>
      </c>
      <c r="L351" s="13" t="s">
        <v>2348</v>
      </c>
      <c r="M351" s="13" t="s">
        <v>2349</v>
      </c>
      <c r="N351" s="13" t="s">
        <v>2350</v>
      </c>
      <c r="O351" s="13" t="s">
        <v>2351</v>
      </c>
    </row>
    <row r="352" hidden="1">
      <c r="A352" s="22" t="s">
        <v>2352</v>
      </c>
      <c r="B352" s="7" t="s">
        <v>22</v>
      </c>
      <c r="C352" s="7" t="s">
        <v>1948</v>
      </c>
      <c r="D352" s="9">
        <v>1.0</v>
      </c>
      <c r="E352" s="9" t="s">
        <v>2247</v>
      </c>
      <c r="F352" s="7" t="s">
        <v>2353</v>
      </c>
      <c r="G352" s="17" t="s">
        <v>2354</v>
      </c>
      <c r="H352" s="9">
        <v>2.0</v>
      </c>
      <c r="I352" s="9" t="s">
        <v>1975</v>
      </c>
      <c r="J352" s="9" t="s">
        <v>72</v>
      </c>
      <c r="K352" s="16" t="s">
        <v>2355</v>
      </c>
      <c r="L352" s="13" t="s">
        <v>2356</v>
      </c>
      <c r="M352" s="13" t="s">
        <v>2357</v>
      </c>
    </row>
    <row r="353" hidden="1">
      <c r="A353" s="16" t="s">
        <v>2358</v>
      </c>
      <c r="B353" s="7" t="s">
        <v>22</v>
      </c>
      <c r="C353" s="7" t="s">
        <v>1948</v>
      </c>
      <c r="D353" s="9">
        <v>1.0</v>
      </c>
      <c r="E353" s="15" t="s">
        <v>1233</v>
      </c>
      <c r="F353" s="16" t="s">
        <v>2359</v>
      </c>
      <c r="G353" s="17" t="s">
        <v>2360</v>
      </c>
      <c r="H353" s="15">
        <v>2.0</v>
      </c>
      <c r="I353" s="15" t="s">
        <v>1979</v>
      </c>
      <c r="J353" s="15" t="s">
        <v>28</v>
      </c>
      <c r="K353" s="16" t="s">
        <v>2361</v>
      </c>
      <c r="L353" s="13" t="s">
        <v>2362</v>
      </c>
      <c r="M353" s="13" t="s">
        <v>2363</v>
      </c>
      <c r="N353" s="13" t="s">
        <v>2364</v>
      </c>
      <c r="O353" s="13" t="s">
        <v>2365</v>
      </c>
    </row>
    <row r="354" hidden="1">
      <c r="A354" s="7" t="s">
        <v>2366</v>
      </c>
      <c r="B354" s="7" t="s">
        <v>22</v>
      </c>
      <c r="C354" s="7" t="s">
        <v>1948</v>
      </c>
      <c r="D354" s="9">
        <v>1.0</v>
      </c>
      <c r="E354" s="15" t="s">
        <v>2367</v>
      </c>
      <c r="F354" s="16" t="s">
        <v>2368</v>
      </c>
      <c r="G354" s="17" t="s">
        <v>2369</v>
      </c>
      <c r="H354" s="15">
        <v>2.0</v>
      </c>
      <c r="I354" s="15" t="s">
        <v>2157</v>
      </c>
      <c r="J354" s="9" t="s">
        <v>72</v>
      </c>
      <c r="K354" s="16" t="s">
        <v>2370</v>
      </c>
      <c r="L354" s="13" t="s">
        <v>2371</v>
      </c>
      <c r="M354" s="13" t="s">
        <v>2372</v>
      </c>
      <c r="N354" s="13" t="s">
        <v>2373</v>
      </c>
      <c r="O354" s="13" t="s">
        <v>2374</v>
      </c>
      <c r="P354" s="13" t="s">
        <v>2375</v>
      </c>
      <c r="Q354" s="13" t="s">
        <v>2376</v>
      </c>
    </row>
    <row r="355" hidden="1">
      <c r="A355" s="7" t="s">
        <v>2377</v>
      </c>
      <c r="B355" s="7" t="s">
        <v>22</v>
      </c>
      <c r="C355" s="7" t="s">
        <v>1948</v>
      </c>
      <c r="D355" s="9">
        <v>1.0</v>
      </c>
      <c r="E355" s="9" t="s">
        <v>337</v>
      </c>
      <c r="F355" s="7" t="s">
        <v>2378</v>
      </c>
      <c r="G355" s="10" t="s">
        <v>2379</v>
      </c>
      <c r="H355" s="9">
        <v>3.0</v>
      </c>
      <c r="I355" s="9" t="s">
        <v>2157</v>
      </c>
      <c r="J355" s="9" t="s">
        <v>72</v>
      </c>
      <c r="K355" s="16" t="s">
        <v>2380</v>
      </c>
      <c r="L355" s="13" t="s">
        <v>2381</v>
      </c>
      <c r="M355" s="13" t="s">
        <v>2382</v>
      </c>
      <c r="N355" s="13" t="s">
        <v>2383</v>
      </c>
    </row>
    <row r="356" hidden="1">
      <c r="A356" s="7" t="s">
        <v>2384</v>
      </c>
      <c r="B356" s="7" t="s">
        <v>22</v>
      </c>
      <c r="C356" s="7" t="s">
        <v>1948</v>
      </c>
      <c r="D356" s="9">
        <v>1.0</v>
      </c>
      <c r="E356" s="9" t="s">
        <v>1233</v>
      </c>
      <c r="F356" s="16" t="s">
        <v>2385</v>
      </c>
      <c r="G356" s="10" t="s">
        <v>2386</v>
      </c>
      <c r="H356" s="9">
        <v>3.0</v>
      </c>
      <c r="I356" s="9" t="s">
        <v>1975</v>
      </c>
      <c r="J356" s="9" t="s">
        <v>28</v>
      </c>
      <c r="K356" s="16" t="s">
        <v>2387</v>
      </c>
      <c r="L356" s="13" t="s">
        <v>2388</v>
      </c>
      <c r="M356" s="13" t="s">
        <v>2389</v>
      </c>
    </row>
    <row r="357" hidden="1">
      <c r="A357" s="16" t="s">
        <v>2390</v>
      </c>
      <c r="B357" s="7" t="s">
        <v>22</v>
      </c>
      <c r="C357" s="7" t="s">
        <v>1948</v>
      </c>
      <c r="D357" s="9">
        <v>1.0</v>
      </c>
      <c r="E357" s="15" t="s">
        <v>1233</v>
      </c>
      <c r="F357" s="16" t="s">
        <v>2391</v>
      </c>
      <c r="G357" s="17" t="s">
        <v>2392</v>
      </c>
      <c r="H357" s="15">
        <v>3.0</v>
      </c>
      <c r="I357" s="15" t="s">
        <v>1975</v>
      </c>
      <c r="J357" s="15" t="s">
        <v>28</v>
      </c>
      <c r="K357" s="16" t="s">
        <v>2393</v>
      </c>
      <c r="L357" s="13" t="s">
        <v>2394</v>
      </c>
      <c r="M357" s="13" t="s">
        <v>2395</v>
      </c>
      <c r="N357" s="13" t="s">
        <v>2396</v>
      </c>
      <c r="O357" s="13" t="s">
        <v>2397</v>
      </c>
    </row>
    <row r="358" hidden="1">
      <c r="A358" s="24" t="s">
        <v>2398</v>
      </c>
      <c r="B358" s="7" t="s">
        <v>22</v>
      </c>
      <c r="C358" s="7" t="s">
        <v>1948</v>
      </c>
      <c r="D358" s="9">
        <v>1.0</v>
      </c>
      <c r="E358" s="21" t="s">
        <v>1972</v>
      </c>
      <c r="F358" s="7" t="s">
        <v>2399</v>
      </c>
      <c r="G358" s="17" t="s">
        <v>2400</v>
      </c>
      <c r="H358" s="9">
        <v>2.0</v>
      </c>
      <c r="I358" s="9" t="s">
        <v>1979</v>
      </c>
      <c r="J358" s="15" t="s">
        <v>28</v>
      </c>
      <c r="K358" s="35" t="s">
        <v>2401</v>
      </c>
      <c r="L358" s="13" t="s">
        <v>2402</v>
      </c>
      <c r="M358" s="13" t="s">
        <v>2403</v>
      </c>
      <c r="N358" s="13" t="s">
        <v>2404</v>
      </c>
      <c r="O358" s="13" t="s">
        <v>2405</v>
      </c>
      <c r="P358" s="13" t="s">
        <v>2406</v>
      </c>
      <c r="Q358" s="13" t="s">
        <v>2407</v>
      </c>
      <c r="R358" s="13" t="s">
        <v>2408</v>
      </c>
      <c r="S358" s="13" t="s">
        <v>2409</v>
      </c>
      <c r="T358" s="13" t="s">
        <v>2410</v>
      </c>
    </row>
    <row r="359" hidden="1">
      <c r="A359" s="7" t="s">
        <v>2411</v>
      </c>
      <c r="B359" s="7" t="s">
        <v>22</v>
      </c>
      <c r="C359" s="7" t="s">
        <v>1948</v>
      </c>
      <c r="D359" s="9">
        <v>1.0</v>
      </c>
      <c r="E359" s="9" t="s">
        <v>1898</v>
      </c>
      <c r="F359" s="7" t="s">
        <v>2412</v>
      </c>
      <c r="G359" s="104" t="s">
        <v>2413</v>
      </c>
      <c r="H359" s="9">
        <v>4.0</v>
      </c>
      <c r="I359" s="9" t="s">
        <v>2157</v>
      </c>
      <c r="J359" s="15" t="s">
        <v>28</v>
      </c>
      <c r="K359" s="16" t="s">
        <v>2414</v>
      </c>
      <c r="L359" s="13" t="s">
        <v>2415</v>
      </c>
      <c r="M359" s="13" t="s">
        <v>2416</v>
      </c>
      <c r="N359" s="13" t="s">
        <v>2417</v>
      </c>
      <c r="O359" s="13" t="s">
        <v>2418</v>
      </c>
      <c r="P359" s="13" t="s">
        <v>2419</v>
      </c>
      <c r="Q359" s="13" t="s">
        <v>2420</v>
      </c>
    </row>
    <row r="360" hidden="1">
      <c r="A360" s="20" t="s">
        <v>2421</v>
      </c>
      <c r="B360" s="7" t="s">
        <v>22</v>
      </c>
      <c r="C360" s="7" t="s">
        <v>1948</v>
      </c>
      <c r="D360" s="9">
        <v>1.0</v>
      </c>
      <c r="E360" s="9" t="s">
        <v>183</v>
      </c>
      <c r="F360" s="7" t="s">
        <v>2422</v>
      </c>
      <c r="G360" s="10" t="s">
        <v>2423</v>
      </c>
      <c r="H360" s="9">
        <v>0.0</v>
      </c>
      <c r="I360" s="9" t="s">
        <v>1975</v>
      </c>
      <c r="J360" s="9" t="s">
        <v>28</v>
      </c>
      <c r="K360" s="35" t="s">
        <v>2424</v>
      </c>
      <c r="L360" s="13" t="s">
        <v>2425</v>
      </c>
      <c r="M360" s="13" t="s">
        <v>2426</v>
      </c>
      <c r="N360" s="13" t="s">
        <v>2427</v>
      </c>
      <c r="O360" s="13" t="s">
        <v>2428</v>
      </c>
      <c r="P360" s="13" t="s">
        <v>2429</v>
      </c>
      <c r="Q360" s="13" t="s">
        <v>2430</v>
      </c>
      <c r="R360" s="13" t="s">
        <v>2431</v>
      </c>
      <c r="S360" s="13" t="s">
        <v>2432</v>
      </c>
    </row>
    <row r="361" hidden="1">
      <c r="A361" s="55" t="s">
        <v>2433</v>
      </c>
      <c r="B361" s="7" t="s">
        <v>22</v>
      </c>
      <c r="C361" s="55" t="s">
        <v>1948</v>
      </c>
      <c r="D361" s="54">
        <v>1.0</v>
      </c>
      <c r="E361" s="54" t="s">
        <v>1522</v>
      </c>
      <c r="F361" s="55" t="s">
        <v>2434</v>
      </c>
      <c r="G361" s="56" t="s">
        <v>2435</v>
      </c>
      <c r="H361" s="54">
        <v>4.0</v>
      </c>
      <c r="I361" s="54" t="s">
        <v>1965</v>
      </c>
      <c r="J361" s="54" t="s">
        <v>72</v>
      </c>
      <c r="K361" s="16" t="s">
        <v>2436</v>
      </c>
      <c r="L361" s="13" t="s">
        <v>2437</v>
      </c>
      <c r="M361" s="13" t="s">
        <v>2438</v>
      </c>
      <c r="N361" s="13" t="s">
        <v>2439</v>
      </c>
      <c r="O361" s="13" t="s">
        <v>2440</v>
      </c>
      <c r="P361" s="13" t="s">
        <v>2441</v>
      </c>
    </row>
    <row r="362">
      <c r="A362" s="16" t="s">
        <v>2442</v>
      </c>
      <c r="B362" s="16"/>
      <c r="C362" s="16" t="s">
        <v>23</v>
      </c>
      <c r="D362" s="15">
        <v>3.0</v>
      </c>
      <c r="E362" s="16" t="s">
        <v>2443</v>
      </c>
      <c r="F362" s="16" t="s">
        <v>2444</v>
      </c>
      <c r="H362" s="15">
        <v>4.0</v>
      </c>
      <c r="I362" s="15" t="s">
        <v>173</v>
      </c>
      <c r="J362" s="16" t="s">
        <v>72</v>
      </c>
    </row>
    <row r="363">
      <c r="A363" s="16" t="s">
        <v>2445</v>
      </c>
      <c r="B363" s="16"/>
      <c r="C363" s="16" t="s">
        <v>1948</v>
      </c>
      <c r="D363" s="15">
        <v>3.0</v>
      </c>
      <c r="E363" s="16" t="s">
        <v>2446</v>
      </c>
      <c r="F363" s="16" t="s">
        <v>2447</v>
      </c>
      <c r="H363" s="15">
        <v>3.0</v>
      </c>
      <c r="I363" s="15" t="s">
        <v>2448</v>
      </c>
      <c r="J363" s="16" t="s">
        <v>34</v>
      </c>
    </row>
    <row r="364">
      <c r="A364" s="16" t="s">
        <v>2449</v>
      </c>
      <c r="B364" s="16"/>
      <c r="C364" s="16" t="s">
        <v>1058</v>
      </c>
      <c r="D364" s="15">
        <v>3.0</v>
      </c>
      <c r="E364" s="16" t="s">
        <v>39</v>
      </c>
      <c r="F364" s="16" t="s">
        <v>2450</v>
      </c>
      <c r="H364" s="15">
        <v>1.0</v>
      </c>
      <c r="I364" s="15" t="s">
        <v>1088</v>
      </c>
      <c r="J364" s="16" t="s">
        <v>28</v>
      </c>
    </row>
    <row r="365">
      <c r="A365" s="16" t="s">
        <v>2451</v>
      </c>
      <c r="B365" s="16"/>
      <c r="C365" s="16" t="s">
        <v>420</v>
      </c>
      <c r="D365" s="15">
        <v>3.0</v>
      </c>
      <c r="E365" s="16" t="s">
        <v>632</v>
      </c>
      <c r="F365" s="16" t="s">
        <v>2452</v>
      </c>
      <c r="H365" s="15">
        <v>3.0</v>
      </c>
      <c r="I365" s="15" t="s">
        <v>587</v>
      </c>
      <c r="J365" s="16" t="s">
        <v>28</v>
      </c>
    </row>
    <row r="366">
      <c r="A366" s="16" t="s">
        <v>2453</v>
      </c>
      <c r="B366" s="16"/>
      <c r="C366" s="16" t="s">
        <v>972</v>
      </c>
      <c r="D366" s="15">
        <v>3.0</v>
      </c>
      <c r="E366" s="16" t="s">
        <v>2454</v>
      </c>
      <c r="F366" s="16" t="s">
        <v>2455</v>
      </c>
      <c r="H366" s="15">
        <v>6.0</v>
      </c>
      <c r="I366" s="15" t="s">
        <v>2456</v>
      </c>
      <c r="J366" s="16" t="s">
        <v>72</v>
      </c>
    </row>
    <row r="367">
      <c r="A367" s="16" t="s">
        <v>2457</v>
      </c>
      <c r="B367" s="16"/>
      <c r="C367" s="16" t="s">
        <v>393</v>
      </c>
      <c r="D367" s="15">
        <v>3.0</v>
      </c>
      <c r="E367" s="16" t="s">
        <v>2458</v>
      </c>
      <c r="F367" s="16" t="s">
        <v>2459</v>
      </c>
      <c r="H367" s="15">
        <v>5.0</v>
      </c>
      <c r="I367" s="15" t="s">
        <v>2460</v>
      </c>
      <c r="J367" s="16" t="s">
        <v>34</v>
      </c>
    </row>
    <row r="368">
      <c r="A368" s="16" t="s">
        <v>2461</v>
      </c>
      <c r="B368" s="16"/>
      <c r="C368" s="16" t="s">
        <v>1562</v>
      </c>
      <c r="D368" s="15">
        <v>3.0</v>
      </c>
      <c r="E368" s="16" t="s">
        <v>2462</v>
      </c>
      <c r="F368" s="16" t="s">
        <v>2463</v>
      </c>
      <c r="H368" s="15">
        <v>5.0</v>
      </c>
      <c r="I368" s="15" t="s">
        <v>1596</v>
      </c>
      <c r="J368" s="16" t="s">
        <v>72</v>
      </c>
    </row>
    <row r="369">
      <c r="A369" s="16" t="s">
        <v>2464</v>
      </c>
      <c r="B369" s="16"/>
      <c r="C369" s="16" t="s">
        <v>23</v>
      </c>
      <c r="D369" s="15">
        <v>3.0</v>
      </c>
      <c r="E369" s="16" t="s">
        <v>113</v>
      </c>
      <c r="F369" s="16" t="s">
        <v>2465</v>
      </c>
      <c r="H369" s="15">
        <v>2.0</v>
      </c>
      <c r="I369" s="15" t="s">
        <v>108</v>
      </c>
      <c r="J369" s="16" t="s">
        <v>28</v>
      </c>
    </row>
    <row r="370">
      <c r="A370" s="16" t="s">
        <v>2466</v>
      </c>
      <c r="B370" s="16"/>
      <c r="C370" s="16" t="s">
        <v>420</v>
      </c>
      <c r="D370" s="15">
        <v>3.0</v>
      </c>
      <c r="E370" s="16" t="s">
        <v>2467</v>
      </c>
      <c r="F370" s="16" t="s">
        <v>2468</v>
      </c>
      <c r="H370" s="15">
        <v>3.0</v>
      </c>
      <c r="I370" s="15" t="s">
        <v>423</v>
      </c>
      <c r="J370" s="16" t="s">
        <v>28</v>
      </c>
    </row>
    <row r="371">
      <c r="A371" s="16" t="s">
        <v>2469</v>
      </c>
      <c r="B371" s="16"/>
      <c r="C371" s="16" t="s">
        <v>895</v>
      </c>
      <c r="D371" s="15">
        <v>3.0</v>
      </c>
      <c r="E371" s="16" t="s">
        <v>2470</v>
      </c>
      <c r="F371" s="16" t="s">
        <v>2471</v>
      </c>
      <c r="H371" s="15">
        <v>3.0</v>
      </c>
      <c r="I371" s="15" t="s">
        <v>2472</v>
      </c>
      <c r="J371" s="16" t="s">
        <v>72</v>
      </c>
    </row>
    <row r="372">
      <c r="A372" s="16" t="s">
        <v>2473</v>
      </c>
      <c r="B372" s="16"/>
      <c r="C372" s="16" t="s">
        <v>1948</v>
      </c>
      <c r="D372" s="15">
        <v>3.0</v>
      </c>
      <c r="E372" s="16" t="s">
        <v>2474</v>
      </c>
      <c r="F372" s="16" t="s">
        <v>2475</v>
      </c>
      <c r="H372" s="105"/>
      <c r="I372" s="105"/>
    </row>
    <row r="373">
      <c r="A373" s="16" t="s">
        <v>2476</v>
      </c>
      <c r="B373" s="16"/>
      <c r="C373" s="16" t="s">
        <v>1562</v>
      </c>
      <c r="D373" s="15">
        <v>3.0</v>
      </c>
      <c r="E373" s="16" t="s">
        <v>1455</v>
      </c>
      <c r="F373" s="16" t="s">
        <v>2477</v>
      </c>
      <c r="H373" s="15">
        <v>3.0</v>
      </c>
      <c r="I373" s="15" t="s">
        <v>1591</v>
      </c>
      <c r="J373" s="16" t="s">
        <v>28</v>
      </c>
    </row>
    <row r="374">
      <c r="A374" s="16" t="s">
        <v>2478</v>
      </c>
      <c r="B374" s="16"/>
      <c r="C374" s="16" t="s">
        <v>1948</v>
      </c>
      <c r="D374" s="15">
        <v>3.0</v>
      </c>
      <c r="E374" s="16" t="s">
        <v>2479</v>
      </c>
      <c r="F374" s="16" t="s">
        <v>2480</v>
      </c>
      <c r="H374" s="15">
        <v>4.0</v>
      </c>
      <c r="I374" s="15" t="s">
        <v>2157</v>
      </c>
      <c r="J374" s="16" t="s">
        <v>72</v>
      </c>
    </row>
    <row r="375">
      <c r="A375" s="16" t="s">
        <v>2481</v>
      </c>
      <c r="B375" s="16"/>
      <c r="C375" s="16" t="s">
        <v>2482</v>
      </c>
      <c r="D375" s="15">
        <v>3.0</v>
      </c>
      <c r="E375" s="16" t="s">
        <v>30</v>
      </c>
      <c r="F375" s="16" t="s">
        <v>2483</v>
      </c>
      <c r="H375" s="15">
        <v>3.0</v>
      </c>
      <c r="I375" s="15" t="s">
        <v>2484</v>
      </c>
      <c r="J375" s="16" t="s">
        <v>28</v>
      </c>
    </row>
    <row r="376">
      <c r="A376" s="16" t="s">
        <v>2485</v>
      </c>
      <c r="B376" s="16"/>
      <c r="C376" s="16" t="s">
        <v>420</v>
      </c>
      <c r="D376" s="15">
        <v>3.0</v>
      </c>
      <c r="E376" s="16" t="s">
        <v>2486</v>
      </c>
      <c r="F376" s="16" t="s">
        <v>2487</v>
      </c>
      <c r="H376" s="15">
        <v>5.0</v>
      </c>
      <c r="I376" s="15" t="s">
        <v>527</v>
      </c>
      <c r="J376" s="16" t="s">
        <v>28</v>
      </c>
    </row>
    <row r="377">
      <c r="A377" s="16" t="s">
        <v>2488</v>
      </c>
      <c r="B377" s="16"/>
      <c r="C377" s="14" t="s">
        <v>23</v>
      </c>
      <c r="D377" s="15">
        <v>3.0</v>
      </c>
      <c r="E377" s="15" t="s">
        <v>82</v>
      </c>
      <c r="F377" s="16" t="s">
        <v>2489</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c r="A378" s="16" t="s">
        <v>2490</v>
      </c>
      <c r="B378" s="16"/>
      <c r="C378" s="16" t="s">
        <v>420</v>
      </c>
      <c r="D378" s="15">
        <v>3.0</v>
      </c>
      <c r="E378" s="16" t="s">
        <v>2491</v>
      </c>
      <c r="F378" s="16" t="s">
        <v>2492</v>
      </c>
      <c r="H378" s="15">
        <v>2.0</v>
      </c>
      <c r="I378" s="15" t="s">
        <v>587</v>
      </c>
      <c r="J378" s="16" t="s">
        <v>72</v>
      </c>
    </row>
    <row r="379">
      <c r="A379" s="22" t="s">
        <v>2493</v>
      </c>
      <c r="B379" s="22"/>
      <c r="C379" s="89" t="s">
        <v>1562</v>
      </c>
      <c r="D379" s="9">
        <v>3.0</v>
      </c>
      <c r="E379" s="9" t="s">
        <v>82</v>
      </c>
      <c r="F379" s="7" t="s">
        <v>2494</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1765</v>
      </c>
      <c r="J379" s="9" t="s">
        <v>34</v>
      </c>
    </row>
    <row r="380">
      <c r="A380" s="7" t="s">
        <v>2366</v>
      </c>
      <c r="B380" s="7"/>
      <c r="C380" s="98" t="s">
        <v>1948</v>
      </c>
      <c r="D380" s="9">
        <v>3.0</v>
      </c>
      <c r="E380" s="15" t="s">
        <v>2495</v>
      </c>
      <c r="F380" s="16" t="s">
        <v>2368</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2157</v>
      </c>
      <c r="J380" s="9" t="s">
        <v>34</v>
      </c>
    </row>
    <row r="381">
      <c r="A381" s="7" t="s">
        <v>2496</v>
      </c>
      <c r="B381" s="7"/>
      <c r="C381" s="8" t="s">
        <v>23</v>
      </c>
      <c r="D381" s="9">
        <v>3.0</v>
      </c>
      <c r="E381" s="9" t="s">
        <v>410</v>
      </c>
      <c r="F381" s="7" t="s">
        <v>2497</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c r="A382" s="28" t="s">
        <v>2498</v>
      </c>
      <c r="B382" s="28"/>
      <c r="C382" s="106" t="s">
        <v>23</v>
      </c>
      <c r="D382" s="66">
        <v>3.0</v>
      </c>
      <c r="E382" s="68" t="s">
        <v>2499</v>
      </c>
      <c r="F382" s="29" t="s">
        <v>2500</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64</v>
      </c>
      <c r="J382" s="68" t="s">
        <v>28</v>
      </c>
    </row>
    <row r="383">
      <c r="A383" s="16" t="s">
        <v>2501</v>
      </c>
      <c r="B383" s="16"/>
      <c r="C383" s="16" t="s">
        <v>393</v>
      </c>
      <c r="D383" s="15">
        <v>3.0</v>
      </c>
      <c r="E383" s="15" t="s">
        <v>1504</v>
      </c>
      <c r="F383" s="16" t="s">
        <v>2502</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c r="A384" s="7" t="s">
        <v>2503</v>
      </c>
      <c r="B384" s="7"/>
      <c r="C384" s="49" t="s">
        <v>420</v>
      </c>
      <c r="D384" s="9">
        <v>3.0</v>
      </c>
      <c r="E384" s="9" t="s">
        <v>435</v>
      </c>
      <c r="F384" s="16" t="s">
        <v>2504</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c r="A385" s="7" t="s">
        <v>2505</v>
      </c>
      <c r="B385" s="7"/>
      <c r="C385" s="7" t="s">
        <v>319</v>
      </c>
      <c r="D385" s="9">
        <v>3.0</v>
      </c>
      <c r="E385" s="9" t="s">
        <v>157</v>
      </c>
      <c r="F385" s="7" t="s">
        <v>2506</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c r="B386" s="20"/>
      <c r="D386" s="15">
        <v>3.0</v>
      </c>
      <c r="F386" s="16" t="s">
        <v>2507</v>
      </c>
      <c r="H386" s="105"/>
      <c r="I386" s="105"/>
    </row>
    <row r="387">
      <c r="B387" s="20"/>
      <c r="D387" s="15">
        <v>3.0</v>
      </c>
      <c r="E387" s="16" t="s">
        <v>2069</v>
      </c>
      <c r="H387" s="105"/>
      <c r="I387" s="105"/>
    </row>
    <row r="388">
      <c r="B388" s="20"/>
      <c r="D388" s="15">
        <v>3.0</v>
      </c>
      <c r="F388" s="16" t="s">
        <v>2508</v>
      </c>
      <c r="H388" s="105"/>
      <c r="I388" s="105"/>
    </row>
    <row r="389">
      <c r="A389" s="16" t="s">
        <v>2509</v>
      </c>
      <c r="B389" s="16"/>
      <c r="C389" s="16" t="s">
        <v>1562</v>
      </c>
      <c r="D389" s="15">
        <v>3.0</v>
      </c>
      <c r="E389" s="16" t="s">
        <v>39</v>
      </c>
      <c r="F389" s="16" t="s">
        <v>2510</v>
      </c>
      <c r="H389" s="15">
        <v>1.0</v>
      </c>
      <c r="I389" s="15" t="s">
        <v>1795</v>
      </c>
      <c r="J389" s="16" t="s">
        <v>28</v>
      </c>
    </row>
    <row r="390">
      <c r="B390" s="20"/>
      <c r="D390" s="15">
        <v>3.0</v>
      </c>
      <c r="F390" s="16" t="s">
        <v>2511</v>
      </c>
      <c r="H390" s="105"/>
      <c r="I390" s="105"/>
    </row>
    <row r="391">
      <c r="A391" s="16" t="s">
        <v>2512</v>
      </c>
      <c r="B391" s="16"/>
      <c r="C391" s="16" t="s">
        <v>1058</v>
      </c>
      <c r="D391" s="15">
        <v>3.0</v>
      </c>
      <c r="E391" s="16" t="s">
        <v>698</v>
      </c>
      <c r="F391" s="16" t="s">
        <v>2513</v>
      </c>
      <c r="H391" s="105"/>
      <c r="I391" s="105"/>
    </row>
    <row r="392">
      <c r="A392" s="7" t="s">
        <v>2514</v>
      </c>
      <c r="B392" s="7"/>
      <c r="C392" s="7" t="s">
        <v>1058</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c r="A393" s="16" t="s">
        <v>2515</v>
      </c>
      <c r="B393" s="16"/>
      <c r="D393" s="16">
        <v>3.0</v>
      </c>
      <c r="F393" s="16" t="s">
        <v>2516</v>
      </c>
      <c r="H393" s="105"/>
      <c r="I393" s="105"/>
    </row>
    <row r="394">
      <c r="B394" s="20"/>
      <c r="D394" s="15">
        <v>3.0</v>
      </c>
      <c r="F394" s="16" t="s">
        <v>2517</v>
      </c>
      <c r="H394" s="105"/>
      <c r="I394" s="105"/>
    </row>
    <row r="395">
      <c r="B395" s="20"/>
      <c r="D395" s="15">
        <v>3.0</v>
      </c>
      <c r="F395" s="16" t="s">
        <v>2518</v>
      </c>
      <c r="H395" s="105"/>
      <c r="I395" s="105"/>
    </row>
    <row r="396">
      <c r="B396" s="20"/>
      <c r="D396" s="15">
        <v>3.0</v>
      </c>
      <c r="F396" s="16" t="s">
        <v>2519</v>
      </c>
      <c r="H396" s="105"/>
      <c r="I396" s="105"/>
    </row>
    <row r="397">
      <c r="A397" s="16" t="s">
        <v>2520</v>
      </c>
      <c r="B397" s="16"/>
      <c r="D397" s="15">
        <v>3.0</v>
      </c>
      <c r="E397" s="16" t="s">
        <v>2521</v>
      </c>
      <c r="F397" s="16" t="s">
        <v>2522</v>
      </c>
      <c r="H397" s="105"/>
      <c r="I397" s="105"/>
    </row>
    <row r="398">
      <c r="B398" s="20"/>
      <c r="D398" s="15">
        <v>3.0</v>
      </c>
      <c r="F398" s="107" t="s">
        <v>2523</v>
      </c>
      <c r="H398" s="105"/>
      <c r="I398" s="105"/>
    </row>
    <row r="399">
      <c r="A399" s="16" t="s">
        <v>2524</v>
      </c>
      <c r="B399" s="16"/>
      <c r="D399" s="15">
        <v>3.0</v>
      </c>
      <c r="E399" s="16" t="s">
        <v>2525</v>
      </c>
      <c r="F399" s="16" t="s">
        <v>2526</v>
      </c>
      <c r="H399" s="105"/>
      <c r="I399" s="105"/>
    </row>
    <row r="400">
      <c r="A400" s="16" t="s">
        <v>2527</v>
      </c>
      <c r="B400" s="16"/>
      <c r="D400" s="15">
        <v>3.0</v>
      </c>
      <c r="E400" s="16" t="s">
        <v>2525</v>
      </c>
      <c r="F400" s="16" t="s">
        <v>2528</v>
      </c>
      <c r="H400" s="105"/>
      <c r="I400" s="105"/>
    </row>
    <row r="401">
      <c r="A401" s="16" t="s">
        <v>2529</v>
      </c>
      <c r="B401" s="16"/>
      <c r="D401" s="15">
        <v>3.0</v>
      </c>
      <c r="E401" s="16" t="s">
        <v>2525</v>
      </c>
      <c r="F401" s="16" t="s">
        <v>2530</v>
      </c>
      <c r="H401" s="105"/>
      <c r="I401" s="105"/>
    </row>
    <row r="402">
      <c r="A402" s="16" t="s">
        <v>2531</v>
      </c>
      <c r="B402" s="16"/>
      <c r="D402" s="15">
        <v>3.0</v>
      </c>
      <c r="E402" s="16" t="s">
        <v>2525</v>
      </c>
      <c r="F402" s="16" t="s">
        <v>2532</v>
      </c>
      <c r="H402" s="105"/>
      <c r="I402" s="105"/>
    </row>
    <row r="403">
      <c r="A403" s="16" t="s">
        <v>2533</v>
      </c>
      <c r="B403" s="16"/>
      <c r="D403" s="15">
        <v>3.0</v>
      </c>
      <c r="E403" s="16" t="s">
        <v>2525</v>
      </c>
      <c r="F403" s="16" t="s">
        <v>2534</v>
      </c>
      <c r="H403" s="105"/>
      <c r="I403" s="105"/>
    </row>
    <row r="404">
      <c r="A404" s="16" t="s">
        <v>2535</v>
      </c>
      <c r="B404" s="16"/>
      <c r="C404" s="16" t="s">
        <v>393</v>
      </c>
      <c r="D404" s="15">
        <v>3.0</v>
      </c>
      <c r="F404" s="16" t="s">
        <v>2536</v>
      </c>
      <c r="H404" s="105"/>
      <c r="I404" s="15" t="s">
        <v>476</v>
      </c>
      <c r="J404" s="16" t="s">
        <v>72</v>
      </c>
    </row>
    <row r="405">
      <c r="B405" s="20"/>
      <c r="D405" s="16">
        <v>3.0</v>
      </c>
      <c r="F405" s="16" t="s">
        <v>2537</v>
      </c>
      <c r="H405" s="105"/>
      <c r="I405" s="105"/>
    </row>
    <row r="406">
      <c r="A406" s="16" t="s">
        <v>2538</v>
      </c>
      <c r="B406" s="16"/>
      <c r="C406" s="16" t="s">
        <v>420</v>
      </c>
      <c r="D406" s="15">
        <v>3.0</v>
      </c>
      <c r="F406" s="16" t="s">
        <v>2539</v>
      </c>
      <c r="H406" s="105"/>
      <c r="I406" s="105"/>
    </row>
    <row r="407" hidden="1">
      <c r="A407" s="7" t="s">
        <v>2540</v>
      </c>
      <c r="B407" s="7" t="s">
        <v>22</v>
      </c>
      <c r="C407" s="7" t="s">
        <v>1948</v>
      </c>
      <c r="D407" s="9">
        <v>1.0</v>
      </c>
      <c r="E407" s="9" t="s">
        <v>1903</v>
      </c>
      <c r="F407" s="7" t="s">
        <v>2541</v>
      </c>
      <c r="G407" s="10" t="s">
        <v>2542</v>
      </c>
      <c r="H407" s="9">
        <v>1.0</v>
      </c>
      <c r="I407" s="9" t="s">
        <v>1979</v>
      </c>
      <c r="J407" s="9" t="s">
        <v>28</v>
      </c>
      <c r="K407" s="16" t="s">
        <v>2543</v>
      </c>
      <c r="L407" s="13" t="s">
        <v>2544</v>
      </c>
      <c r="M407" s="13" t="s">
        <v>2545</v>
      </c>
      <c r="N407" s="13" t="s">
        <v>2546</v>
      </c>
      <c r="O407" s="13" t="s">
        <v>2547</v>
      </c>
    </row>
    <row r="408" hidden="1">
      <c r="A408" s="24" t="s">
        <v>2548</v>
      </c>
      <c r="B408" s="7" t="s">
        <v>22</v>
      </c>
      <c r="C408" s="7" t="s">
        <v>1948</v>
      </c>
      <c r="D408" s="9">
        <v>1.0</v>
      </c>
      <c r="E408" s="9" t="s">
        <v>998</v>
      </c>
      <c r="F408" s="7" t="s">
        <v>637</v>
      </c>
      <c r="G408" s="17" t="s">
        <v>2549</v>
      </c>
      <c r="H408" s="21">
        <v>3.0</v>
      </c>
      <c r="I408" s="9" t="s">
        <v>1975</v>
      </c>
      <c r="J408" s="21" t="s">
        <v>28</v>
      </c>
      <c r="K408" s="16" t="s">
        <v>2550</v>
      </c>
      <c r="L408" s="13" t="s">
        <v>2551</v>
      </c>
      <c r="M408" s="13" t="s">
        <v>2552</v>
      </c>
      <c r="N408" s="13" t="s">
        <v>2553</v>
      </c>
      <c r="O408" s="13" t="s">
        <v>2554</v>
      </c>
      <c r="P408" s="13" t="s">
        <v>2555</v>
      </c>
      <c r="Q408" s="13" t="s">
        <v>2556</v>
      </c>
      <c r="R408" s="13" t="s">
        <v>2557</v>
      </c>
      <c r="S408" s="13" t="s">
        <v>2558</v>
      </c>
    </row>
    <row r="409" hidden="1">
      <c r="A409" s="24" t="s">
        <v>2559</v>
      </c>
      <c r="B409" s="7" t="s">
        <v>22</v>
      </c>
      <c r="C409" s="7" t="s">
        <v>1948</v>
      </c>
      <c r="D409" s="9">
        <v>1.0</v>
      </c>
      <c r="E409" s="9" t="s">
        <v>998</v>
      </c>
      <c r="F409" s="7" t="s">
        <v>2560</v>
      </c>
      <c r="G409" s="17" t="s">
        <v>2561</v>
      </c>
      <c r="H409" s="21">
        <v>4.0</v>
      </c>
      <c r="I409" s="9" t="s">
        <v>2050</v>
      </c>
      <c r="J409" s="21" t="s">
        <v>28</v>
      </c>
      <c r="K409" s="16" t="s">
        <v>2562</v>
      </c>
      <c r="L409" s="13" t="s">
        <v>2563</v>
      </c>
      <c r="M409" s="13" t="s">
        <v>2564</v>
      </c>
      <c r="N409" s="13" t="s">
        <v>2565</v>
      </c>
    </row>
    <row r="410" hidden="1">
      <c r="A410" s="7" t="s">
        <v>2566</v>
      </c>
      <c r="B410" s="7" t="s">
        <v>22</v>
      </c>
      <c r="C410" s="7" t="s">
        <v>1948</v>
      </c>
      <c r="D410" s="9">
        <v>1.0</v>
      </c>
      <c r="E410" s="9" t="s">
        <v>1962</v>
      </c>
      <c r="F410" s="7" t="s">
        <v>2567</v>
      </c>
      <c r="G410" s="10" t="s">
        <v>2568</v>
      </c>
      <c r="H410" s="9">
        <v>4.0</v>
      </c>
      <c r="I410" s="9" t="s">
        <v>2050</v>
      </c>
      <c r="J410" s="9" t="s">
        <v>28</v>
      </c>
      <c r="K410" s="16" t="s">
        <v>2569</v>
      </c>
      <c r="L410" s="13" t="s">
        <v>2570</v>
      </c>
      <c r="M410" s="13" t="s">
        <v>2571</v>
      </c>
      <c r="N410" s="13" t="s">
        <v>2572</v>
      </c>
    </row>
    <row r="411" hidden="1">
      <c r="A411" s="22" t="s">
        <v>2573</v>
      </c>
      <c r="B411" s="7" t="s">
        <v>22</v>
      </c>
      <c r="C411" s="7" t="s">
        <v>1948</v>
      </c>
      <c r="D411" s="9">
        <v>1.0</v>
      </c>
      <c r="E411" s="9" t="s">
        <v>203</v>
      </c>
      <c r="F411" s="7" t="s">
        <v>2574</v>
      </c>
      <c r="G411" s="10" t="s">
        <v>2575</v>
      </c>
      <c r="H411" s="9">
        <v>5.0</v>
      </c>
      <c r="I411" s="9" t="s">
        <v>1965</v>
      </c>
      <c r="J411" s="9" t="s">
        <v>72</v>
      </c>
      <c r="K411" s="16" t="s">
        <v>2576</v>
      </c>
      <c r="L411" s="13" t="s">
        <v>2577</v>
      </c>
      <c r="M411" s="13" t="s">
        <v>2578</v>
      </c>
      <c r="N411" s="13" t="s">
        <v>2579</v>
      </c>
      <c r="O411" s="13" t="s">
        <v>2580</v>
      </c>
      <c r="P411" s="13" t="s">
        <v>2581</v>
      </c>
    </row>
    <row r="412" hidden="1">
      <c r="A412" s="24" t="s">
        <v>2582</v>
      </c>
      <c r="B412" s="7" t="s">
        <v>22</v>
      </c>
      <c r="C412" s="7" t="s">
        <v>1948</v>
      </c>
      <c r="D412" s="9">
        <v>1.0</v>
      </c>
      <c r="E412" s="9" t="s">
        <v>126</v>
      </c>
      <c r="F412" s="7" t="s">
        <v>2583</v>
      </c>
      <c r="G412" s="10" t="s">
        <v>2584</v>
      </c>
      <c r="H412" s="9">
        <v>1.0</v>
      </c>
      <c r="I412" s="9" t="s">
        <v>1975</v>
      </c>
      <c r="J412" s="21" t="s">
        <v>72</v>
      </c>
      <c r="K412" s="16" t="s">
        <v>2585</v>
      </c>
      <c r="L412" s="13" t="s">
        <v>2586</v>
      </c>
      <c r="M412" s="13" t="s">
        <v>2587</v>
      </c>
      <c r="N412" s="13" t="s">
        <v>2588</v>
      </c>
      <c r="O412" s="13" t="s">
        <v>2589</v>
      </c>
      <c r="P412" s="13" t="s">
        <v>2590</v>
      </c>
      <c r="Q412" s="13" t="s">
        <v>2591</v>
      </c>
    </row>
    <row r="413" hidden="1">
      <c r="A413" s="22" t="s">
        <v>2592</v>
      </c>
      <c r="B413" s="7" t="s">
        <v>22</v>
      </c>
      <c r="C413" s="7" t="s">
        <v>1948</v>
      </c>
      <c r="D413" s="9">
        <v>1.0</v>
      </c>
      <c r="E413" s="9" t="s">
        <v>2593</v>
      </c>
      <c r="F413" s="7" t="s">
        <v>2594</v>
      </c>
      <c r="G413" s="10" t="s">
        <v>2595</v>
      </c>
      <c r="H413" s="9">
        <v>2.0</v>
      </c>
      <c r="I413" s="9" t="s">
        <v>1979</v>
      </c>
      <c r="J413" s="9" t="s">
        <v>28</v>
      </c>
      <c r="K413" s="16" t="s">
        <v>2596</v>
      </c>
      <c r="L413" s="13" t="s">
        <v>2597</v>
      </c>
      <c r="M413" s="13" t="s">
        <v>2598</v>
      </c>
      <c r="N413" s="13" t="s">
        <v>2599</v>
      </c>
      <c r="O413" s="13" t="s">
        <v>2600</v>
      </c>
      <c r="P413" s="13" t="s">
        <v>2601</v>
      </c>
      <c r="Q413" s="13" t="s">
        <v>2602</v>
      </c>
      <c r="R413" s="13" t="s">
        <v>2603</v>
      </c>
      <c r="S413" s="13" t="s">
        <v>2604</v>
      </c>
      <c r="T413" s="13" t="s">
        <v>2605</v>
      </c>
      <c r="U413" s="13" t="s">
        <v>2606</v>
      </c>
    </row>
    <row r="414" hidden="1">
      <c r="A414" s="24" t="s">
        <v>2607</v>
      </c>
      <c r="B414" s="7" t="s">
        <v>22</v>
      </c>
      <c r="C414" s="7" t="s">
        <v>1948</v>
      </c>
      <c r="D414" s="9">
        <v>1.0</v>
      </c>
      <c r="E414" s="9" t="s">
        <v>652</v>
      </c>
      <c r="F414" s="7" t="s">
        <v>2608</v>
      </c>
      <c r="G414" s="17" t="s">
        <v>2609</v>
      </c>
      <c r="H414" s="9">
        <v>9.0</v>
      </c>
      <c r="I414" s="9" t="s">
        <v>2050</v>
      </c>
      <c r="J414" s="21" t="s">
        <v>34</v>
      </c>
      <c r="K414" s="16" t="s">
        <v>2610</v>
      </c>
      <c r="L414" s="13" t="s">
        <v>2611</v>
      </c>
      <c r="M414" s="13" t="s">
        <v>2612</v>
      </c>
      <c r="N414" s="13" t="s">
        <v>2613</v>
      </c>
      <c r="O414" s="13" t="s">
        <v>2614</v>
      </c>
      <c r="P414" s="13" t="s">
        <v>2615</v>
      </c>
      <c r="Q414" s="13" t="s">
        <v>2616</v>
      </c>
      <c r="R414" s="13" t="s">
        <v>2617</v>
      </c>
      <c r="S414" s="13" t="s">
        <v>2618</v>
      </c>
      <c r="T414" s="13" t="s">
        <v>2619</v>
      </c>
    </row>
    <row r="415" hidden="1">
      <c r="A415" s="7" t="s">
        <v>2620</v>
      </c>
      <c r="B415" s="7" t="s">
        <v>22</v>
      </c>
      <c r="C415" s="7" t="s">
        <v>1948</v>
      </c>
      <c r="D415" s="9">
        <v>1.0</v>
      </c>
      <c r="E415" s="9" t="s">
        <v>2621</v>
      </c>
      <c r="F415" s="7" t="s">
        <v>2622</v>
      </c>
      <c r="G415" s="10" t="s">
        <v>2623</v>
      </c>
      <c r="H415" s="9">
        <v>6.0</v>
      </c>
      <c r="I415" s="9" t="s">
        <v>2044</v>
      </c>
      <c r="J415" s="9" t="s">
        <v>34</v>
      </c>
      <c r="K415" s="16" t="s">
        <v>2624</v>
      </c>
      <c r="L415" s="13" t="s">
        <v>2625</v>
      </c>
      <c r="M415" s="13" t="s">
        <v>2626</v>
      </c>
      <c r="N415" s="13" t="s">
        <v>2627</v>
      </c>
      <c r="O415" s="13" t="s">
        <v>2628</v>
      </c>
      <c r="P415" s="13" t="s">
        <v>2629</v>
      </c>
      <c r="Q415" s="13" t="s">
        <v>2630</v>
      </c>
      <c r="R415" s="13" t="s">
        <v>2631</v>
      </c>
    </row>
    <row r="416" hidden="1">
      <c r="A416" s="70" t="s">
        <v>2632</v>
      </c>
      <c r="B416" s="7" t="s">
        <v>22</v>
      </c>
      <c r="C416" s="108" t="s">
        <v>1948</v>
      </c>
      <c r="D416" s="72">
        <v>1.0</v>
      </c>
      <c r="E416" s="72" t="s">
        <v>2236</v>
      </c>
      <c r="F416" s="29" t="s">
        <v>2633</v>
      </c>
      <c r="G416" s="70"/>
      <c r="H416" s="72">
        <v>6.0</v>
      </c>
      <c r="I416" s="72" t="s">
        <v>1970</v>
      </c>
      <c r="J416" s="72" t="s">
        <v>34</v>
      </c>
      <c r="K416" s="29" t="s">
        <v>2634</v>
      </c>
      <c r="L416" s="73" t="s">
        <v>2635</v>
      </c>
      <c r="M416" s="73" t="s">
        <v>2636</v>
      </c>
      <c r="N416" s="73" t="s">
        <v>2637</v>
      </c>
      <c r="O416" s="73" t="s">
        <v>2638</v>
      </c>
      <c r="P416" s="73" t="s">
        <v>2639</v>
      </c>
      <c r="Q416" s="73" t="s">
        <v>2640</v>
      </c>
      <c r="R416" s="73" t="s">
        <v>2641</v>
      </c>
      <c r="S416" s="73" t="s">
        <v>2642</v>
      </c>
      <c r="T416" s="73" t="s">
        <v>2643</v>
      </c>
      <c r="U416" s="73" t="s">
        <v>2644</v>
      </c>
    </row>
    <row r="417" hidden="1">
      <c r="A417" s="7" t="s">
        <v>2645</v>
      </c>
      <c r="B417" s="7" t="s">
        <v>22</v>
      </c>
      <c r="C417" s="7" t="s">
        <v>1948</v>
      </c>
      <c r="D417" s="9">
        <v>1.0</v>
      </c>
      <c r="E417" s="9" t="s">
        <v>1504</v>
      </c>
      <c r="G417" s="10" t="s">
        <v>2646</v>
      </c>
      <c r="H417" s="9">
        <v>1.0</v>
      </c>
      <c r="I417" s="9" t="s">
        <v>1951</v>
      </c>
      <c r="J417" s="9" t="s">
        <v>28</v>
      </c>
      <c r="K417" s="16" t="s">
        <v>2647</v>
      </c>
      <c r="L417" s="13" t="s">
        <v>2648</v>
      </c>
      <c r="M417" s="13" t="s">
        <v>2649</v>
      </c>
      <c r="N417" s="13" t="s">
        <v>2650</v>
      </c>
      <c r="O417" s="13" t="s">
        <v>2651</v>
      </c>
    </row>
    <row r="418" hidden="1">
      <c r="A418" s="16" t="s">
        <v>2652</v>
      </c>
      <c r="B418" s="7" t="s">
        <v>22</v>
      </c>
      <c r="C418" s="16" t="s">
        <v>1948</v>
      </c>
      <c r="D418" s="15">
        <v>1.0</v>
      </c>
      <c r="E418" s="15" t="s">
        <v>1585</v>
      </c>
      <c r="G418" s="34"/>
      <c r="H418" s="15">
        <v>2.0</v>
      </c>
      <c r="I418" s="15" t="s">
        <v>1979</v>
      </c>
      <c r="J418" s="15" t="s">
        <v>28</v>
      </c>
      <c r="K418" s="16" t="s">
        <v>2653</v>
      </c>
      <c r="L418" s="13" t="s">
        <v>2654</v>
      </c>
      <c r="M418" s="13" t="s">
        <v>2655</v>
      </c>
      <c r="N418" s="13" t="s">
        <v>2656</v>
      </c>
      <c r="O418" s="13" t="s">
        <v>2657</v>
      </c>
      <c r="P418" s="13" t="s">
        <v>2658</v>
      </c>
      <c r="Q418" s="13" t="s">
        <v>2659</v>
      </c>
      <c r="R418" s="13" t="s">
        <v>2660</v>
      </c>
      <c r="S418" s="13" t="s">
        <v>2661</v>
      </c>
    </row>
    <row r="419" hidden="1">
      <c r="A419" s="24" t="s">
        <v>2662</v>
      </c>
      <c r="B419" s="7" t="s">
        <v>22</v>
      </c>
      <c r="C419" s="7" t="s">
        <v>1948</v>
      </c>
      <c r="D419" s="9">
        <v>1.0</v>
      </c>
      <c r="E419" s="9" t="s">
        <v>2232</v>
      </c>
      <c r="G419" s="10" t="s">
        <v>2663</v>
      </c>
      <c r="H419" s="9">
        <v>5.0</v>
      </c>
      <c r="I419" s="9" t="s">
        <v>2050</v>
      </c>
      <c r="J419" s="21" t="s">
        <v>28</v>
      </c>
      <c r="K419" s="16" t="s">
        <v>2664</v>
      </c>
      <c r="L419" s="13" t="s">
        <v>2665</v>
      </c>
      <c r="M419" s="13" t="s">
        <v>2666</v>
      </c>
      <c r="N419" s="13" t="s">
        <v>2667</v>
      </c>
      <c r="O419" s="13" t="s">
        <v>2668</v>
      </c>
      <c r="P419" s="13" t="s">
        <v>2669</v>
      </c>
      <c r="Q419" s="13" t="s">
        <v>2670</v>
      </c>
      <c r="R419" s="13" t="s">
        <v>2671</v>
      </c>
      <c r="S419" s="13" t="s">
        <v>2672</v>
      </c>
    </row>
    <row r="420" hidden="1">
      <c r="A420" s="7" t="s">
        <v>2673</v>
      </c>
      <c r="B420" s="7" t="s">
        <v>22</v>
      </c>
      <c r="C420" s="7" t="s">
        <v>1948</v>
      </c>
      <c r="D420" s="9">
        <v>1.0</v>
      </c>
      <c r="E420" s="9" t="s">
        <v>1967</v>
      </c>
      <c r="G420" s="10" t="s">
        <v>2674</v>
      </c>
      <c r="H420" s="9">
        <v>6.0</v>
      </c>
      <c r="I420" s="51" t="s">
        <v>1965</v>
      </c>
      <c r="J420" s="9" t="s">
        <v>28</v>
      </c>
      <c r="K420" s="16" t="s">
        <v>2675</v>
      </c>
      <c r="L420" s="13" t="s">
        <v>2676</v>
      </c>
      <c r="M420" s="13" t="s">
        <v>2677</v>
      </c>
      <c r="N420" s="13" t="s">
        <v>2678</v>
      </c>
      <c r="O420" s="13" t="s">
        <v>2679</v>
      </c>
      <c r="P420" s="13" t="s">
        <v>2680</v>
      </c>
      <c r="Q420" s="13" t="s">
        <v>2681</v>
      </c>
      <c r="R420" s="13" t="s">
        <v>2682</v>
      </c>
      <c r="S420" s="13" t="s">
        <v>2683</v>
      </c>
      <c r="T420" s="13" t="s">
        <v>2684</v>
      </c>
    </row>
    <row r="421" hidden="1">
      <c r="A421" s="16" t="s">
        <v>2685</v>
      </c>
      <c r="B421" s="7" t="s">
        <v>22</v>
      </c>
      <c r="C421" s="16" t="s">
        <v>1948</v>
      </c>
      <c r="D421" s="15">
        <v>1.0</v>
      </c>
      <c r="E421" s="15" t="s">
        <v>268</v>
      </c>
      <c r="G421" s="17" t="s">
        <v>2686</v>
      </c>
      <c r="H421" s="15">
        <v>4.0</v>
      </c>
      <c r="I421" s="15" t="s">
        <v>2157</v>
      </c>
      <c r="J421" s="15" t="s">
        <v>28</v>
      </c>
      <c r="K421" s="16" t="s">
        <v>2687</v>
      </c>
      <c r="L421" s="13" t="s">
        <v>2688</v>
      </c>
      <c r="N421" s="13" t="s">
        <v>2689</v>
      </c>
      <c r="O421" s="13" t="s">
        <v>2690</v>
      </c>
      <c r="P421" s="13" t="s">
        <v>2691</v>
      </c>
      <c r="Q421" s="13" t="s">
        <v>2692</v>
      </c>
      <c r="R421" s="13" t="s">
        <v>2693</v>
      </c>
      <c r="S421" s="13" t="s">
        <v>2694</v>
      </c>
      <c r="T421" s="13" t="s">
        <v>2695</v>
      </c>
    </row>
    <row r="422" hidden="1">
      <c r="A422" s="16" t="s">
        <v>2696</v>
      </c>
      <c r="B422" s="7" t="s">
        <v>22</v>
      </c>
      <c r="C422" s="16" t="s">
        <v>1948</v>
      </c>
      <c r="D422" s="15">
        <v>1.0</v>
      </c>
      <c r="E422" s="15" t="s">
        <v>304</v>
      </c>
      <c r="G422" s="34"/>
      <c r="H422" s="15">
        <v>3.0</v>
      </c>
      <c r="I422" s="9" t="s">
        <v>1975</v>
      </c>
      <c r="J422" s="15" t="s">
        <v>28</v>
      </c>
      <c r="K422" s="16" t="s">
        <v>2697</v>
      </c>
      <c r="L422" s="13" t="s">
        <v>2698</v>
      </c>
      <c r="M422" s="13" t="s">
        <v>2699</v>
      </c>
      <c r="N422" s="13" t="s">
        <v>2700</v>
      </c>
      <c r="O422" s="13" t="s">
        <v>2701</v>
      </c>
      <c r="P422" s="13" t="s">
        <v>2702</v>
      </c>
      <c r="Q422" s="13" t="s">
        <v>2703</v>
      </c>
      <c r="R422" s="13" t="s">
        <v>2704</v>
      </c>
      <c r="S422" s="13" t="s">
        <v>2705</v>
      </c>
      <c r="T422" s="13" t="s">
        <v>2706</v>
      </c>
    </row>
    <row r="423" hidden="1">
      <c r="A423" s="16" t="s">
        <v>2707</v>
      </c>
      <c r="B423" s="7" t="s">
        <v>22</v>
      </c>
      <c r="C423" s="16" t="s">
        <v>1948</v>
      </c>
      <c r="D423" s="15">
        <v>1.0</v>
      </c>
      <c r="E423" s="15" t="s">
        <v>2708</v>
      </c>
      <c r="F423" s="16" t="s">
        <v>62</v>
      </c>
      <c r="G423" s="34"/>
      <c r="H423" s="15">
        <v>5.0</v>
      </c>
      <c r="I423" s="9" t="s">
        <v>2709</v>
      </c>
      <c r="J423" s="15" t="s">
        <v>28</v>
      </c>
      <c r="K423" s="16" t="s">
        <v>2710</v>
      </c>
      <c r="L423" s="13" t="s">
        <v>2711</v>
      </c>
      <c r="M423" s="13" t="s">
        <v>2712</v>
      </c>
      <c r="N423" s="13" t="s">
        <v>2713</v>
      </c>
      <c r="O423" s="13" t="s">
        <v>2714</v>
      </c>
      <c r="P423" s="13" t="s">
        <v>2715</v>
      </c>
      <c r="Q423" s="13" t="s">
        <v>2716</v>
      </c>
      <c r="R423" s="13" t="s">
        <v>2717</v>
      </c>
    </row>
    <row r="424" hidden="1">
      <c r="A424" s="31" t="s">
        <v>2718</v>
      </c>
      <c r="B424" s="7" t="s">
        <v>22</v>
      </c>
      <c r="C424" s="16" t="s">
        <v>1948</v>
      </c>
      <c r="D424" s="15">
        <v>1.0</v>
      </c>
      <c r="E424" s="15" t="s">
        <v>814</v>
      </c>
      <c r="F424" s="31" t="s">
        <v>2719</v>
      </c>
      <c r="G424" s="34"/>
      <c r="H424" s="15">
        <v>3.0</v>
      </c>
      <c r="I424" s="16" t="s">
        <v>1965</v>
      </c>
      <c r="J424" s="9" t="s">
        <v>72</v>
      </c>
      <c r="K424" s="16" t="s">
        <v>2720</v>
      </c>
      <c r="L424" s="13" t="s">
        <v>2721</v>
      </c>
      <c r="M424" s="13" t="s">
        <v>2722</v>
      </c>
      <c r="N424" s="13" t="s">
        <v>2723</v>
      </c>
      <c r="O424" s="13" t="s">
        <v>2724</v>
      </c>
      <c r="P424" s="13" t="s">
        <v>2725</v>
      </c>
      <c r="Q424" s="13" t="s">
        <v>2726</v>
      </c>
      <c r="R424" s="13" t="s">
        <v>2727</v>
      </c>
      <c r="S424" s="13" t="s">
        <v>2728</v>
      </c>
      <c r="T424" s="13" t="s">
        <v>2729</v>
      </c>
    </row>
    <row r="425" hidden="1">
      <c r="A425" s="16" t="s">
        <v>2730</v>
      </c>
      <c r="B425" s="7" t="s">
        <v>22</v>
      </c>
      <c r="C425" s="16" t="s">
        <v>1948</v>
      </c>
      <c r="D425" s="15">
        <v>1.0</v>
      </c>
      <c r="E425" s="15" t="s">
        <v>1903</v>
      </c>
      <c r="F425" s="16" t="s">
        <v>2731</v>
      </c>
      <c r="G425" s="34"/>
      <c r="H425" s="15">
        <v>3.0</v>
      </c>
      <c r="I425" s="15" t="s">
        <v>2341</v>
      </c>
      <c r="J425" s="9" t="s">
        <v>72</v>
      </c>
      <c r="K425" s="16" t="s">
        <v>2732</v>
      </c>
      <c r="L425" s="13" t="s">
        <v>2733</v>
      </c>
      <c r="M425" s="13" t="s">
        <v>2734</v>
      </c>
      <c r="N425" s="13" t="s">
        <v>2735</v>
      </c>
      <c r="O425" s="13" t="s">
        <v>2736</v>
      </c>
    </row>
    <row r="426" hidden="1">
      <c r="A426" s="80" t="s">
        <v>2737</v>
      </c>
      <c r="B426" s="7" t="s">
        <v>22</v>
      </c>
      <c r="C426" s="7" t="s">
        <v>1948</v>
      </c>
      <c r="D426" s="9">
        <v>1.0</v>
      </c>
      <c r="E426" s="9" t="s">
        <v>2247</v>
      </c>
      <c r="F426" s="16" t="s">
        <v>2738</v>
      </c>
      <c r="G426" s="10" t="s">
        <v>2739</v>
      </c>
      <c r="H426" s="9">
        <v>3.0</v>
      </c>
      <c r="I426" s="9" t="s">
        <v>1991</v>
      </c>
      <c r="J426" s="9" t="s">
        <v>34</v>
      </c>
      <c r="K426" s="16" t="s">
        <v>2740</v>
      </c>
      <c r="L426" s="13" t="s">
        <v>2741</v>
      </c>
      <c r="M426" s="13" t="s">
        <v>2742</v>
      </c>
      <c r="N426" s="13" t="s">
        <v>2743</v>
      </c>
      <c r="O426" s="13" t="s">
        <v>2744</v>
      </c>
      <c r="P426" s="13" t="s">
        <v>2745</v>
      </c>
      <c r="Q426" s="13" t="s">
        <v>2746</v>
      </c>
      <c r="R426" s="13" t="s">
        <v>2747</v>
      </c>
    </row>
    <row r="427" hidden="1">
      <c r="A427" s="31" t="s">
        <v>2748</v>
      </c>
      <c r="B427" s="7" t="s">
        <v>22</v>
      </c>
      <c r="C427" s="16" t="s">
        <v>1948</v>
      </c>
      <c r="D427" s="15">
        <v>1.0</v>
      </c>
      <c r="E427" s="15" t="s">
        <v>1423</v>
      </c>
      <c r="F427" s="16" t="s">
        <v>2749</v>
      </c>
      <c r="G427" s="34"/>
      <c r="H427" s="15">
        <v>4.0</v>
      </c>
      <c r="I427" s="9" t="s">
        <v>2157</v>
      </c>
      <c r="J427" s="9" t="s">
        <v>34</v>
      </c>
      <c r="K427" s="16" t="s">
        <v>2750</v>
      </c>
      <c r="L427" s="13" t="s">
        <v>2751</v>
      </c>
      <c r="M427" s="13" t="s">
        <v>2752</v>
      </c>
      <c r="N427" s="13" t="s">
        <v>2753</v>
      </c>
      <c r="O427" s="13" t="s">
        <v>2754</v>
      </c>
      <c r="P427" s="13" t="s">
        <v>2755</v>
      </c>
      <c r="Q427" s="13" t="s">
        <v>2756</v>
      </c>
      <c r="R427" s="13" t="s">
        <v>2757</v>
      </c>
      <c r="S427" s="13" t="s">
        <v>2758</v>
      </c>
    </row>
    <row r="428" hidden="1">
      <c r="A428" s="31" t="s">
        <v>2759</v>
      </c>
      <c r="B428" s="7" t="s">
        <v>22</v>
      </c>
      <c r="C428" s="16" t="s">
        <v>1948</v>
      </c>
      <c r="D428" s="15">
        <v>1.0</v>
      </c>
      <c r="E428" s="15" t="s">
        <v>362</v>
      </c>
      <c r="F428" s="16" t="s">
        <v>2760</v>
      </c>
      <c r="G428" s="17" t="s">
        <v>2761</v>
      </c>
      <c r="H428" s="15">
        <v>3.0</v>
      </c>
      <c r="I428" s="15" t="s">
        <v>1979</v>
      </c>
      <c r="J428" s="15" t="s">
        <v>34</v>
      </c>
      <c r="K428" s="16" t="s">
        <v>2762</v>
      </c>
      <c r="L428" s="13" t="s">
        <v>2763</v>
      </c>
      <c r="M428" s="13" t="s">
        <v>2764</v>
      </c>
      <c r="N428" s="13" t="s">
        <v>2765</v>
      </c>
    </row>
    <row r="429" hidden="1">
      <c r="A429" s="16" t="s">
        <v>2766</v>
      </c>
      <c r="B429" s="7" t="s">
        <v>22</v>
      </c>
      <c r="C429" s="16" t="s">
        <v>1948</v>
      </c>
      <c r="D429" s="15">
        <v>1.0</v>
      </c>
      <c r="E429" s="15" t="s">
        <v>1898</v>
      </c>
      <c r="F429" s="16" t="s">
        <v>2767</v>
      </c>
      <c r="G429" s="34"/>
      <c r="H429" s="15">
        <v>2.0</v>
      </c>
      <c r="I429" s="15" t="s">
        <v>2341</v>
      </c>
      <c r="J429" s="15" t="s">
        <v>34</v>
      </c>
      <c r="K429" s="16" t="s">
        <v>2768</v>
      </c>
      <c r="L429" s="13" t="s">
        <v>2769</v>
      </c>
      <c r="M429" s="13" t="s">
        <v>2770</v>
      </c>
      <c r="N429" s="13" t="s">
        <v>2771</v>
      </c>
      <c r="O429" s="13" t="s">
        <v>2772</v>
      </c>
      <c r="P429" s="13" t="s">
        <v>2773</v>
      </c>
      <c r="Q429" s="13" t="s">
        <v>2774</v>
      </c>
      <c r="R429" s="13" t="s">
        <v>2775</v>
      </c>
    </row>
    <row r="430" hidden="1">
      <c r="A430" s="16" t="s">
        <v>2776</v>
      </c>
      <c r="B430" s="7" t="s">
        <v>22</v>
      </c>
      <c r="C430" s="92" t="s">
        <v>1948</v>
      </c>
      <c r="D430" s="15">
        <v>1.0</v>
      </c>
      <c r="E430" s="15" t="s">
        <v>652</v>
      </c>
      <c r="F430" s="16" t="s">
        <v>2777</v>
      </c>
      <c r="G430" s="17" t="s">
        <v>2778</v>
      </c>
      <c r="H430" s="15">
        <v>3.0</v>
      </c>
      <c r="I430" s="9" t="s">
        <v>1975</v>
      </c>
      <c r="J430" s="15" t="s">
        <v>34</v>
      </c>
      <c r="K430" s="16" t="s">
        <v>2779</v>
      </c>
      <c r="L430" s="13" t="s">
        <v>2780</v>
      </c>
      <c r="M430" s="13" t="s">
        <v>2781</v>
      </c>
      <c r="N430" s="13" t="s">
        <v>2782</v>
      </c>
      <c r="O430" s="13" t="s">
        <v>2783</v>
      </c>
      <c r="P430" s="13" t="s">
        <v>2784</v>
      </c>
      <c r="Q430" s="13" t="s">
        <v>2785</v>
      </c>
      <c r="R430" s="13" t="s">
        <v>2786</v>
      </c>
      <c r="S430" s="13" t="s">
        <v>2787</v>
      </c>
      <c r="T430" s="13" t="s">
        <v>2788</v>
      </c>
      <c r="U430" s="13" t="s">
        <v>2789</v>
      </c>
    </row>
    <row r="431" hidden="1">
      <c r="A431" s="109" t="s">
        <v>2790</v>
      </c>
      <c r="B431" s="7" t="s">
        <v>22</v>
      </c>
      <c r="C431" s="7"/>
      <c r="D431" s="9">
        <v>1.0</v>
      </c>
      <c r="E431" s="21" t="s">
        <v>82</v>
      </c>
      <c r="G431" s="10" t="s">
        <v>2791</v>
      </c>
      <c r="H431" s="9">
        <v>3.0</v>
      </c>
      <c r="I431" s="9" t="s">
        <v>2280</v>
      </c>
      <c r="J431" s="21" t="s">
        <v>28</v>
      </c>
      <c r="K431" s="16" t="s">
        <v>2792</v>
      </c>
      <c r="L431" s="13" t="s">
        <v>2793</v>
      </c>
      <c r="M431" s="13" t="s">
        <v>2794</v>
      </c>
      <c r="N431" s="13" t="s">
        <v>2795</v>
      </c>
      <c r="O431" s="13" t="s">
        <v>2796</v>
      </c>
      <c r="P431" s="13" t="s">
        <v>2797</v>
      </c>
    </row>
    <row r="432" hidden="1">
      <c r="A432" s="7" t="s">
        <v>2798</v>
      </c>
      <c r="B432" s="7" t="s">
        <v>22</v>
      </c>
      <c r="C432" s="7"/>
      <c r="D432" s="9">
        <v>1.0</v>
      </c>
      <c r="E432" s="9" t="s">
        <v>61</v>
      </c>
      <c r="G432" s="10" t="s">
        <v>2799</v>
      </c>
      <c r="H432" s="9">
        <v>6.0</v>
      </c>
      <c r="I432" s="9" t="s">
        <v>2800</v>
      </c>
      <c r="J432" s="9" t="s">
        <v>28</v>
      </c>
      <c r="K432" s="16" t="s">
        <v>2801</v>
      </c>
      <c r="L432" s="13" t="s">
        <v>2802</v>
      </c>
      <c r="M432" s="13" t="s">
        <v>2803</v>
      </c>
      <c r="N432" s="13" t="s">
        <v>2804</v>
      </c>
      <c r="O432" s="13" t="s">
        <v>2805</v>
      </c>
      <c r="P432" s="13" t="s">
        <v>2806</v>
      </c>
    </row>
    <row r="433" hidden="1">
      <c r="A433" s="55" t="s">
        <v>2807</v>
      </c>
      <c r="B433" s="7" t="s">
        <v>22</v>
      </c>
      <c r="C433" s="7" t="s">
        <v>23</v>
      </c>
      <c r="D433" s="9">
        <v>1.0</v>
      </c>
      <c r="E433" s="9" t="s">
        <v>244</v>
      </c>
      <c r="F433" s="16" t="s">
        <v>2808</v>
      </c>
      <c r="G433" s="10"/>
      <c r="H433" s="9">
        <v>4.0</v>
      </c>
      <c r="I433" s="9" t="s">
        <v>270</v>
      </c>
      <c r="J433" s="9" t="s">
        <v>28</v>
      </c>
      <c r="K433" s="16" t="s">
        <v>2809</v>
      </c>
      <c r="L433" s="13" t="s">
        <v>2810</v>
      </c>
      <c r="M433" s="13" t="s">
        <v>2811</v>
      </c>
      <c r="N433" s="13" t="s">
        <v>2812</v>
      </c>
      <c r="O433" s="13" t="s">
        <v>2813</v>
      </c>
      <c r="P433" s="13" t="s">
        <v>2814</v>
      </c>
      <c r="Q433" s="13" t="s">
        <v>2815</v>
      </c>
      <c r="R433" s="13" t="s">
        <v>2816</v>
      </c>
      <c r="S433" s="13" t="s">
        <v>2817</v>
      </c>
    </row>
    <row r="434" hidden="1">
      <c r="A434" s="16" t="s">
        <v>2818</v>
      </c>
      <c r="B434" s="7" t="s">
        <v>22</v>
      </c>
      <c r="C434" s="7"/>
      <c r="D434" s="9">
        <v>1.0</v>
      </c>
      <c r="E434" s="15" t="s">
        <v>113</v>
      </c>
      <c r="F434" s="7" t="s">
        <v>2819</v>
      </c>
      <c r="G434" s="10" t="s">
        <v>2820</v>
      </c>
      <c r="H434" s="9">
        <v>3.0</v>
      </c>
      <c r="I434" s="9" t="s">
        <v>2280</v>
      </c>
      <c r="J434" s="9" t="s">
        <v>34</v>
      </c>
      <c r="K434" s="16" t="s">
        <v>2821</v>
      </c>
      <c r="L434" s="13" t="s">
        <v>2822</v>
      </c>
      <c r="M434" s="13" t="s">
        <v>2823</v>
      </c>
      <c r="N434" s="13" t="s">
        <v>2824</v>
      </c>
      <c r="O434" s="13" t="s">
        <v>2825</v>
      </c>
    </row>
    <row r="435" hidden="1">
      <c r="A435" s="7" t="s">
        <v>2826</v>
      </c>
      <c r="B435" s="7" t="s">
        <v>22</v>
      </c>
      <c r="C435" s="7"/>
      <c r="D435" s="15">
        <v>1.0</v>
      </c>
      <c r="E435" s="9"/>
      <c r="F435" s="7" t="s">
        <v>2827</v>
      </c>
      <c r="G435" s="10" t="s">
        <v>2828</v>
      </c>
      <c r="H435" s="9">
        <v>2.0</v>
      </c>
      <c r="I435" s="9" t="s">
        <v>2829</v>
      </c>
      <c r="J435" s="9" t="s">
        <v>34</v>
      </c>
      <c r="K435" s="16" t="s">
        <v>2830</v>
      </c>
      <c r="L435" s="13" t="s">
        <v>2831</v>
      </c>
      <c r="M435" s="13" t="s">
        <v>2832</v>
      </c>
      <c r="N435" s="13" t="s">
        <v>2833</v>
      </c>
      <c r="O435" s="13" t="s">
        <v>2834</v>
      </c>
      <c r="P435" s="13" t="s">
        <v>2835</v>
      </c>
    </row>
    <row r="436" hidden="1">
      <c r="A436" s="7" t="s">
        <v>2836</v>
      </c>
      <c r="B436" s="7" t="s">
        <v>22</v>
      </c>
      <c r="C436" s="16"/>
      <c r="D436" s="15">
        <v>1.0</v>
      </c>
      <c r="E436" s="9"/>
      <c r="F436" s="7" t="s">
        <v>2837</v>
      </c>
      <c r="G436" s="10" t="s">
        <v>2838</v>
      </c>
      <c r="H436" s="9">
        <v>2.0</v>
      </c>
      <c r="I436" s="9" t="s">
        <v>2829</v>
      </c>
      <c r="J436" s="9" t="s">
        <v>34</v>
      </c>
      <c r="K436" s="16" t="s">
        <v>2839</v>
      </c>
      <c r="L436" s="13" t="s">
        <v>2840</v>
      </c>
      <c r="M436" s="13" t="s">
        <v>2841</v>
      </c>
      <c r="N436" s="13" t="s">
        <v>2842</v>
      </c>
      <c r="O436" s="13" t="s">
        <v>2843</v>
      </c>
      <c r="P436" s="13" t="s">
        <v>2844</v>
      </c>
    </row>
    <row r="437" hidden="1">
      <c r="A437" s="16" t="s">
        <v>2845</v>
      </c>
      <c r="B437" s="7" t="s">
        <v>22</v>
      </c>
      <c r="C437" s="16" t="s">
        <v>1562</v>
      </c>
      <c r="D437" s="15">
        <v>0.0</v>
      </c>
      <c r="E437" s="15" t="s">
        <v>389</v>
      </c>
      <c r="F437" s="16" t="s">
        <v>2846</v>
      </c>
      <c r="G437" s="34"/>
      <c r="H437" s="15">
        <v>6.0</v>
      </c>
      <c r="I437" s="15" t="s">
        <v>1596</v>
      </c>
      <c r="J437" s="15" t="s">
        <v>34</v>
      </c>
    </row>
    <row r="438" hidden="1">
      <c r="A438" s="16" t="s">
        <v>2847</v>
      </c>
      <c r="B438" s="7" t="s">
        <v>22</v>
      </c>
      <c r="C438" s="16" t="s">
        <v>1562</v>
      </c>
      <c r="D438" s="15">
        <v>0.0</v>
      </c>
      <c r="E438" s="15" t="s">
        <v>389</v>
      </c>
      <c r="F438" s="16" t="s">
        <v>2848</v>
      </c>
      <c r="G438" s="34"/>
      <c r="H438" s="15">
        <v>4.0</v>
      </c>
      <c r="I438" s="15" t="s">
        <v>1765</v>
      </c>
      <c r="J438" s="15" t="s">
        <v>72</v>
      </c>
    </row>
    <row r="439" hidden="1">
      <c r="A439" s="16" t="s">
        <v>2849</v>
      </c>
      <c r="B439" s="16" t="s">
        <v>2850</v>
      </c>
      <c r="D439" s="15">
        <v>1.0</v>
      </c>
      <c r="E439" s="105"/>
      <c r="G439" s="34"/>
      <c r="H439" s="105"/>
      <c r="I439" s="105"/>
      <c r="J439" s="15" t="s">
        <v>2850</v>
      </c>
      <c r="K439" s="16" t="s">
        <v>2851</v>
      </c>
      <c r="L439" s="13" t="s">
        <v>2852</v>
      </c>
      <c r="M439" s="13" t="s">
        <v>2853</v>
      </c>
    </row>
    <row r="440" hidden="1">
      <c r="A440" s="16" t="s">
        <v>2854</v>
      </c>
      <c r="B440" s="16" t="s">
        <v>2850</v>
      </c>
      <c r="D440" s="15">
        <v>1.0</v>
      </c>
      <c r="E440" s="105"/>
      <c r="G440" s="34"/>
      <c r="H440" s="105"/>
      <c r="I440" s="105"/>
      <c r="J440" s="15" t="s">
        <v>2850</v>
      </c>
      <c r="K440" s="97" t="s">
        <v>2855</v>
      </c>
      <c r="L440" s="13" t="s">
        <v>2856</v>
      </c>
      <c r="M440" s="13" t="s">
        <v>2857</v>
      </c>
    </row>
    <row r="441" hidden="1">
      <c r="A441" s="16" t="s">
        <v>2858</v>
      </c>
      <c r="B441" s="16" t="s">
        <v>2850</v>
      </c>
      <c r="D441" s="15">
        <v>1.0</v>
      </c>
      <c r="E441" s="105"/>
      <c r="F441" s="16" t="s">
        <v>2859</v>
      </c>
      <c r="G441" s="34"/>
      <c r="H441" s="105"/>
      <c r="I441" s="105"/>
      <c r="J441" s="15" t="s">
        <v>2850</v>
      </c>
      <c r="K441" s="97" t="s">
        <v>2860</v>
      </c>
      <c r="L441" s="13" t="s">
        <v>2861</v>
      </c>
      <c r="M441" s="13" t="s">
        <v>2862</v>
      </c>
    </row>
    <row r="442" hidden="1">
      <c r="A442" s="16" t="s">
        <v>2863</v>
      </c>
      <c r="B442" s="16" t="s">
        <v>2850</v>
      </c>
      <c r="D442" s="15">
        <v>1.0</v>
      </c>
      <c r="E442" s="105"/>
      <c r="F442" s="16" t="s">
        <v>2864</v>
      </c>
      <c r="G442" s="34"/>
      <c r="H442" s="105"/>
      <c r="I442" s="105"/>
      <c r="J442" s="15" t="s">
        <v>2850</v>
      </c>
      <c r="K442" s="16" t="s">
        <v>2863</v>
      </c>
      <c r="L442" s="13" t="s">
        <v>2865</v>
      </c>
      <c r="M442" s="13" t="s">
        <v>2866</v>
      </c>
    </row>
    <row r="443" hidden="1">
      <c r="A443" s="16" t="s">
        <v>2867</v>
      </c>
      <c r="B443" s="16" t="s">
        <v>2850</v>
      </c>
      <c r="D443" s="15">
        <v>1.0</v>
      </c>
      <c r="E443" s="105"/>
      <c r="F443" s="16" t="s">
        <v>2868</v>
      </c>
      <c r="G443" s="34"/>
      <c r="H443" s="105"/>
      <c r="I443" s="105"/>
      <c r="J443" s="15" t="s">
        <v>2850</v>
      </c>
      <c r="K443" s="16" t="s">
        <v>2867</v>
      </c>
      <c r="L443" s="13" t="s">
        <v>2869</v>
      </c>
      <c r="M443" s="13" t="s">
        <v>2870</v>
      </c>
    </row>
    <row r="444" hidden="1">
      <c r="A444" s="16" t="s">
        <v>2871</v>
      </c>
      <c r="B444" s="16" t="s">
        <v>2850</v>
      </c>
      <c r="D444" s="15">
        <v>1.0</v>
      </c>
      <c r="E444" s="105"/>
      <c r="F444" s="16" t="s">
        <v>2872</v>
      </c>
      <c r="G444" s="34"/>
      <c r="H444" s="105"/>
      <c r="I444" s="105"/>
      <c r="J444" s="15" t="s">
        <v>2850</v>
      </c>
      <c r="K444" s="16" t="s">
        <v>2871</v>
      </c>
      <c r="L444" s="13" t="s">
        <v>2873</v>
      </c>
      <c r="M444" s="13" t="s">
        <v>2874</v>
      </c>
      <c r="N444" s="13" t="s">
        <v>2875</v>
      </c>
    </row>
    <row r="445" hidden="1">
      <c r="A445" s="16" t="s">
        <v>2876</v>
      </c>
      <c r="B445" s="16" t="s">
        <v>2850</v>
      </c>
      <c r="D445" s="15">
        <v>1.0</v>
      </c>
      <c r="E445" s="105"/>
      <c r="F445" s="16" t="s">
        <v>2864</v>
      </c>
      <c r="G445" s="34"/>
      <c r="H445" s="105"/>
      <c r="I445" s="105"/>
      <c r="J445" s="15" t="s">
        <v>2850</v>
      </c>
      <c r="K445" s="16" t="s">
        <v>2876</v>
      </c>
      <c r="L445" s="13" t="s">
        <v>2877</v>
      </c>
      <c r="M445" s="13" t="s">
        <v>2878</v>
      </c>
      <c r="N445" s="13" t="s">
        <v>2879</v>
      </c>
    </row>
    <row r="446" hidden="1">
      <c r="A446" s="16" t="s">
        <v>2880</v>
      </c>
      <c r="B446" s="16" t="s">
        <v>2850</v>
      </c>
      <c r="D446" s="15">
        <v>1.0</v>
      </c>
      <c r="E446" s="105"/>
      <c r="F446" s="16" t="s">
        <v>2881</v>
      </c>
      <c r="G446" s="34"/>
      <c r="H446" s="105"/>
      <c r="I446" s="105"/>
      <c r="J446" s="15" t="s">
        <v>2850</v>
      </c>
      <c r="K446" s="16" t="s">
        <v>2880</v>
      </c>
      <c r="L446" s="13" t="s">
        <v>2882</v>
      </c>
      <c r="M446" s="13" t="s">
        <v>2883</v>
      </c>
      <c r="N446" s="13" t="s">
        <v>2884</v>
      </c>
    </row>
    <row r="447" hidden="1">
      <c r="A447" s="16" t="s">
        <v>2885</v>
      </c>
      <c r="B447" s="16" t="s">
        <v>2850</v>
      </c>
      <c r="D447" s="15">
        <v>1.0</v>
      </c>
      <c r="E447" s="105"/>
      <c r="F447" s="16" t="s">
        <v>2886</v>
      </c>
      <c r="G447" s="34"/>
      <c r="H447" s="105"/>
      <c r="I447" s="105"/>
      <c r="J447" s="15" t="s">
        <v>2850</v>
      </c>
      <c r="K447" s="16" t="s">
        <v>2885</v>
      </c>
      <c r="L447" s="13" t="s">
        <v>2887</v>
      </c>
      <c r="M447" s="13" t="s">
        <v>2888</v>
      </c>
    </row>
    <row r="448" hidden="1">
      <c r="A448" s="16" t="s">
        <v>2889</v>
      </c>
      <c r="B448" s="16" t="s">
        <v>2850</v>
      </c>
      <c r="D448" s="15">
        <v>1.0</v>
      </c>
      <c r="E448" s="105"/>
      <c r="F448" s="16" t="s">
        <v>2890</v>
      </c>
      <c r="G448" s="34"/>
      <c r="H448" s="105"/>
      <c r="I448" s="105"/>
      <c r="J448" s="15" t="s">
        <v>2850</v>
      </c>
      <c r="K448" s="16" t="s">
        <v>2889</v>
      </c>
      <c r="L448" s="13" t="s">
        <v>2891</v>
      </c>
      <c r="M448" s="13" t="s">
        <v>2892</v>
      </c>
    </row>
    <row r="449" hidden="1">
      <c r="A449" s="16" t="s">
        <v>2893</v>
      </c>
      <c r="B449" s="16" t="s">
        <v>2850</v>
      </c>
      <c r="D449" s="15">
        <v>1.0</v>
      </c>
      <c r="E449" s="105"/>
      <c r="G449" s="34"/>
      <c r="H449" s="105"/>
      <c r="I449" s="105"/>
      <c r="J449" s="15" t="s">
        <v>2850</v>
      </c>
      <c r="K449" s="16" t="s">
        <v>2893</v>
      </c>
      <c r="L449" s="13" t="s">
        <v>2894</v>
      </c>
      <c r="M449" s="13" t="s">
        <v>2895</v>
      </c>
    </row>
    <row r="450" hidden="1">
      <c r="A450" s="16" t="s">
        <v>2896</v>
      </c>
      <c r="B450" s="16" t="s">
        <v>2850</v>
      </c>
      <c r="D450" s="15">
        <v>1.0</v>
      </c>
      <c r="E450" s="105"/>
      <c r="F450" s="16" t="s">
        <v>2897</v>
      </c>
      <c r="G450" s="34"/>
      <c r="H450" s="105"/>
      <c r="I450" s="105"/>
      <c r="J450" s="15" t="s">
        <v>2850</v>
      </c>
      <c r="K450" s="16" t="s">
        <v>2896</v>
      </c>
      <c r="L450" s="13" t="s">
        <v>2898</v>
      </c>
      <c r="M450" s="13" t="s">
        <v>2899</v>
      </c>
      <c r="N450" s="13" t="s">
        <v>2900</v>
      </c>
      <c r="O450" s="13" t="s">
        <v>2901</v>
      </c>
    </row>
    <row r="451" hidden="1">
      <c r="A451" s="16" t="s">
        <v>2902</v>
      </c>
      <c r="B451" s="16" t="s">
        <v>2850</v>
      </c>
      <c r="D451" s="15">
        <v>1.0</v>
      </c>
      <c r="E451" s="105"/>
      <c r="F451" s="16" t="s">
        <v>2903</v>
      </c>
      <c r="G451" s="34"/>
      <c r="H451" s="105"/>
      <c r="I451" s="105"/>
      <c r="J451" s="15" t="s">
        <v>2850</v>
      </c>
      <c r="K451" s="16" t="s">
        <v>2902</v>
      </c>
      <c r="L451" s="13" t="s">
        <v>2904</v>
      </c>
      <c r="M451" s="13" t="s">
        <v>2905</v>
      </c>
      <c r="N451" s="13" t="s">
        <v>2906</v>
      </c>
    </row>
    <row r="452" hidden="1">
      <c r="A452" s="16" t="s">
        <v>2907</v>
      </c>
      <c r="B452" s="16" t="s">
        <v>2850</v>
      </c>
      <c r="D452" s="15">
        <v>1.0</v>
      </c>
      <c r="E452" s="105"/>
      <c r="F452" s="16" t="s">
        <v>2908</v>
      </c>
      <c r="G452" s="34"/>
      <c r="H452" s="105"/>
      <c r="I452" s="105"/>
      <c r="J452" s="15" t="s">
        <v>2850</v>
      </c>
      <c r="K452" s="16" t="s">
        <v>2907</v>
      </c>
      <c r="L452" s="13" t="s">
        <v>2909</v>
      </c>
      <c r="M452" s="13" t="s">
        <v>2910</v>
      </c>
      <c r="N452" s="13" t="s">
        <v>2911</v>
      </c>
    </row>
    <row r="453" hidden="1">
      <c r="A453" s="16" t="s">
        <v>2912</v>
      </c>
      <c r="B453" s="16" t="s">
        <v>2850</v>
      </c>
      <c r="D453" s="15">
        <v>1.0</v>
      </c>
      <c r="E453" s="105"/>
      <c r="G453" s="34"/>
      <c r="H453" s="105"/>
      <c r="I453" s="105"/>
      <c r="J453" s="15" t="s">
        <v>2850</v>
      </c>
      <c r="K453" s="16" t="s">
        <v>2850</v>
      </c>
      <c r="L453" s="13" t="s">
        <v>2913</v>
      </c>
      <c r="M453" s="13" t="s">
        <v>2913</v>
      </c>
    </row>
    <row r="454" hidden="1">
      <c r="A454" s="16" t="s">
        <v>2914</v>
      </c>
      <c r="B454" s="16" t="s">
        <v>2850</v>
      </c>
      <c r="D454" s="15">
        <v>1.0</v>
      </c>
      <c r="E454" s="105"/>
      <c r="G454" s="34"/>
      <c r="H454" s="105"/>
      <c r="I454" s="105"/>
      <c r="J454" s="15" t="s">
        <v>2850</v>
      </c>
      <c r="K454" s="16" t="s">
        <v>2850</v>
      </c>
      <c r="L454" s="13" t="s">
        <v>2915</v>
      </c>
      <c r="M454" s="13" t="s">
        <v>2915</v>
      </c>
    </row>
    <row r="455" hidden="1">
      <c r="A455" s="16" t="s">
        <v>2916</v>
      </c>
      <c r="B455" s="16" t="s">
        <v>2850</v>
      </c>
      <c r="D455" s="15">
        <v>1.0</v>
      </c>
      <c r="E455" s="105"/>
      <c r="G455" s="34"/>
      <c r="H455" s="105"/>
      <c r="I455" s="105"/>
      <c r="J455" s="15" t="s">
        <v>2850</v>
      </c>
      <c r="K455" s="16" t="s">
        <v>2850</v>
      </c>
      <c r="L455" s="13" t="s">
        <v>2917</v>
      </c>
      <c r="M455" s="13" t="s">
        <v>2917</v>
      </c>
    </row>
    <row r="456" hidden="1">
      <c r="A456" s="16" t="s">
        <v>2918</v>
      </c>
      <c r="B456" s="16" t="s">
        <v>2850</v>
      </c>
      <c r="D456" s="15">
        <v>1.0</v>
      </c>
      <c r="E456" s="105"/>
      <c r="G456" s="34"/>
      <c r="H456" s="105"/>
      <c r="I456" s="105"/>
      <c r="J456" s="15" t="s">
        <v>2850</v>
      </c>
      <c r="K456" s="16" t="s">
        <v>2850</v>
      </c>
      <c r="L456" s="13" t="s">
        <v>2919</v>
      </c>
      <c r="M456" s="13" t="s">
        <v>2919</v>
      </c>
    </row>
    <row r="457" hidden="1">
      <c r="A457" s="16" t="s">
        <v>2920</v>
      </c>
      <c r="B457" s="16" t="s">
        <v>2850</v>
      </c>
      <c r="D457" s="15">
        <v>1.0</v>
      </c>
      <c r="E457" s="105"/>
      <c r="G457" s="34"/>
      <c r="H457" s="105"/>
      <c r="I457" s="105"/>
      <c r="J457" s="15" t="s">
        <v>2850</v>
      </c>
      <c r="K457" s="16" t="s">
        <v>2850</v>
      </c>
      <c r="L457" s="13" t="s">
        <v>2921</v>
      </c>
      <c r="M457" s="13" t="s">
        <v>2921</v>
      </c>
    </row>
    <row r="458" hidden="1">
      <c r="A458" s="16" t="s">
        <v>2922</v>
      </c>
      <c r="B458" s="16" t="s">
        <v>2850</v>
      </c>
      <c r="D458" s="15">
        <v>1.0</v>
      </c>
      <c r="E458" s="105"/>
      <c r="G458" s="34"/>
      <c r="H458" s="105"/>
      <c r="I458" s="105"/>
      <c r="J458" s="15" t="s">
        <v>2850</v>
      </c>
      <c r="K458" s="16" t="s">
        <v>2850</v>
      </c>
      <c r="L458" s="13" t="s">
        <v>2923</v>
      </c>
      <c r="M458" s="13" t="s">
        <v>2923</v>
      </c>
    </row>
    <row r="459" hidden="1">
      <c r="A459" s="16" t="s">
        <v>2924</v>
      </c>
      <c r="B459" s="16" t="s">
        <v>2850</v>
      </c>
      <c r="D459" s="15">
        <v>1.0</v>
      </c>
      <c r="E459" s="105"/>
      <c r="G459" s="34"/>
      <c r="H459" s="105"/>
      <c r="I459" s="105"/>
      <c r="J459" s="15" t="s">
        <v>2850</v>
      </c>
      <c r="K459" s="16" t="s">
        <v>2850</v>
      </c>
      <c r="L459" s="13" t="s">
        <v>2925</v>
      </c>
      <c r="M459" s="13" t="s">
        <v>2925</v>
      </c>
    </row>
    <row r="460" hidden="1">
      <c r="A460" s="16" t="s">
        <v>2926</v>
      </c>
      <c r="B460" s="16" t="s">
        <v>2850</v>
      </c>
      <c r="D460" s="15">
        <v>1.0</v>
      </c>
      <c r="E460" s="105"/>
      <c r="G460" s="34"/>
      <c r="H460" s="105"/>
      <c r="I460" s="105"/>
      <c r="J460" s="15" t="s">
        <v>2850</v>
      </c>
      <c r="K460" s="16" t="s">
        <v>2850</v>
      </c>
      <c r="L460" s="13" t="s">
        <v>2927</v>
      </c>
      <c r="M460" s="13" t="s">
        <v>2927</v>
      </c>
    </row>
    <row r="461" hidden="1">
      <c r="A461" s="16" t="s">
        <v>2928</v>
      </c>
      <c r="B461" s="16" t="s">
        <v>2850</v>
      </c>
      <c r="D461" s="15">
        <v>1.0</v>
      </c>
      <c r="E461" s="105"/>
      <c r="G461" s="34"/>
      <c r="H461" s="105"/>
      <c r="I461" s="105"/>
      <c r="J461" s="15" t="s">
        <v>2850</v>
      </c>
      <c r="K461" s="16" t="s">
        <v>2850</v>
      </c>
      <c r="L461" s="13" t="s">
        <v>2929</v>
      </c>
      <c r="M461" s="13" t="s">
        <v>2929</v>
      </c>
    </row>
    <row r="462" hidden="1">
      <c r="A462" s="16" t="s">
        <v>2930</v>
      </c>
      <c r="B462" s="16" t="s">
        <v>2850</v>
      </c>
      <c r="D462" s="15">
        <v>1.0</v>
      </c>
      <c r="E462" s="105"/>
      <c r="F462" s="16" t="s">
        <v>2931</v>
      </c>
      <c r="G462" s="34"/>
      <c r="H462" s="105"/>
      <c r="I462" s="105"/>
      <c r="J462" s="15" t="s">
        <v>2850</v>
      </c>
      <c r="K462" s="16" t="s">
        <v>2850</v>
      </c>
      <c r="L462" s="13" t="s">
        <v>2932</v>
      </c>
      <c r="M462" s="13" t="s">
        <v>2933</v>
      </c>
      <c r="N462" s="13" t="s">
        <v>2934</v>
      </c>
    </row>
    <row r="463" hidden="1">
      <c r="A463" s="16" t="s">
        <v>2935</v>
      </c>
      <c r="B463" s="16" t="s">
        <v>2850</v>
      </c>
      <c r="D463" s="15">
        <v>1.0</v>
      </c>
      <c r="E463" s="105"/>
      <c r="F463" s="16" t="s">
        <v>2936</v>
      </c>
      <c r="G463" s="34"/>
      <c r="H463" s="105"/>
      <c r="I463" s="105"/>
      <c r="J463" s="15" t="s">
        <v>2850</v>
      </c>
      <c r="K463" s="16" t="s">
        <v>2850</v>
      </c>
      <c r="L463" s="13" t="s">
        <v>2937</v>
      </c>
      <c r="M463" s="13" t="s">
        <v>2938</v>
      </c>
      <c r="N463" s="13" t="s">
        <v>2939</v>
      </c>
    </row>
    <row r="464" hidden="1">
      <c r="A464" s="16" t="s">
        <v>2940</v>
      </c>
      <c r="B464" s="16" t="s">
        <v>22</v>
      </c>
      <c r="C464" s="92" t="s">
        <v>1058</v>
      </c>
      <c r="D464" s="15">
        <v>1.0</v>
      </c>
      <c r="E464" s="105"/>
      <c r="F464" s="16" t="s">
        <v>2941</v>
      </c>
      <c r="G464" s="34"/>
      <c r="H464" s="15">
        <v>1.0</v>
      </c>
      <c r="I464" s="15" t="s">
        <v>1222</v>
      </c>
      <c r="J464" s="15" t="s">
        <v>72</v>
      </c>
      <c r="K464" s="16" t="s">
        <v>2942</v>
      </c>
      <c r="L464" s="13" t="s">
        <v>2943</v>
      </c>
      <c r="M464" s="13" t="s">
        <v>2944</v>
      </c>
      <c r="N464" s="13" t="s">
        <v>2945</v>
      </c>
      <c r="O464" s="13" t="s">
        <v>2946</v>
      </c>
      <c r="P464" s="13" t="s">
        <v>2947</v>
      </c>
      <c r="Q464" s="13" t="s">
        <v>2948</v>
      </c>
      <c r="R464" s="13" t="s">
        <v>2949</v>
      </c>
    </row>
    <row r="465">
      <c r="A465" s="16" t="s">
        <v>2950</v>
      </c>
      <c r="B465" s="20"/>
      <c r="C465" s="16" t="s">
        <v>1562</v>
      </c>
      <c r="D465" s="15">
        <v>3.0</v>
      </c>
      <c r="E465" s="15" t="s">
        <v>113</v>
      </c>
      <c r="F465" s="16" t="s">
        <v>2951</v>
      </c>
      <c r="G465" s="34"/>
      <c r="H465" s="105"/>
      <c r="I465" s="105"/>
      <c r="J465" s="105"/>
    </row>
    <row r="466">
      <c r="B466" s="20"/>
      <c r="D466" s="105"/>
      <c r="E466" s="105"/>
      <c r="G466" s="34"/>
      <c r="H466" s="105"/>
      <c r="I466" s="105"/>
      <c r="J466" s="105"/>
    </row>
    <row r="467">
      <c r="B467" s="20"/>
      <c r="D467" s="105"/>
      <c r="E467" s="105"/>
      <c r="G467" s="34"/>
      <c r="H467" s="105"/>
      <c r="I467" s="105"/>
      <c r="J467" s="105"/>
    </row>
    <row r="468">
      <c r="B468" s="20"/>
      <c r="D468" s="105"/>
      <c r="E468" s="105"/>
      <c r="G468" s="34"/>
      <c r="H468" s="105"/>
      <c r="I468" s="105"/>
      <c r="J468" s="105"/>
    </row>
    <row r="469">
      <c r="B469" s="20"/>
      <c r="D469" s="105"/>
      <c r="E469" s="105"/>
      <c r="G469" s="34"/>
      <c r="H469" s="105"/>
      <c r="I469" s="105"/>
      <c r="J469" s="105"/>
    </row>
    <row r="470">
      <c r="B470" s="20"/>
      <c r="D470" s="105"/>
      <c r="E470" s="105"/>
      <c r="G470" s="34"/>
      <c r="H470" s="105"/>
      <c r="I470" s="105"/>
      <c r="J470" s="105"/>
    </row>
    <row r="471">
      <c r="B471" s="20"/>
      <c r="D471" s="105"/>
      <c r="E471" s="105"/>
      <c r="G471" s="34"/>
      <c r="H471" s="105"/>
      <c r="I471" s="105"/>
      <c r="J471" s="105"/>
    </row>
    <row r="472">
      <c r="B472" s="20"/>
      <c r="D472" s="105"/>
      <c r="E472" s="105"/>
      <c r="G472" s="34"/>
      <c r="H472" s="105"/>
      <c r="I472" s="105"/>
      <c r="J472" s="105"/>
    </row>
    <row r="473">
      <c r="B473" s="20"/>
      <c r="D473" s="105"/>
      <c r="E473" s="105"/>
      <c r="G473" s="34"/>
      <c r="H473" s="105"/>
      <c r="I473" s="105"/>
      <c r="J473" s="105"/>
    </row>
    <row r="474">
      <c r="B474" s="20"/>
      <c r="D474" s="105"/>
      <c r="E474" s="105"/>
      <c r="G474" s="34"/>
      <c r="H474" s="105"/>
      <c r="I474" s="105"/>
      <c r="J474" s="105"/>
    </row>
    <row r="475">
      <c r="B475" s="20"/>
      <c r="D475" s="105"/>
      <c r="E475" s="105"/>
      <c r="G475" s="34"/>
      <c r="H475" s="105"/>
      <c r="I475" s="105"/>
      <c r="J475" s="105"/>
    </row>
    <row r="476">
      <c r="B476" s="20"/>
      <c r="D476" s="105"/>
      <c r="E476" s="105"/>
      <c r="G476" s="34"/>
      <c r="H476" s="105"/>
      <c r="I476" s="105"/>
      <c r="J476" s="105"/>
    </row>
    <row r="477">
      <c r="B477" s="20"/>
      <c r="D477" s="105"/>
      <c r="E477" s="105"/>
      <c r="G477" s="34"/>
      <c r="H477" s="105"/>
      <c r="I477" s="105"/>
      <c r="J477" s="105"/>
    </row>
    <row r="478">
      <c r="B478" s="20"/>
      <c r="D478" s="105"/>
      <c r="E478" s="105"/>
      <c r="G478" s="34"/>
      <c r="H478" s="105"/>
      <c r="I478" s="105"/>
      <c r="J478" s="105"/>
    </row>
    <row r="479">
      <c r="B479" s="20"/>
      <c r="D479" s="105"/>
      <c r="E479" s="105"/>
      <c r="G479" s="34"/>
      <c r="H479" s="105"/>
      <c r="I479" s="105"/>
      <c r="J479" s="105"/>
    </row>
    <row r="480">
      <c r="B480" s="20"/>
      <c r="D480" s="105"/>
      <c r="E480" s="105"/>
      <c r="G480" s="34"/>
      <c r="H480" s="105"/>
      <c r="I480" s="105"/>
      <c r="J480" s="105"/>
    </row>
    <row r="481">
      <c r="B481" s="20"/>
      <c r="D481" s="105"/>
      <c r="E481" s="105"/>
      <c r="G481" s="34"/>
      <c r="H481" s="105"/>
      <c r="I481" s="105"/>
      <c r="J481" s="105"/>
    </row>
    <row r="482">
      <c r="B482" s="20"/>
      <c r="D482" s="105"/>
      <c r="E482" s="105"/>
      <c r="G482" s="34"/>
      <c r="H482" s="105"/>
      <c r="I482" s="105"/>
      <c r="J482" s="105"/>
    </row>
    <row r="483">
      <c r="B483" s="20"/>
      <c r="D483" s="105"/>
      <c r="E483" s="105"/>
      <c r="G483" s="34"/>
      <c r="H483" s="105"/>
      <c r="I483" s="105"/>
      <c r="J483" s="105"/>
    </row>
    <row r="484">
      <c r="B484" s="20"/>
      <c r="D484" s="105"/>
      <c r="E484" s="105"/>
      <c r="G484" s="34"/>
      <c r="H484" s="105"/>
      <c r="I484" s="105"/>
      <c r="J484" s="105"/>
    </row>
    <row r="485">
      <c r="B485" s="20"/>
      <c r="D485" s="105"/>
      <c r="E485" s="105"/>
      <c r="G485" s="34"/>
      <c r="H485" s="105"/>
      <c r="I485" s="105"/>
      <c r="J485" s="105"/>
    </row>
    <row r="486">
      <c r="B486" s="20"/>
      <c r="D486" s="105"/>
      <c r="E486" s="105"/>
      <c r="G486" s="34"/>
      <c r="H486" s="105"/>
      <c r="I486" s="105"/>
      <c r="J486" s="105"/>
    </row>
    <row r="487">
      <c r="B487" s="20"/>
      <c r="D487" s="105"/>
      <c r="E487" s="105"/>
      <c r="G487" s="34"/>
      <c r="H487" s="105"/>
      <c r="I487" s="105"/>
      <c r="J487" s="105"/>
    </row>
    <row r="488">
      <c r="B488" s="20"/>
      <c r="D488" s="105"/>
      <c r="E488" s="105"/>
      <c r="G488" s="34"/>
      <c r="H488" s="105"/>
      <c r="I488" s="105"/>
      <c r="J488" s="105"/>
    </row>
    <row r="489">
      <c r="B489" s="20"/>
      <c r="D489" s="105"/>
      <c r="E489" s="105"/>
      <c r="G489" s="34"/>
      <c r="H489" s="105"/>
      <c r="I489" s="105"/>
      <c r="J489" s="105"/>
    </row>
    <row r="490">
      <c r="B490" s="20"/>
      <c r="D490" s="105"/>
      <c r="E490" s="105"/>
      <c r="G490" s="34"/>
      <c r="H490" s="105"/>
      <c r="I490" s="105"/>
      <c r="J490" s="105"/>
    </row>
    <row r="491">
      <c r="B491" s="20"/>
      <c r="D491" s="105"/>
      <c r="E491" s="105"/>
      <c r="G491" s="34"/>
      <c r="H491" s="105"/>
      <c r="I491" s="105"/>
      <c r="J491" s="105"/>
    </row>
    <row r="492">
      <c r="B492" s="20"/>
      <c r="D492" s="105"/>
      <c r="E492" s="105"/>
      <c r="G492" s="34"/>
      <c r="H492" s="105"/>
      <c r="I492" s="105"/>
      <c r="J492" s="105"/>
    </row>
    <row r="493">
      <c r="B493" s="20"/>
      <c r="D493" s="105"/>
      <c r="E493" s="105"/>
      <c r="G493" s="34"/>
      <c r="H493" s="105"/>
      <c r="I493" s="105"/>
      <c r="J493" s="105"/>
    </row>
    <row r="494">
      <c r="B494" s="20"/>
      <c r="D494" s="105"/>
      <c r="E494" s="105"/>
      <c r="G494" s="34"/>
      <c r="H494" s="105"/>
      <c r="I494" s="105"/>
      <c r="J494" s="105"/>
    </row>
    <row r="495">
      <c r="B495" s="20"/>
      <c r="D495" s="105"/>
      <c r="E495" s="105"/>
      <c r="G495" s="34"/>
      <c r="H495" s="105"/>
      <c r="I495" s="105"/>
      <c r="J495" s="105"/>
    </row>
    <row r="496">
      <c r="B496" s="20"/>
      <c r="D496" s="105"/>
      <c r="E496" s="105"/>
      <c r="G496" s="34"/>
      <c r="H496" s="105"/>
      <c r="I496" s="105"/>
      <c r="J496" s="105"/>
    </row>
    <row r="497">
      <c r="B497" s="20"/>
      <c r="D497" s="105"/>
      <c r="E497" s="105"/>
      <c r="G497" s="34"/>
      <c r="H497" s="105"/>
      <c r="I497" s="105"/>
      <c r="J497" s="105"/>
    </row>
    <row r="498">
      <c r="B498" s="20"/>
      <c r="D498" s="105"/>
      <c r="E498" s="105"/>
      <c r="G498" s="34"/>
      <c r="H498" s="105"/>
      <c r="I498" s="105"/>
      <c r="J498" s="105"/>
    </row>
    <row r="499">
      <c r="B499" s="20"/>
      <c r="D499" s="105"/>
      <c r="E499" s="105"/>
      <c r="G499" s="34"/>
      <c r="H499" s="105"/>
      <c r="I499" s="105"/>
      <c r="J499" s="105"/>
    </row>
    <row r="500">
      <c r="B500" s="20"/>
      <c r="D500" s="105"/>
      <c r="E500" s="105"/>
      <c r="G500" s="34"/>
      <c r="H500" s="105"/>
      <c r="I500" s="105"/>
      <c r="J500" s="105"/>
    </row>
    <row r="501">
      <c r="B501" s="20"/>
      <c r="D501" s="105"/>
      <c r="E501" s="105"/>
      <c r="G501" s="34"/>
      <c r="H501" s="105"/>
      <c r="I501" s="105"/>
      <c r="J501" s="105"/>
    </row>
    <row r="502">
      <c r="B502" s="20"/>
      <c r="D502" s="105"/>
      <c r="E502" s="105"/>
      <c r="G502" s="34"/>
      <c r="H502" s="105"/>
      <c r="I502" s="105"/>
      <c r="J502" s="105"/>
    </row>
    <row r="503">
      <c r="B503" s="20"/>
      <c r="D503" s="105"/>
      <c r="E503" s="105"/>
      <c r="G503" s="34"/>
      <c r="H503" s="105"/>
      <c r="I503" s="105"/>
      <c r="J503" s="105"/>
    </row>
    <row r="504">
      <c r="B504" s="20"/>
      <c r="D504" s="105"/>
      <c r="E504" s="105"/>
      <c r="G504" s="34"/>
      <c r="H504" s="105"/>
      <c r="I504" s="105"/>
      <c r="J504" s="105"/>
    </row>
    <row r="505">
      <c r="B505" s="20"/>
      <c r="D505" s="105"/>
      <c r="E505" s="105"/>
      <c r="G505" s="34"/>
      <c r="H505" s="105"/>
      <c r="I505" s="105"/>
      <c r="J505" s="105"/>
    </row>
    <row r="506">
      <c r="B506" s="20"/>
      <c r="D506" s="105"/>
      <c r="E506" s="105"/>
      <c r="G506" s="34"/>
      <c r="H506" s="105"/>
      <c r="I506" s="105"/>
      <c r="J506" s="105"/>
    </row>
    <row r="507">
      <c r="B507" s="20"/>
      <c r="D507" s="105"/>
      <c r="E507" s="105"/>
      <c r="G507" s="34"/>
      <c r="H507" s="105"/>
      <c r="I507" s="105"/>
      <c r="J507" s="105"/>
    </row>
    <row r="508">
      <c r="B508" s="20"/>
      <c r="D508" s="105"/>
      <c r="E508" s="105"/>
      <c r="G508" s="34"/>
      <c r="H508" s="105"/>
      <c r="I508" s="105"/>
      <c r="J508" s="105"/>
    </row>
    <row r="509">
      <c r="B509" s="20"/>
      <c r="D509" s="105"/>
      <c r="E509" s="105"/>
      <c r="G509" s="34"/>
      <c r="H509" s="105"/>
      <c r="I509" s="105"/>
      <c r="J509" s="105"/>
    </row>
    <row r="510">
      <c r="B510" s="20"/>
      <c r="D510" s="105"/>
      <c r="E510" s="105"/>
      <c r="G510" s="34"/>
      <c r="H510" s="105"/>
      <c r="I510" s="105"/>
      <c r="J510" s="105"/>
    </row>
    <row r="511">
      <c r="B511" s="20"/>
      <c r="D511" s="105"/>
      <c r="E511" s="105"/>
      <c r="G511" s="34"/>
      <c r="H511" s="105"/>
      <c r="I511" s="105"/>
      <c r="J511" s="105"/>
    </row>
    <row r="512">
      <c r="B512" s="20"/>
      <c r="D512" s="105"/>
      <c r="E512" s="105"/>
      <c r="G512" s="34"/>
      <c r="H512" s="105"/>
      <c r="I512" s="105"/>
      <c r="J512" s="105"/>
    </row>
    <row r="513">
      <c r="B513" s="20"/>
      <c r="D513" s="105"/>
      <c r="E513" s="105"/>
      <c r="G513" s="34"/>
      <c r="H513" s="105"/>
      <c r="I513" s="105"/>
      <c r="J513" s="105"/>
    </row>
    <row r="514">
      <c r="B514" s="20"/>
      <c r="D514" s="105"/>
      <c r="E514" s="105"/>
      <c r="G514" s="34"/>
      <c r="H514" s="105"/>
      <c r="I514" s="105"/>
      <c r="J514" s="105"/>
    </row>
    <row r="515">
      <c r="B515" s="20"/>
      <c r="D515" s="105"/>
      <c r="E515" s="105"/>
      <c r="G515" s="34"/>
      <c r="H515" s="105"/>
      <c r="I515" s="105"/>
      <c r="J515" s="105"/>
    </row>
    <row r="516">
      <c r="B516" s="20"/>
      <c r="D516" s="105"/>
      <c r="E516" s="105"/>
      <c r="G516" s="34"/>
      <c r="H516" s="105"/>
      <c r="I516" s="105"/>
      <c r="J516" s="105"/>
    </row>
    <row r="517">
      <c r="B517" s="20"/>
      <c r="D517" s="105"/>
      <c r="E517" s="105"/>
      <c r="G517" s="34"/>
      <c r="H517" s="105"/>
      <c r="I517" s="105"/>
      <c r="J517" s="105"/>
    </row>
    <row r="518">
      <c r="B518" s="20"/>
      <c r="D518" s="105"/>
      <c r="E518" s="105"/>
      <c r="G518" s="34"/>
      <c r="H518" s="105"/>
      <c r="I518" s="105"/>
      <c r="J518" s="105"/>
    </row>
    <row r="519">
      <c r="B519" s="20"/>
      <c r="D519" s="105"/>
      <c r="E519" s="105"/>
      <c r="G519" s="34"/>
      <c r="H519" s="105"/>
      <c r="I519" s="105"/>
      <c r="J519" s="105"/>
    </row>
    <row r="520">
      <c r="B520" s="20"/>
      <c r="D520" s="105"/>
      <c r="E520" s="105"/>
      <c r="G520" s="34"/>
      <c r="H520" s="105"/>
      <c r="I520" s="105"/>
      <c r="J520" s="105"/>
    </row>
    <row r="521">
      <c r="B521" s="20"/>
      <c r="D521" s="105"/>
      <c r="E521" s="105"/>
      <c r="G521" s="34"/>
      <c r="H521" s="105"/>
      <c r="I521" s="105"/>
      <c r="J521" s="105"/>
    </row>
    <row r="522">
      <c r="B522" s="20"/>
      <c r="D522" s="105"/>
      <c r="E522" s="105"/>
      <c r="G522" s="34"/>
      <c r="H522" s="105"/>
      <c r="I522" s="105"/>
      <c r="J522" s="105"/>
    </row>
    <row r="523">
      <c r="B523" s="20"/>
      <c r="D523" s="105"/>
      <c r="E523" s="105"/>
      <c r="G523" s="34"/>
      <c r="H523" s="105"/>
      <c r="I523" s="105"/>
      <c r="J523" s="105"/>
    </row>
    <row r="524">
      <c r="B524" s="20"/>
      <c r="D524" s="105"/>
      <c r="E524" s="105"/>
      <c r="G524" s="34"/>
      <c r="H524" s="105"/>
      <c r="I524" s="105"/>
      <c r="J524" s="105"/>
    </row>
    <row r="525">
      <c r="B525" s="20"/>
      <c r="D525" s="105"/>
      <c r="E525" s="105"/>
      <c r="G525" s="34"/>
      <c r="H525" s="105"/>
      <c r="I525" s="105"/>
      <c r="J525" s="105"/>
    </row>
    <row r="526">
      <c r="B526" s="20"/>
      <c r="D526" s="105"/>
      <c r="E526" s="105"/>
      <c r="G526" s="34"/>
      <c r="H526" s="105"/>
      <c r="I526" s="105"/>
      <c r="J526" s="105"/>
    </row>
    <row r="527">
      <c r="B527" s="20"/>
      <c r="D527" s="105"/>
      <c r="E527" s="105"/>
      <c r="G527" s="34"/>
      <c r="H527" s="105"/>
      <c r="I527" s="105"/>
      <c r="J527" s="105"/>
    </row>
    <row r="528">
      <c r="B528" s="20"/>
      <c r="D528" s="105"/>
      <c r="E528" s="105"/>
      <c r="G528" s="34"/>
      <c r="H528" s="105"/>
      <c r="I528" s="105"/>
      <c r="J528" s="105"/>
    </row>
    <row r="529">
      <c r="B529" s="20"/>
      <c r="D529" s="105"/>
      <c r="E529" s="105"/>
      <c r="G529" s="34"/>
      <c r="H529" s="105"/>
      <c r="I529" s="105"/>
      <c r="J529" s="105"/>
    </row>
    <row r="530">
      <c r="B530" s="20"/>
      <c r="D530" s="105"/>
      <c r="E530" s="105"/>
      <c r="G530" s="34"/>
      <c r="H530" s="105"/>
      <c r="I530" s="105"/>
      <c r="J530" s="105"/>
    </row>
    <row r="531">
      <c r="B531" s="20"/>
      <c r="D531" s="105"/>
      <c r="E531" s="105"/>
      <c r="G531" s="34"/>
      <c r="H531" s="105"/>
      <c r="I531" s="105"/>
      <c r="J531" s="105"/>
    </row>
    <row r="532">
      <c r="B532" s="20"/>
      <c r="D532" s="105"/>
      <c r="E532" s="105"/>
      <c r="G532" s="34"/>
      <c r="H532" s="105"/>
      <c r="I532" s="105"/>
      <c r="J532" s="105"/>
    </row>
    <row r="533">
      <c r="B533" s="20"/>
      <c r="D533" s="105"/>
      <c r="E533" s="105"/>
      <c r="G533" s="34"/>
      <c r="H533" s="105"/>
      <c r="I533" s="105"/>
      <c r="J533" s="105"/>
    </row>
    <row r="534">
      <c r="B534" s="20"/>
      <c r="D534" s="105"/>
      <c r="E534" s="105"/>
      <c r="G534" s="34"/>
      <c r="H534" s="105"/>
      <c r="I534" s="105"/>
      <c r="J534" s="105"/>
    </row>
    <row r="535">
      <c r="B535" s="20"/>
      <c r="D535" s="105"/>
      <c r="E535" s="105"/>
      <c r="G535" s="34"/>
      <c r="H535" s="105"/>
      <c r="I535" s="105"/>
      <c r="J535" s="105"/>
    </row>
    <row r="536">
      <c r="B536" s="20"/>
      <c r="D536" s="105"/>
      <c r="E536" s="105"/>
      <c r="G536" s="34"/>
      <c r="H536" s="105"/>
      <c r="I536" s="105"/>
      <c r="J536" s="105"/>
    </row>
    <row r="537">
      <c r="B537" s="20"/>
      <c r="D537" s="105"/>
      <c r="E537" s="105"/>
      <c r="G537" s="34"/>
      <c r="H537" s="105"/>
      <c r="I537" s="105"/>
      <c r="J537" s="105"/>
    </row>
    <row r="538">
      <c r="B538" s="20"/>
      <c r="D538" s="105"/>
      <c r="E538" s="105"/>
      <c r="G538" s="34"/>
      <c r="H538" s="105"/>
      <c r="I538" s="105"/>
      <c r="J538" s="105"/>
    </row>
    <row r="539">
      <c r="B539" s="20"/>
      <c r="D539" s="105"/>
      <c r="E539" s="105"/>
      <c r="G539" s="34"/>
      <c r="H539" s="105"/>
      <c r="I539" s="105"/>
      <c r="J539" s="105"/>
    </row>
    <row r="540">
      <c r="B540" s="20"/>
      <c r="D540" s="105"/>
      <c r="E540" s="105"/>
      <c r="G540" s="34"/>
      <c r="H540" s="105"/>
      <c r="I540" s="105"/>
      <c r="J540" s="105"/>
    </row>
    <row r="541">
      <c r="B541" s="20"/>
      <c r="D541" s="105"/>
      <c r="E541" s="105"/>
      <c r="G541" s="34"/>
      <c r="H541" s="105"/>
      <c r="I541" s="105"/>
      <c r="J541" s="105"/>
    </row>
    <row r="542">
      <c r="B542" s="20"/>
      <c r="D542" s="105"/>
      <c r="E542" s="105"/>
      <c r="G542" s="34"/>
      <c r="H542" s="105"/>
      <c r="I542" s="105"/>
      <c r="J542" s="105"/>
    </row>
    <row r="543">
      <c r="B543" s="20"/>
      <c r="D543" s="105"/>
      <c r="E543" s="105"/>
      <c r="G543" s="34"/>
      <c r="H543" s="105"/>
      <c r="I543" s="105"/>
      <c r="J543" s="105"/>
    </row>
    <row r="544">
      <c r="B544" s="20"/>
      <c r="D544" s="105"/>
      <c r="E544" s="105"/>
      <c r="G544" s="34"/>
      <c r="H544" s="105"/>
      <c r="I544" s="105"/>
      <c r="J544" s="105"/>
    </row>
    <row r="545">
      <c r="B545" s="20"/>
      <c r="D545" s="105"/>
      <c r="E545" s="105"/>
      <c r="G545" s="34"/>
      <c r="H545" s="105"/>
      <c r="I545" s="105"/>
      <c r="J545" s="105"/>
    </row>
    <row r="546">
      <c r="B546" s="20"/>
      <c r="D546" s="105"/>
      <c r="E546" s="105"/>
      <c r="G546" s="34"/>
      <c r="H546" s="105"/>
      <c r="I546" s="105"/>
      <c r="J546" s="105"/>
    </row>
    <row r="547">
      <c r="B547" s="20"/>
      <c r="D547" s="105"/>
      <c r="E547" s="105"/>
      <c r="G547" s="34"/>
      <c r="H547" s="105"/>
      <c r="I547" s="105"/>
      <c r="J547" s="105"/>
    </row>
    <row r="548">
      <c r="B548" s="20"/>
      <c r="D548" s="105"/>
      <c r="E548" s="105"/>
      <c r="G548" s="34"/>
      <c r="H548" s="105"/>
      <c r="I548" s="105"/>
      <c r="J548" s="105"/>
    </row>
    <row r="549">
      <c r="B549" s="20"/>
      <c r="D549" s="105"/>
      <c r="E549" s="105"/>
      <c r="G549" s="34"/>
      <c r="H549" s="105"/>
      <c r="I549" s="105"/>
      <c r="J549" s="105"/>
    </row>
    <row r="550">
      <c r="B550" s="20"/>
      <c r="D550" s="105"/>
      <c r="E550" s="105"/>
      <c r="G550" s="34"/>
      <c r="H550" s="105"/>
      <c r="I550" s="105"/>
      <c r="J550" s="105"/>
    </row>
    <row r="551">
      <c r="B551" s="20"/>
      <c r="D551" s="105"/>
      <c r="E551" s="105"/>
      <c r="G551" s="34"/>
      <c r="H551" s="105"/>
      <c r="I551" s="105"/>
      <c r="J551" s="105"/>
    </row>
    <row r="552">
      <c r="B552" s="20"/>
      <c r="D552" s="105"/>
      <c r="E552" s="105"/>
      <c r="G552" s="34"/>
      <c r="H552" s="105"/>
      <c r="I552" s="105"/>
      <c r="J552" s="105"/>
    </row>
    <row r="553">
      <c r="B553" s="20"/>
      <c r="D553" s="105"/>
      <c r="E553" s="105"/>
      <c r="G553" s="34"/>
      <c r="H553" s="105"/>
      <c r="I553" s="105"/>
      <c r="J553" s="105"/>
    </row>
    <row r="554">
      <c r="B554" s="20"/>
      <c r="D554" s="105"/>
      <c r="E554" s="105"/>
      <c r="G554" s="34"/>
      <c r="H554" s="105"/>
      <c r="I554" s="105"/>
      <c r="J554" s="105"/>
    </row>
    <row r="555">
      <c r="B555" s="20"/>
      <c r="D555" s="105"/>
      <c r="E555" s="105"/>
      <c r="G555" s="34"/>
      <c r="H555" s="105"/>
      <c r="I555" s="105"/>
      <c r="J555" s="105"/>
    </row>
    <row r="556">
      <c r="B556" s="20"/>
      <c r="D556" s="105"/>
      <c r="E556" s="105"/>
      <c r="G556" s="34"/>
      <c r="H556" s="105"/>
      <c r="I556" s="105"/>
      <c r="J556" s="105"/>
    </row>
    <row r="557">
      <c r="B557" s="20"/>
      <c r="D557" s="105"/>
      <c r="E557" s="105"/>
      <c r="G557" s="34"/>
      <c r="H557" s="105"/>
      <c r="I557" s="105"/>
      <c r="J557" s="105"/>
    </row>
    <row r="558">
      <c r="B558" s="20"/>
      <c r="D558" s="105"/>
      <c r="E558" s="105"/>
      <c r="G558" s="34"/>
      <c r="H558" s="105"/>
      <c r="I558" s="105"/>
      <c r="J558" s="105"/>
    </row>
    <row r="559">
      <c r="B559" s="20"/>
      <c r="D559" s="105"/>
      <c r="E559" s="105"/>
      <c r="G559" s="34"/>
      <c r="H559" s="105"/>
      <c r="I559" s="105"/>
      <c r="J559" s="105"/>
    </row>
    <row r="560">
      <c r="B560" s="20"/>
      <c r="D560" s="105"/>
      <c r="E560" s="105"/>
      <c r="G560" s="34"/>
      <c r="H560" s="105"/>
      <c r="I560" s="105"/>
      <c r="J560" s="105"/>
    </row>
    <row r="561">
      <c r="B561" s="20"/>
      <c r="D561" s="105"/>
      <c r="E561" s="105"/>
      <c r="G561" s="34"/>
      <c r="H561" s="105"/>
      <c r="I561" s="105"/>
      <c r="J561" s="105"/>
    </row>
    <row r="562">
      <c r="B562" s="20"/>
      <c r="D562" s="105"/>
      <c r="E562" s="105"/>
      <c r="G562" s="34"/>
      <c r="H562" s="105"/>
      <c r="I562" s="105"/>
      <c r="J562" s="105"/>
    </row>
    <row r="563">
      <c r="B563" s="20"/>
      <c r="D563" s="105"/>
      <c r="E563" s="105"/>
      <c r="G563" s="34"/>
      <c r="H563" s="105"/>
      <c r="I563" s="105"/>
      <c r="J563" s="105"/>
    </row>
    <row r="564">
      <c r="B564" s="20"/>
      <c r="D564" s="105"/>
      <c r="E564" s="105"/>
      <c r="G564" s="34"/>
      <c r="H564" s="105"/>
      <c r="I564" s="105"/>
      <c r="J564" s="105"/>
    </row>
    <row r="565">
      <c r="B565" s="20"/>
      <c r="D565" s="105"/>
      <c r="E565" s="105"/>
      <c r="G565" s="34"/>
      <c r="H565" s="105"/>
      <c r="I565" s="105"/>
      <c r="J565" s="105"/>
    </row>
    <row r="566">
      <c r="B566" s="20"/>
      <c r="D566" s="105"/>
      <c r="E566" s="105"/>
      <c r="G566" s="34"/>
      <c r="H566" s="105"/>
      <c r="I566" s="105"/>
      <c r="J566" s="105"/>
    </row>
    <row r="567">
      <c r="B567" s="20"/>
      <c r="D567" s="105"/>
      <c r="E567" s="105"/>
      <c r="G567" s="34"/>
      <c r="H567" s="105"/>
      <c r="I567" s="105"/>
      <c r="J567" s="105"/>
    </row>
    <row r="568">
      <c r="B568" s="20"/>
      <c r="D568" s="105"/>
      <c r="E568" s="105"/>
      <c r="G568" s="34"/>
      <c r="H568" s="105"/>
      <c r="I568" s="105"/>
      <c r="J568" s="105"/>
    </row>
    <row r="569">
      <c r="B569" s="20"/>
      <c r="D569" s="105"/>
      <c r="E569" s="105"/>
      <c r="G569" s="34"/>
      <c r="H569" s="105"/>
      <c r="I569" s="105"/>
      <c r="J569" s="105"/>
    </row>
    <row r="570">
      <c r="B570" s="20"/>
      <c r="D570" s="105"/>
      <c r="E570" s="105"/>
      <c r="G570" s="34"/>
      <c r="H570" s="105"/>
      <c r="I570" s="105"/>
      <c r="J570" s="105"/>
    </row>
    <row r="571">
      <c r="B571" s="20"/>
      <c r="D571" s="105"/>
      <c r="E571" s="105"/>
      <c r="G571" s="34"/>
      <c r="H571" s="105"/>
      <c r="I571" s="105"/>
      <c r="J571" s="105"/>
    </row>
    <row r="572">
      <c r="B572" s="20"/>
      <c r="D572" s="105"/>
      <c r="E572" s="105"/>
      <c r="G572" s="34"/>
      <c r="H572" s="105"/>
      <c r="I572" s="105"/>
      <c r="J572" s="105"/>
    </row>
    <row r="573">
      <c r="B573" s="20"/>
      <c r="D573" s="105"/>
      <c r="E573" s="105"/>
      <c r="G573" s="34"/>
      <c r="H573" s="105"/>
      <c r="I573" s="105"/>
      <c r="J573" s="105"/>
    </row>
    <row r="574">
      <c r="B574" s="20"/>
      <c r="D574" s="105"/>
      <c r="E574" s="105"/>
      <c r="G574" s="34"/>
      <c r="H574" s="105"/>
      <c r="I574" s="105"/>
      <c r="J574" s="105"/>
    </row>
    <row r="575">
      <c r="B575" s="20"/>
      <c r="D575" s="105"/>
      <c r="E575" s="105"/>
      <c r="G575" s="34"/>
      <c r="H575" s="105"/>
      <c r="I575" s="105"/>
      <c r="J575" s="105"/>
    </row>
    <row r="576">
      <c r="B576" s="20"/>
      <c r="D576" s="105"/>
      <c r="E576" s="105"/>
      <c r="G576" s="34"/>
      <c r="H576" s="105"/>
      <c r="I576" s="105"/>
      <c r="J576" s="105"/>
    </row>
    <row r="577">
      <c r="B577" s="20"/>
      <c r="D577" s="105"/>
      <c r="E577" s="105"/>
      <c r="G577" s="34"/>
      <c r="H577" s="105"/>
      <c r="I577" s="105"/>
      <c r="J577" s="105"/>
    </row>
    <row r="578">
      <c r="B578" s="20"/>
      <c r="D578" s="105"/>
      <c r="E578" s="105"/>
      <c r="G578" s="34"/>
      <c r="H578" s="105"/>
      <c r="I578" s="105"/>
      <c r="J578" s="105"/>
    </row>
    <row r="579">
      <c r="B579" s="20"/>
      <c r="D579" s="105"/>
      <c r="E579" s="105"/>
      <c r="G579" s="34"/>
      <c r="H579" s="105"/>
      <c r="I579" s="105"/>
      <c r="J579" s="105"/>
    </row>
    <row r="580">
      <c r="B580" s="20"/>
      <c r="D580" s="105"/>
      <c r="E580" s="105"/>
      <c r="G580" s="34"/>
      <c r="H580" s="105"/>
      <c r="I580" s="105"/>
      <c r="J580" s="105"/>
    </row>
    <row r="581">
      <c r="B581" s="20"/>
      <c r="D581" s="105"/>
      <c r="E581" s="105"/>
      <c r="G581" s="34"/>
      <c r="H581" s="105"/>
      <c r="I581" s="105"/>
      <c r="J581" s="105"/>
    </row>
    <row r="582">
      <c r="B582" s="20"/>
      <c r="D582" s="105"/>
      <c r="E582" s="105"/>
      <c r="G582" s="34"/>
      <c r="H582" s="105"/>
      <c r="I582" s="105"/>
      <c r="J582" s="105"/>
    </row>
    <row r="583">
      <c r="B583" s="20"/>
      <c r="D583" s="105"/>
      <c r="E583" s="105"/>
      <c r="G583" s="34"/>
      <c r="H583" s="105"/>
      <c r="I583" s="105"/>
      <c r="J583" s="105"/>
    </row>
    <row r="584">
      <c r="B584" s="20"/>
      <c r="D584" s="105"/>
      <c r="E584" s="105"/>
      <c r="G584" s="34"/>
      <c r="H584" s="105"/>
      <c r="I584" s="105"/>
      <c r="J584" s="105"/>
    </row>
    <row r="585">
      <c r="B585" s="20"/>
      <c r="D585" s="105"/>
      <c r="E585" s="105"/>
      <c r="G585" s="34"/>
      <c r="H585" s="105"/>
      <c r="I585" s="105"/>
      <c r="J585" s="105"/>
    </row>
    <row r="586">
      <c r="B586" s="20"/>
      <c r="D586" s="105"/>
      <c r="E586" s="105"/>
      <c r="G586" s="34"/>
      <c r="H586" s="105"/>
      <c r="I586" s="105"/>
      <c r="J586" s="105"/>
    </row>
    <row r="587">
      <c r="B587" s="20"/>
      <c r="D587" s="105"/>
      <c r="E587" s="105"/>
      <c r="G587" s="34"/>
      <c r="H587" s="105"/>
      <c r="I587" s="105"/>
      <c r="J587" s="105"/>
    </row>
    <row r="588">
      <c r="B588" s="20"/>
      <c r="D588" s="105"/>
      <c r="E588" s="105"/>
      <c r="G588" s="34"/>
      <c r="H588" s="105"/>
      <c r="I588" s="105"/>
      <c r="J588" s="105"/>
    </row>
    <row r="589">
      <c r="B589" s="20"/>
      <c r="D589" s="105"/>
      <c r="E589" s="105"/>
      <c r="G589" s="34"/>
      <c r="H589" s="105"/>
      <c r="I589" s="105"/>
      <c r="J589" s="105"/>
    </row>
    <row r="590">
      <c r="B590" s="20"/>
      <c r="D590" s="105"/>
      <c r="E590" s="105"/>
      <c r="G590" s="34"/>
      <c r="H590" s="105"/>
      <c r="I590" s="105"/>
      <c r="J590" s="105"/>
    </row>
    <row r="591">
      <c r="B591" s="20"/>
      <c r="D591" s="105"/>
      <c r="E591" s="105"/>
      <c r="G591" s="34"/>
      <c r="H591" s="105"/>
      <c r="I591" s="105"/>
      <c r="J591" s="105"/>
    </row>
    <row r="592">
      <c r="B592" s="20"/>
      <c r="D592" s="105"/>
      <c r="E592" s="105"/>
      <c r="G592" s="34"/>
      <c r="H592" s="105"/>
      <c r="I592" s="105"/>
      <c r="J592" s="105"/>
    </row>
    <row r="593">
      <c r="B593" s="20"/>
      <c r="D593" s="105"/>
      <c r="E593" s="105"/>
      <c r="G593" s="34"/>
      <c r="H593" s="105"/>
      <c r="I593" s="105"/>
      <c r="J593" s="105"/>
    </row>
    <row r="594">
      <c r="B594" s="20"/>
      <c r="D594" s="105"/>
      <c r="E594" s="105"/>
      <c r="G594" s="34"/>
      <c r="H594" s="105"/>
      <c r="I594" s="105"/>
      <c r="J594" s="105"/>
    </row>
    <row r="595">
      <c r="B595" s="20"/>
      <c r="D595" s="105"/>
      <c r="E595" s="105"/>
      <c r="G595" s="34"/>
      <c r="H595" s="105"/>
      <c r="I595" s="105"/>
      <c r="J595" s="105"/>
    </row>
    <row r="596">
      <c r="B596" s="20"/>
      <c r="D596" s="105"/>
      <c r="E596" s="105"/>
      <c r="G596" s="34"/>
      <c r="H596" s="105"/>
      <c r="I596" s="105"/>
      <c r="J596" s="105"/>
    </row>
    <row r="597">
      <c r="B597" s="20"/>
      <c r="D597" s="105"/>
      <c r="E597" s="105"/>
      <c r="G597" s="34"/>
      <c r="H597" s="105"/>
      <c r="I597" s="105"/>
      <c r="J597" s="105"/>
    </row>
    <row r="598">
      <c r="B598" s="20"/>
      <c r="D598" s="105"/>
      <c r="E598" s="105"/>
      <c r="G598" s="34"/>
      <c r="H598" s="105"/>
      <c r="I598" s="105"/>
      <c r="J598" s="105"/>
    </row>
    <row r="599">
      <c r="B599" s="20"/>
      <c r="D599" s="105"/>
      <c r="E599" s="105"/>
      <c r="G599" s="34"/>
      <c r="H599" s="105"/>
      <c r="I599" s="105"/>
      <c r="J599" s="105"/>
    </row>
    <row r="600">
      <c r="B600" s="20"/>
      <c r="D600" s="105"/>
      <c r="E600" s="105"/>
      <c r="G600" s="34"/>
      <c r="H600" s="105"/>
      <c r="I600" s="105"/>
      <c r="J600" s="105"/>
    </row>
    <row r="601">
      <c r="B601" s="20"/>
      <c r="D601" s="105"/>
      <c r="E601" s="105"/>
      <c r="G601" s="34"/>
      <c r="H601" s="105"/>
      <c r="I601" s="105"/>
      <c r="J601" s="105"/>
    </row>
    <row r="602">
      <c r="B602" s="20"/>
      <c r="D602" s="105"/>
      <c r="E602" s="105"/>
      <c r="G602" s="34"/>
      <c r="H602" s="105"/>
      <c r="I602" s="105"/>
      <c r="J602" s="105"/>
    </row>
    <row r="603">
      <c r="B603" s="20"/>
      <c r="D603" s="105"/>
      <c r="E603" s="105"/>
      <c r="G603" s="34"/>
      <c r="H603" s="105"/>
      <c r="I603" s="105"/>
      <c r="J603" s="105"/>
    </row>
    <row r="604">
      <c r="B604" s="20"/>
      <c r="D604" s="105"/>
      <c r="E604" s="105"/>
      <c r="G604" s="34"/>
      <c r="H604" s="105"/>
      <c r="I604" s="105"/>
      <c r="J604" s="105"/>
    </row>
    <row r="605">
      <c r="B605" s="20"/>
      <c r="D605" s="105"/>
      <c r="E605" s="105"/>
      <c r="G605" s="34"/>
      <c r="H605" s="105"/>
      <c r="I605" s="105"/>
      <c r="J605" s="105"/>
    </row>
    <row r="606">
      <c r="B606" s="20"/>
      <c r="D606" s="105"/>
      <c r="E606" s="105"/>
      <c r="G606" s="34"/>
      <c r="H606" s="105"/>
      <c r="I606" s="105"/>
      <c r="J606" s="105"/>
    </row>
    <row r="607">
      <c r="B607" s="20"/>
      <c r="D607" s="105"/>
      <c r="E607" s="105"/>
      <c r="G607" s="34"/>
      <c r="H607" s="105"/>
      <c r="I607" s="105"/>
      <c r="J607" s="105"/>
    </row>
    <row r="608">
      <c r="B608" s="20"/>
      <c r="D608" s="105"/>
      <c r="E608" s="105"/>
      <c r="G608" s="34"/>
      <c r="H608" s="105"/>
      <c r="I608" s="105"/>
      <c r="J608" s="105"/>
    </row>
    <row r="609">
      <c r="B609" s="20"/>
      <c r="D609" s="105"/>
      <c r="E609" s="105"/>
      <c r="G609" s="34"/>
      <c r="H609" s="105"/>
      <c r="I609" s="105"/>
      <c r="J609" s="105"/>
    </row>
    <row r="610">
      <c r="B610" s="20"/>
      <c r="D610" s="105"/>
      <c r="E610" s="105"/>
      <c r="G610" s="34"/>
      <c r="H610" s="105"/>
      <c r="I610" s="105"/>
      <c r="J610" s="105"/>
    </row>
    <row r="611">
      <c r="B611" s="20"/>
      <c r="D611" s="105"/>
      <c r="E611" s="105"/>
      <c r="G611" s="34"/>
      <c r="H611" s="105"/>
      <c r="I611" s="105"/>
      <c r="J611" s="105"/>
    </row>
    <row r="612">
      <c r="B612" s="20"/>
      <c r="D612" s="105"/>
      <c r="E612" s="105"/>
      <c r="G612" s="34"/>
      <c r="H612" s="105"/>
      <c r="I612" s="105"/>
      <c r="J612" s="105"/>
    </row>
    <row r="613">
      <c r="B613" s="20"/>
      <c r="D613" s="105"/>
      <c r="E613" s="105"/>
      <c r="G613" s="34"/>
      <c r="H613" s="105"/>
      <c r="I613" s="105"/>
      <c r="J613" s="105"/>
    </row>
    <row r="614">
      <c r="B614" s="20"/>
      <c r="D614" s="105"/>
      <c r="E614" s="105"/>
      <c r="G614" s="34"/>
      <c r="H614" s="105"/>
      <c r="I614" s="105"/>
      <c r="J614" s="105"/>
    </row>
    <row r="615">
      <c r="B615" s="20"/>
      <c r="D615" s="105"/>
      <c r="E615" s="105"/>
      <c r="G615" s="34"/>
      <c r="H615" s="105"/>
      <c r="I615" s="105"/>
      <c r="J615" s="105"/>
    </row>
    <row r="616">
      <c r="B616" s="20"/>
      <c r="D616" s="105"/>
      <c r="E616" s="105"/>
      <c r="G616" s="34"/>
      <c r="H616" s="105"/>
      <c r="I616" s="105"/>
      <c r="J616" s="105"/>
    </row>
    <row r="617">
      <c r="B617" s="20"/>
      <c r="D617" s="105"/>
      <c r="E617" s="105"/>
      <c r="G617" s="34"/>
      <c r="H617" s="105"/>
      <c r="I617" s="105"/>
      <c r="J617" s="105"/>
    </row>
    <row r="618">
      <c r="B618" s="20"/>
      <c r="D618" s="105"/>
      <c r="E618" s="105"/>
      <c r="G618" s="34"/>
      <c r="H618" s="105"/>
      <c r="I618" s="105"/>
      <c r="J618" s="105"/>
    </row>
    <row r="619">
      <c r="B619" s="20"/>
      <c r="D619" s="105"/>
      <c r="E619" s="105"/>
      <c r="G619" s="34"/>
      <c r="H619" s="105"/>
      <c r="I619" s="105"/>
      <c r="J619" s="105"/>
    </row>
    <row r="620">
      <c r="B620" s="20"/>
      <c r="D620" s="105"/>
      <c r="E620" s="105"/>
      <c r="G620" s="34"/>
      <c r="H620" s="105"/>
      <c r="I620" s="105"/>
      <c r="J620" s="105"/>
    </row>
    <row r="621">
      <c r="B621" s="20"/>
      <c r="D621" s="105"/>
      <c r="E621" s="105"/>
      <c r="G621" s="34"/>
      <c r="H621" s="105"/>
      <c r="I621" s="105"/>
      <c r="J621" s="105"/>
    </row>
    <row r="622">
      <c r="B622" s="20"/>
      <c r="D622" s="105"/>
      <c r="E622" s="105"/>
      <c r="G622" s="34"/>
      <c r="H622" s="105"/>
      <c r="I622" s="105"/>
      <c r="J622" s="105"/>
    </row>
    <row r="623">
      <c r="B623" s="20"/>
      <c r="D623" s="105"/>
      <c r="E623" s="105"/>
      <c r="G623" s="34"/>
      <c r="H623" s="105"/>
      <c r="I623" s="105"/>
      <c r="J623" s="105"/>
    </row>
    <row r="624">
      <c r="B624" s="20"/>
      <c r="D624" s="105"/>
      <c r="E624" s="105"/>
      <c r="G624" s="34"/>
      <c r="H624" s="105"/>
      <c r="I624" s="105"/>
      <c r="J624" s="105"/>
    </row>
    <row r="625">
      <c r="B625" s="20"/>
      <c r="D625" s="105"/>
      <c r="E625" s="105"/>
      <c r="G625" s="34"/>
      <c r="H625" s="105"/>
      <c r="I625" s="105"/>
      <c r="J625" s="105"/>
    </row>
    <row r="626">
      <c r="B626" s="20"/>
      <c r="D626" s="105"/>
      <c r="E626" s="105"/>
      <c r="G626" s="34"/>
      <c r="H626" s="105"/>
      <c r="I626" s="105"/>
      <c r="J626" s="105"/>
    </row>
    <row r="627">
      <c r="B627" s="20"/>
      <c r="D627" s="105"/>
      <c r="E627" s="105"/>
      <c r="G627" s="34"/>
      <c r="H627" s="105"/>
      <c r="I627" s="105"/>
      <c r="J627" s="105"/>
    </row>
    <row r="628">
      <c r="B628" s="20"/>
      <c r="D628" s="105"/>
      <c r="E628" s="105"/>
      <c r="G628" s="34"/>
      <c r="H628" s="105"/>
      <c r="I628" s="105"/>
      <c r="J628" s="105"/>
    </row>
    <row r="629">
      <c r="B629" s="20"/>
      <c r="D629" s="105"/>
      <c r="E629" s="105"/>
      <c r="G629" s="34"/>
      <c r="H629" s="105"/>
      <c r="I629" s="105"/>
      <c r="J629" s="105"/>
    </row>
    <row r="630">
      <c r="B630" s="20"/>
      <c r="D630" s="105"/>
      <c r="E630" s="105"/>
      <c r="G630" s="34"/>
      <c r="H630" s="105"/>
      <c r="I630" s="105"/>
      <c r="J630" s="105"/>
    </row>
    <row r="631">
      <c r="B631" s="20"/>
      <c r="D631" s="105"/>
      <c r="E631" s="105"/>
      <c r="G631" s="34"/>
      <c r="H631" s="105"/>
      <c r="I631" s="105"/>
      <c r="J631" s="105"/>
    </row>
    <row r="632">
      <c r="B632" s="20"/>
      <c r="D632" s="105"/>
      <c r="E632" s="105"/>
      <c r="G632" s="34"/>
      <c r="H632" s="105"/>
      <c r="I632" s="105"/>
      <c r="J632" s="105"/>
    </row>
    <row r="633">
      <c r="B633" s="20"/>
      <c r="D633" s="105"/>
      <c r="E633" s="105"/>
      <c r="G633" s="34"/>
      <c r="H633" s="105"/>
      <c r="I633" s="105"/>
      <c r="J633" s="105"/>
    </row>
    <row r="634">
      <c r="B634" s="20"/>
      <c r="D634" s="105"/>
      <c r="E634" s="105"/>
      <c r="G634" s="34"/>
      <c r="H634" s="105"/>
      <c r="I634" s="105"/>
      <c r="J634" s="105"/>
    </row>
    <row r="635">
      <c r="B635" s="20"/>
      <c r="D635" s="105"/>
      <c r="E635" s="105"/>
      <c r="G635" s="34"/>
      <c r="H635" s="105"/>
      <c r="I635" s="105"/>
      <c r="J635" s="105"/>
    </row>
    <row r="636">
      <c r="B636" s="20"/>
      <c r="D636" s="105"/>
      <c r="E636" s="105"/>
      <c r="G636" s="34"/>
      <c r="H636" s="105"/>
      <c r="I636" s="105"/>
      <c r="J636" s="105"/>
    </row>
    <row r="637">
      <c r="B637" s="20"/>
      <c r="D637" s="105"/>
      <c r="E637" s="105"/>
      <c r="G637" s="34"/>
      <c r="H637" s="105"/>
      <c r="I637" s="105"/>
      <c r="J637" s="105"/>
    </row>
    <row r="638">
      <c r="B638" s="20"/>
      <c r="D638" s="105"/>
      <c r="E638" s="105"/>
      <c r="G638" s="34"/>
      <c r="H638" s="105"/>
      <c r="I638" s="105"/>
      <c r="J638" s="105"/>
    </row>
    <row r="639">
      <c r="B639" s="20"/>
      <c r="D639" s="105"/>
      <c r="E639" s="105"/>
      <c r="G639" s="34"/>
      <c r="H639" s="105"/>
      <c r="I639" s="105"/>
      <c r="J639" s="105"/>
    </row>
    <row r="640">
      <c r="B640" s="20"/>
      <c r="D640" s="105"/>
      <c r="E640" s="105"/>
      <c r="G640" s="34"/>
      <c r="H640" s="105"/>
      <c r="I640" s="105"/>
      <c r="J640" s="105"/>
    </row>
    <row r="641">
      <c r="B641" s="20"/>
      <c r="D641" s="105"/>
      <c r="E641" s="105"/>
      <c r="G641" s="34"/>
      <c r="H641" s="105"/>
      <c r="I641" s="105"/>
      <c r="J641" s="105"/>
    </row>
    <row r="642">
      <c r="B642" s="20"/>
      <c r="D642" s="105"/>
      <c r="E642" s="105"/>
      <c r="G642" s="34"/>
      <c r="H642" s="105"/>
      <c r="I642" s="105"/>
      <c r="J642" s="105"/>
    </row>
    <row r="643">
      <c r="B643" s="20"/>
      <c r="D643" s="105"/>
      <c r="E643" s="105"/>
      <c r="G643" s="34"/>
      <c r="H643" s="105"/>
      <c r="I643" s="105"/>
      <c r="J643" s="105"/>
    </row>
    <row r="644">
      <c r="B644" s="20"/>
      <c r="D644" s="105"/>
      <c r="E644" s="105"/>
      <c r="G644" s="34"/>
      <c r="H644" s="105"/>
      <c r="I644" s="105"/>
      <c r="J644" s="105"/>
    </row>
    <row r="645">
      <c r="B645" s="20"/>
      <c r="D645" s="105"/>
      <c r="E645" s="105"/>
      <c r="G645" s="34"/>
      <c r="H645" s="105"/>
      <c r="I645" s="105"/>
      <c r="J645" s="105"/>
    </row>
    <row r="646">
      <c r="B646" s="20"/>
      <c r="D646" s="105"/>
      <c r="E646" s="105"/>
      <c r="G646" s="34"/>
      <c r="H646" s="105"/>
      <c r="I646" s="105"/>
      <c r="J646" s="105"/>
    </row>
    <row r="647">
      <c r="B647" s="20"/>
      <c r="D647" s="105"/>
      <c r="E647" s="105"/>
      <c r="G647" s="34"/>
      <c r="H647" s="105"/>
      <c r="I647" s="105"/>
      <c r="J647" s="105"/>
    </row>
    <row r="648">
      <c r="B648" s="20"/>
      <c r="D648" s="105"/>
      <c r="E648" s="105"/>
      <c r="G648" s="34"/>
      <c r="H648" s="105"/>
      <c r="I648" s="105"/>
      <c r="J648" s="105"/>
    </row>
    <row r="649">
      <c r="B649" s="20"/>
      <c r="D649" s="105"/>
      <c r="E649" s="105"/>
      <c r="G649" s="34"/>
      <c r="H649" s="105"/>
      <c r="I649" s="105"/>
      <c r="J649" s="105"/>
    </row>
    <row r="650">
      <c r="B650" s="20"/>
      <c r="D650" s="105"/>
      <c r="E650" s="105"/>
      <c r="G650" s="34"/>
      <c r="H650" s="105"/>
      <c r="I650" s="105"/>
      <c r="J650" s="105"/>
    </row>
    <row r="651">
      <c r="B651" s="20"/>
      <c r="D651" s="105"/>
      <c r="E651" s="105"/>
      <c r="G651" s="34"/>
      <c r="H651" s="105"/>
      <c r="I651" s="105"/>
      <c r="J651" s="105"/>
    </row>
    <row r="652">
      <c r="B652" s="20"/>
      <c r="D652" s="105"/>
      <c r="E652" s="105"/>
      <c r="G652" s="34"/>
      <c r="H652" s="105"/>
      <c r="I652" s="105"/>
      <c r="J652" s="105"/>
    </row>
    <row r="653">
      <c r="B653" s="20"/>
      <c r="D653" s="105"/>
      <c r="E653" s="105"/>
      <c r="G653" s="34"/>
      <c r="H653" s="105"/>
      <c r="I653" s="105"/>
      <c r="J653" s="105"/>
    </row>
    <row r="654">
      <c r="B654" s="20"/>
      <c r="D654" s="105"/>
      <c r="E654" s="105"/>
      <c r="G654" s="34"/>
      <c r="H654" s="105"/>
      <c r="I654" s="105"/>
      <c r="J654" s="105"/>
    </row>
    <row r="655">
      <c r="B655" s="20"/>
      <c r="D655" s="105"/>
      <c r="E655" s="105"/>
      <c r="G655" s="34"/>
      <c r="H655" s="105"/>
      <c r="I655" s="105"/>
      <c r="J655" s="105"/>
    </row>
    <row r="656">
      <c r="B656" s="20"/>
      <c r="D656" s="105"/>
      <c r="E656" s="105"/>
      <c r="G656" s="34"/>
      <c r="H656" s="105"/>
      <c r="I656" s="105"/>
      <c r="J656" s="105"/>
    </row>
    <row r="657">
      <c r="B657" s="20"/>
      <c r="D657" s="105"/>
      <c r="E657" s="105"/>
      <c r="G657" s="34"/>
      <c r="H657" s="105"/>
      <c r="I657" s="105"/>
      <c r="J657" s="105"/>
    </row>
    <row r="658">
      <c r="B658" s="20"/>
      <c r="D658" s="105"/>
      <c r="E658" s="105"/>
      <c r="G658" s="34"/>
      <c r="H658" s="105"/>
      <c r="I658" s="105"/>
      <c r="J658" s="105"/>
    </row>
    <row r="659">
      <c r="B659" s="20"/>
      <c r="D659" s="105"/>
      <c r="E659" s="105"/>
      <c r="G659" s="34"/>
      <c r="H659" s="105"/>
      <c r="I659" s="105"/>
      <c r="J659" s="105"/>
    </row>
    <row r="660">
      <c r="B660" s="20"/>
      <c r="D660" s="105"/>
      <c r="E660" s="105"/>
      <c r="G660" s="34"/>
      <c r="H660" s="105"/>
      <c r="I660" s="105"/>
      <c r="J660" s="105"/>
    </row>
    <row r="661">
      <c r="B661" s="20"/>
      <c r="D661" s="105"/>
      <c r="E661" s="105"/>
      <c r="G661" s="34"/>
      <c r="H661" s="105"/>
      <c r="I661" s="105"/>
      <c r="J661" s="105"/>
    </row>
    <row r="662">
      <c r="B662" s="20"/>
      <c r="D662" s="105"/>
      <c r="E662" s="105"/>
      <c r="G662" s="34"/>
      <c r="H662" s="105"/>
      <c r="I662" s="105"/>
      <c r="J662" s="105"/>
    </row>
    <row r="663">
      <c r="B663" s="20"/>
      <c r="D663" s="105"/>
      <c r="E663" s="105"/>
      <c r="G663" s="34"/>
      <c r="H663" s="105"/>
      <c r="I663" s="105"/>
      <c r="J663" s="105"/>
    </row>
    <row r="664">
      <c r="B664" s="20"/>
      <c r="D664" s="105"/>
      <c r="E664" s="105"/>
      <c r="G664" s="34"/>
      <c r="H664" s="105"/>
      <c r="I664" s="105"/>
      <c r="J664" s="105"/>
    </row>
    <row r="665">
      <c r="B665" s="20"/>
      <c r="D665" s="105"/>
      <c r="E665" s="105"/>
      <c r="G665" s="34"/>
      <c r="H665" s="105"/>
      <c r="I665" s="105"/>
      <c r="J665" s="105"/>
    </row>
    <row r="666">
      <c r="B666" s="20"/>
      <c r="D666" s="105"/>
      <c r="E666" s="105"/>
      <c r="G666" s="34"/>
      <c r="H666" s="105"/>
      <c r="I666" s="105"/>
      <c r="J666" s="105"/>
    </row>
    <row r="667">
      <c r="B667" s="20"/>
      <c r="D667" s="105"/>
      <c r="E667" s="105"/>
      <c r="G667" s="34"/>
      <c r="H667" s="105"/>
      <c r="I667" s="105"/>
      <c r="J667" s="105"/>
    </row>
    <row r="668">
      <c r="B668" s="20"/>
      <c r="D668" s="105"/>
      <c r="E668" s="105"/>
      <c r="G668" s="34"/>
      <c r="H668" s="105"/>
      <c r="I668" s="105"/>
      <c r="J668" s="105"/>
    </row>
    <row r="669">
      <c r="B669" s="20"/>
      <c r="D669" s="105"/>
      <c r="E669" s="105"/>
      <c r="G669" s="34"/>
      <c r="H669" s="105"/>
      <c r="I669" s="105"/>
      <c r="J669" s="105"/>
    </row>
    <row r="670">
      <c r="B670" s="20"/>
      <c r="D670" s="105"/>
      <c r="E670" s="105"/>
      <c r="G670" s="34"/>
      <c r="H670" s="105"/>
      <c r="I670" s="105"/>
      <c r="J670" s="105"/>
    </row>
    <row r="671">
      <c r="B671" s="20"/>
      <c r="D671" s="105"/>
      <c r="E671" s="105"/>
      <c r="G671" s="34"/>
      <c r="H671" s="105"/>
      <c r="I671" s="105"/>
      <c r="J671" s="105"/>
    </row>
    <row r="672">
      <c r="B672" s="20"/>
      <c r="D672" s="105"/>
      <c r="E672" s="105"/>
      <c r="G672" s="34"/>
      <c r="H672" s="105"/>
      <c r="I672" s="105"/>
      <c r="J672" s="105"/>
    </row>
    <row r="673">
      <c r="B673" s="20"/>
      <c r="D673" s="105"/>
      <c r="E673" s="105"/>
      <c r="G673" s="34"/>
      <c r="H673" s="105"/>
      <c r="I673" s="105"/>
      <c r="J673" s="105"/>
    </row>
    <row r="674">
      <c r="B674" s="20"/>
      <c r="D674" s="105"/>
      <c r="E674" s="105"/>
      <c r="G674" s="34"/>
      <c r="H674" s="105"/>
      <c r="I674" s="105"/>
      <c r="J674" s="105"/>
    </row>
    <row r="675">
      <c r="B675" s="20"/>
      <c r="D675" s="105"/>
      <c r="E675" s="105"/>
      <c r="G675" s="34"/>
      <c r="H675" s="105"/>
      <c r="I675" s="105"/>
      <c r="J675" s="105"/>
    </row>
    <row r="676">
      <c r="B676" s="20"/>
      <c r="D676" s="105"/>
      <c r="E676" s="105"/>
      <c r="G676" s="34"/>
      <c r="H676" s="105"/>
      <c r="I676" s="105"/>
      <c r="J676" s="105"/>
    </row>
    <row r="677">
      <c r="B677" s="20"/>
      <c r="D677" s="105"/>
      <c r="E677" s="105"/>
      <c r="G677" s="34"/>
      <c r="H677" s="105"/>
      <c r="I677" s="105"/>
      <c r="J677" s="105"/>
    </row>
    <row r="678">
      <c r="B678" s="20"/>
      <c r="D678" s="105"/>
      <c r="E678" s="105"/>
      <c r="G678" s="34"/>
      <c r="H678" s="105"/>
      <c r="I678" s="105"/>
      <c r="J678" s="105"/>
    </row>
    <row r="679">
      <c r="B679" s="20"/>
      <c r="D679" s="105"/>
      <c r="E679" s="105"/>
      <c r="G679" s="34"/>
      <c r="H679" s="105"/>
      <c r="I679" s="105"/>
      <c r="J679" s="105"/>
    </row>
    <row r="680">
      <c r="B680" s="20"/>
      <c r="D680" s="105"/>
      <c r="E680" s="105"/>
      <c r="G680" s="34"/>
      <c r="H680" s="105"/>
      <c r="I680" s="105"/>
      <c r="J680" s="105"/>
    </row>
    <row r="681">
      <c r="B681" s="20"/>
      <c r="D681" s="105"/>
      <c r="E681" s="105"/>
      <c r="G681" s="34"/>
      <c r="H681" s="105"/>
      <c r="I681" s="105"/>
      <c r="J681" s="105"/>
    </row>
    <row r="682">
      <c r="B682" s="20"/>
      <c r="D682" s="105"/>
      <c r="E682" s="105"/>
      <c r="G682" s="34"/>
      <c r="H682" s="105"/>
      <c r="I682" s="105"/>
      <c r="J682" s="105"/>
    </row>
    <row r="683">
      <c r="B683" s="20"/>
      <c r="D683" s="105"/>
      <c r="E683" s="105"/>
      <c r="G683" s="34"/>
      <c r="H683" s="105"/>
      <c r="I683" s="105"/>
      <c r="J683" s="105"/>
    </row>
    <row r="684">
      <c r="B684" s="20"/>
      <c r="D684" s="105"/>
      <c r="E684" s="105"/>
      <c r="G684" s="34"/>
      <c r="H684" s="105"/>
      <c r="I684" s="105"/>
      <c r="J684" s="105"/>
    </row>
    <row r="685">
      <c r="B685" s="20"/>
      <c r="D685" s="105"/>
      <c r="E685" s="105"/>
      <c r="G685" s="34"/>
      <c r="H685" s="105"/>
      <c r="I685" s="105"/>
      <c r="J685" s="105"/>
    </row>
    <row r="686">
      <c r="B686" s="20"/>
      <c r="D686" s="105"/>
      <c r="E686" s="105"/>
      <c r="G686" s="34"/>
      <c r="H686" s="105"/>
      <c r="I686" s="105"/>
      <c r="J686" s="105"/>
    </row>
    <row r="687">
      <c r="B687" s="20"/>
      <c r="D687" s="105"/>
      <c r="E687" s="105"/>
      <c r="G687" s="34"/>
      <c r="H687" s="105"/>
      <c r="I687" s="105"/>
      <c r="J687" s="105"/>
    </row>
    <row r="688">
      <c r="B688" s="20"/>
      <c r="D688" s="105"/>
      <c r="E688" s="105"/>
      <c r="G688" s="34"/>
      <c r="H688" s="105"/>
      <c r="I688" s="105"/>
      <c r="J688" s="105"/>
    </row>
    <row r="689">
      <c r="B689" s="20"/>
      <c r="D689" s="105"/>
      <c r="E689" s="105"/>
      <c r="G689" s="34"/>
      <c r="H689" s="105"/>
      <c r="I689" s="105"/>
      <c r="J689" s="105"/>
    </row>
    <row r="690">
      <c r="B690" s="20"/>
      <c r="D690" s="105"/>
      <c r="E690" s="105"/>
      <c r="G690" s="34"/>
      <c r="H690" s="105"/>
      <c r="I690" s="105"/>
      <c r="J690" s="105"/>
    </row>
    <row r="691">
      <c r="B691" s="20"/>
      <c r="D691" s="105"/>
      <c r="E691" s="105"/>
      <c r="G691" s="34"/>
      <c r="H691" s="105"/>
      <c r="I691" s="105"/>
      <c r="J691" s="105"/>
    </row>
    <row r="692">
      <c r="B692" s="20"/>
      <c r="D692" s="105"/>
      <c r="E692" s="105"/>
      <c r="G692" s="34"/>
      <c r="H692" s="105"/>
      <c r="I692" s="105"/>
      <c r="J692" s="105"/>
    </row>
    <row r="693">
      <c r="B693" s="20"/>
      <c r="D693" s="105"/>
      <c r="E693" s="105"/>
      <c r="G693" s="34"/>
      <c r="H693" s="105"/>
      <c r="I693" s="105"/>
      <c r="J693" s="105"/>
    </row>
    <row r="694">
      <c r="B694" s="20"/>
      <c r="D694" s="105"/>
      <c r="E694" s="105"/>
      <c r="G694" s="34"/>
      <c r="H694" s="105"/>
      <c r="I694" s="105"/>
      <c r="J694" s="105"/>
    </row>
    <row r="695">
      <c r="B695" s="20"/>
      <c r="D695" s="105"/>
      <c r="E695" s="105"/>
      <c r="G695" s="34"/>
      <c r="H695" s="105"/>
      <c r="I695" s="105"/>
      <c r="J695" s="105"/>
    </row>
    <row r="696">
      <c r="B696" s="20"/>
      <c r="D696" s="105"/>
      <c r="E696" s="105"/>
      <c r="G696" s="34"/>
      <c r="H696" s="105"/>
      <c r="I696" s="105"/>
      <c r="J696" s="105"/>
    </row>
    <row r="697">
      <c r="B697" s="20"/>
      <c r="D697" s="105"/>
      <c r="E697" s="105"/>
      <c r="G697" s="34"/>
      <c r="H697" s="105"/>
      <c r="I697" s="105"/>
      <c r="J697" s="105"/>
    </row>
    <row r="698">
      <c r="B698" s="20"/>
      <c r="D698" s="105"/>
      <c r="E698" s="105"/>
      <c r="G698" s="34"/>
      <c r="H698" s="105"/>
      <c r="I698" s="105"/>
      <c r="J698" s="105"/>
    </row>
    <row r="699">
      <c r="B699" s="20"/>
      <c r="D699" s="105"/>
      <c r="E699" s="105"/>
      <c r="G699" s="34"/>
      <c r="H699" s="105"/>
      <c r="I699" s="105"/>
      <c r="J699" s="105"/>
    </row>
    <row r="700">
      <c r="B700" s="20"/>
      <c r="D700" s="105"/>
      <c r="E700" s="105"/>
      <c r="G700" s="34"/>
      <c r="H700" s="105"/>
      <c r="I700" s="105"/>
      <c r="J700" s="105"/>
    </row>
    <row r="701">
      <c r="B701" s="20"/>
      <c r="D701" s="105"/>
      <c r="E701" s="105"/>
      <c r="G701" s="34"/>
      <c r="H701" s="105"/>
      <c r="I701" s="105"/>
      <c r="J701" s="105"/>
    </row>
    <row r="702">
      <c r="B702" s="20"/>
      <c r="D702" s="105"/>
      <c r="E702" s="105"/>
      <c r="G702" s="34"/>
      <c r="H702" s="105"/>
      <c r="I702" s="105"/>
      <c r="J702" s="105"/>
    </row>
    <row r="703">
      <c r="B703" s="20"/>
      <c r="D703" s="105"/>
      <c r="E703" s="105"/>
      <c r="G703" s="34"/>
      <c r="H703" s="105"/>
      <c r="I703" s="105"/>
      <c r="J703" s="105"/>
    </row>
    <row r="704">
      <c r="B704" s="20"/>
      <c r="D704" s="105"/>
      <c r="E704" s="105"/>
      <c r="G704" s="34"/>
      <c r="H704" s="105"/>
      <c r="I704" s="105"/>
      <c r="J704" s="105"/>
    </row>
    <row r="705">
      <c r="B705" s="20"/>
      <c r="D705" s="105"/>
      <c r="E705" s="105"/>
      <c r="G705" s="34"/>
      <c r="H705" s="105"/>
      <c r="I705" s="105"/>
      <c r="J705" s="105"/>
    </row>
    <row r="706">
      <c r="B706" s="20"/>
      <c r="D706" s="105"/>
      <c r="E706" s="105"/>
      <c r="G706" s="34"/>
      <c r="H706" s="105"/>
      <c r="I706" s="105"/>
      <c r="J706" s="105"/>
    </row>
    <row r="707">
      <c r="B707" s="20"/>
      <c r="D707" s="105"/>
      <c r="E707" s="105"/>
      <c r="G707" s="34"/>
      <c r="H707" s="105"/>
      <c r="I707" s="105"/>
      <c r="J707" s="105"/>
    </row>
    <row r="708">
      <c r="B708" s="20"/>
      <c r="D708" s="105"/>
      <c r="E708" s="105"/>
      <c r="G708" s="34"/>
      <c r="H708" s="105"/>
      <c r="I708" s="105"/>
      <c r="J708" s="105"/>
    </row>
    <row r="709">
      <c r="B709" s="20"/>
      <c r="D709" s="105"/>
      <c r="E709" s="105"/>
      <c r="G709" s="34"/>
      <c r="H709" s="105"/>
      <c r="I709" s="105"/>
      <c r="J709" s="105"/>
    </row>
    <row r="710">
      <c r="B710" s="20"/>
      <c r="D710" s="105"/>
      <c r="E710" s="105"/>
      <c r="G710" s="34"/>
      <c r="H710" s="105"/>
      <c r="I710" s="105"/>
      <c r="J710" s="105"/>
    </row>
    <row r="711">
      <c r="B711" s="20"/>
      <c r="D711" s="105"/>
      <c r="E711" s="105"/>
      <c r="G711" s="34"/>
      <c r="H711" s="105"/>
      <c r="I711" s="105"/>
      <c r="J711" s="105"/>
    </row>
    <row r="712">
      <c r="B712" s="20"/>
      <c r="D712" s="105"/>
      <c r="E712" s="105"/>
      <c r="G712" s="34"/>
      <c r="H712" s="105"/>
      <c r="I712" s="105"/>
      <c r="J712" s="105"/>
    </row>
    <row r="713">
      <c r="B713" s="20"/>
      <c r="D713" s="105"/>
      <c r="E713" s="105"/>
      <c r="G713" s="34"/>
      <c r="H713" s="105"/>
      <c r="I713" s="105"/>
      <c r="J713" s="105"/>
    </row>
    <row r="714">
      <c r="B714" s="20"/>
      <c r="D714" s="105"/>
      <c r="E714" s="105"/>
      <c r="G714" s="34"/>
      <c r="H714" s="105"/>
      <c r="I714" s="105"/>
      <c r="J714" s="105"/>
    </row>
    <row r="715">
      <c r="B715" s="20"/>
      <c r="D715" s="105"/>
      <c r="E715" s="105"/>
      <c r="G715" s="34"/>
      <c r="H715" s="105"/>
      <c r="I715" s="105"/>
      <c r="J715" s="105"/>
    </row>
    <row r="716">
      <c r="B716" s="20"/>
      <c r="D716" s="105"/>
      <c r="E716" s="105"/>
      <c r="G716" s="34"/>
      <c r="H716" s="105"/>
      <c r="I716" s="105"/>
      <c r="J716" s="105"/>
    </row>
    <row r="717">
      <c r="B717" s="20"/>
      <c r="D717" s="105"/>
      <c r="E717" s="105"/>
      <c r="G717" s="34"/>
      <c r="H717" s="105"/>
      <c r="I717" s="105"/>
      <c r="J717" s="105"/>
    </row>
    <row r="718">
      <c r="B718" s="20"/>
      <c r="D718" s="105"/>
      <c r="E718" s="105"/>
      <c r="G718" s="34"/>
      <c r="H718" s="105"/>
      <c r="I718" s="105"/>
      <c r="J718" s="105"/>
    </row>
    <row r="719">
      <c r="B719" s="20"/>
      <c r="D719" s="105"/>
      <c r="E719" s="105"/>
      <c r="G719" s="34"/>
      <c r="H719" s="105"/>
      <c r="I719" s="105"/>
      <c r="J719" s="105"/>
    </row>
    <row r="720">
      <c r="B720" s="20"/>
      <c r="D720" s="105"/>
      <c r="E720" s="105"/>
      <c r="G720" s="34"/>
      <c r="H720" s="105"/>
      <c r="I720" s="105"/>
      <c r="J720" s="105"/>
    </row>
    <row r="721">
      <c r="B721" s="20"/>
      <c r="D721" s="105"/>
      <c r="E721" s="105"/>
      <c r="G721" s="34"/>
      <c r="H721" s="105"/>
      <c r="I721" s="105"/>
      <c r="J721" s="105"/>
    </row>
    <row r="722">
      <c r="B722" s="20"/>
      <c r="D722" s="105"/>
      <c r="E722" s="105"/>
      <c r="G722" s="34"/>
      <c r="H722" s="105"/>
      <c r="I722" s="105"/>
      <c r="J722" s="105"/>
    </row>
    <row r="723">
      <c r="B723" s="20"/>
      <c r="D723" s="105"/>
      <c r="E723" s="105"/>
      <c r="G723" s="34"/>
      <c r="H723" s="105"/>
      <c r="I723" s="105"/>
      <c r="J723" s="105"/>
    </row>
    <row r="724">
      <c r="B724" s="20"/>
      <c r="D724" s="105"/>
      <c r="E724" s="105"/>
      <c r="G724" s="34"/>
      <c r="H724" s="105"/>
      <c r="I724" s="105"/>
      <c r="J724" s="105"/>
    </row>
    <row r="725">
      <c r="B725" s="20"/>
      <c r="D725" s="105"/>
      <c r="E725" s="105"/>
      <c r="G725" s="34"/>
      <c r="H725" s="105"/>
      <c r="I725" s="105"/>
      <c r="J725" s="105"/>
    </row>
    <row r="726">
      <c r="B726" s="20"/>
      <c r="D726" s="105"/>
      <c r="E726" s="105"/>
      <c r="G726" s="34"/>
      <c r="H726" s="105"/>
      <c r="I726" s="105"/>
      <c r="J726" s="105"/>
    </row>
    <row r="727">
      <c r="B727" s="20"/>
      <c r="D727" s="105"/>
      <c r="E727" s="105"/>
      <c r="G727" s="34"/>
      <c r="H727" s="105"/>
      <c r="I727" s="105"/>
      <c r="J727" s="105"/>
    </row>
    <row r="728">
      <c r="B728" s="20"/>
      <c r="D728" s="105"/>
      <c r="E728" s="105"/>
      <c r="G728" s="34"/>
      <c r="H728" s="105"/>
      <c r="I728" s="105"/>
      <c r="J728" s="105"/>
    </row>
    <row r="729">
      <c r="B729" s="20"/>
      <c r="D729" s="105"/>
      <c r="E729" s="105"/>
      <c r="G729" s="34"/>
      <c r="H729" s="105"/>
      <c r="I729" s="105"/>
      <c r="J729" s="105"/>
    </row>
    <row r="730">
      <c r="B730" s="20"/>
      <c r="D730" s="105"/>
      <c r="E730" s="105"/>
      <c r="G730" s="34"/>
      <c r="H730" s="105"/>
      <c r="I730" s="105"/>
      <c r="J730" s="105"/>
    </row>
    <row r="731">
      <c r="B731" s="20"/>
      <c r="D731" s="105"/>
      <c r="E731" s="105"/>
      <c r="G731" s="34"/>
      <c r="H731" s="105"/>
      <c r="I731" s="105"/>
      <c r="J731" s="105"/>
    </row>
    <row r="732">
      <c r="B732" s="20"/>
      <c r="D732" s="105"/>
      <c r="E732" s="105"/>
      <c r="G732" s="34"/>
      <c r="H732" s="105"/>
      <c r="I732" s="105"/>
      <c r="J732" s="105"/>
    </row>
    <row r="733">
      <c r="B733" s="20"/>
      <c r="D733" s="105"/>
      <c r="E733" s="105"/>
      <c r="G733" s="34"/>
      <c r="H733" s="105"/>
      <c r="I733" s="105"/>
      <c r="J733" s="105"/>
    </row>
    <row r="734">
      <c r="B734" s="20"/>
      <c r="D734" s="105"/>
      <c r="E734" s="105"/>
      <c r="G734" s="34"/>
      <c r="H734" s="105"/>
      <c r="I734" s="105"/>
      <c r="J734" s="105"/>
    </row>
    <row r="735">
      <c r="B735" s="20"/>
      <c r="D735" s="105"/>
      <c r="E735" s="105"/>
      <c r="G735" s="34"/>
      <c r="H735" s="105"/>
      <c r="I735" s="105"/>
      <c r="J735" s="105"/>
    </row>
    <row r="736">
      <c r="B736" s="20"/>
      <c r="D736" s="105"/>
      <c r="E736" s="105"/>
      <c r="G736" s="34"/>
      <c r="H736" s="105"/>
      <c r="I736" s="105"/>
      <c r="J736" s="105"/>
    </row>
    <row r="737">
      <c r="B737" s="20"/>
      <c r="D737" s="105"/>
      <c r="E737" s="105"/>
      <c r="G737" s="34"/>
      <c r="H737" s="105"/>
      <c r="I737" s="105"/>
      <c r="J737" s="105"/>
    </row>
    <row r="738">
      <c r="B738" s="20"/>
      <c r="D738" s="105"/>
      <c r="E738" s="105"/>
      <c r="G738" s="34"/>
      <c r="H738" s="105"/>
      <c r="I738" s="105"/>
      <c r="J738" s="105"/>
    </row>
    <row r="739">
      <c r="B739" s="20"/>
      <c r="D739" s="105"/>
      <c r="E739" s="105"/>
      <c r="G739" s="34"/>
      <c r="H739" s="105"/>
      <c r="I739" s="105"/>
      <c r="J739" s="105"/>
    </row>
    <row r="740">
      <c r="B740" s="20"/>
      <c r="D740" s="105"/>
      <c r="E740" s="105"/>
      <c r="G740" s="34"/>
      <c r="H740" s="105"/>
      <c r="I740" s="105"/>
      <c r="J740" s="105"/>
    </row>
    <row r="741">
      <c r="B741" s="20"/>
      <c r="D741" s="105"/>
      <c r="E741" s="105"/>
      <c r="G741" s="34"/>
      <c r="H741" s="105"/>
      <c r="I741" s="105"/>
      <c r="J741" s="105"/>
    </row>
    <row r="742">
      <c r="B742" s="20"/>
      <c r="D742" s="105"/>
      <c r="E742" s="105"/>
      <c r="G742" s="34"/>
      <c r="H742" s="105"/>
      <c r="I742" s="105"/>
      <c r="J742" s="105"/>
    </row>
    <row r="743">
      <c r="B743" s="20"/>
      <c r="D743" s="105"/>
      <c r="E743" s="105"/>
      <c r="G743" s="34"/>
      <c r="H743" s="105"/>
      <c r="I743" s="105"/>
      <c r="J743" s="105"/>
    </row>
    <row r="744">
      <c r="B744" s="20"/>
      <c r="D744" s="105"/>
      <c r="E744" s="105"/>
      <c r="G744" s="34"/>
      <c r="H744" s="105"/>
      <c r="I744" s="105"/>
      <c r="J744" s="105"/>
    </row>
    <row r="745">
      <c r="B745" s="20"/>
      <c r="D745" s="105"/>
      <c r="E745" s="105"/>
      <c r="G745" s="34"/>
      <c r="H745" s="105"/>
      <c r="I745" s="105"/>
      <c r="J745" s="105"/>
    </row>
    <row r="746">
      <c r="B746" s="20"/>
      <c r="D746" s="105"/>
      <c r="E746" s="105"/>
      <c r="G746" s="34"/>
      <c r="H746" s="105"/>
      <c r="I746" s="105"/>
      <c r="J746" s="105"/>
    </row>
    <row r="747">
      <c r="B747" s="20"/>
      <c r="D747" s="105"/>
      <c r="E747" s="105"/>
      <c r="G747" s="34"/>
      <c r="H747" s="105"/>
      <c r="I747" s="105"/>
      <c r="J747" s="105"/>
    </row>
    <row r="748">
      <c r="B748" s="20"/>
      <c r="D748" s="105"/>
      <c r="E748" s="105"/>
      <c r="G748" s="34"/>
      <c r="H748" s="105"/>
      <c r="I748" s="105"/>
      <c r="J748" s="105"/>
    </row>
    <row r="749">
      <c r="B749" s="20"/>
      <c r="D749" s="105"/>
      <c r="E749" s="105"/>
      <c r="G749" s="34"/>
      <c r="H749" s="105"/>
      <c r="I749" s="105"/>
      <c r="J749" s="105"/>
    </row>
    <row r="750">
      <c r="B750" s="20"/>
      <c r="D750" s="105"/>
      <c r="E750" s="105"/>
      <c r="G750" s="34"/>
      <c r="H750" s="105"/>
      <c r="I750" s="105"/>
      <c r="J750" s="105"/>
    </row>
    <row r="751">
      <c r="B751" s="20"/>
      <c r="D751" s="105"/>
      <c r="E751" s="105"/>
      <c r="G751" s="34"/>
      <c r="H751" s="105"/>
      <c r="I751" s="105"/>
      <c r="J751" s="105"/>
    </row>
    <row r="752">
      <c r="B752" s="20"/>
      <c r="D752" s="105"/>
      <c r="E752" s="105"/>
      <c r="G752" s="34"/>
      <c r="H752" s="105"/>
      <c r="I752" s="105"/>
      <c r="J752" s="105"/>
    </row>
    <row r="753">
      <c r="B753" s="20"/>
      <c r="D753" s="105"/>
      <c r="E753" s="105"/>
      <c r="G753" s="34"/>
      <c r="H753" s="105"/>
      <c r="I753" s="105"/>
      <c r="J753" s="105"/>
    </row>
    <row r="754">
      <c r="B754" s="20"/>
      <c r="D754" s="105"/>
      <c r="E754" s="105"/>
      <c r="G754" s="34"/>
      <c r="H754" s="105"/>
      <c r="I754" s="105"/>
      <c r="J754" s="105"/>
    </row>
    <row r="755">
      <c r="B755" s="20"/>
      <c r="D755" s="105"/>
      <c r="E755" s="105"/>
      <c r="G755" s="34"/>
      <c r="H755" s="105"/>
      <c r="I755" s="105"/>
      <c r="J755" s="105"/>
    </row>
    <row r="756">
      <c r="B756" s="20"/>
      <c r="D756" s="105"/>
      <c r="E756" s="105"/>
      <c r="G756" s="34"/>
      <c r="H756" s="105"/>
      <c r="I756" s="105"/>
      <c r="J756" s="105"/>
    </row>
    <row r="757">
      <c r="B757" s="20"/>
      <c r="D757" s="105"/>
      <c r="E757" s="105"/>
      <c r="G757" s="34"/>
      <c r="H757" s="105"/>
      <c r="I757" s="105"/>
      <c r="J757" s="105"/>
    </row>
    <row r="758">
      <c r="B758" s="20"/>
      <c r="D758" s="105"/>
      <c r="E758" s="105"/>
      <c r="G758" s="34"/>
      <c r="H758" s="105"/>
      <c r="I758" s="105"/>
      <c r="J758" s="105"/>
    </row>
    <row r="759">
      <c r="B759" s="20"/>
      <c r="D759" s="105"/>
      <c r="E759" s="105"/>
      <c r="G759" s="34"/>
      <c r="H759" s="105"/>
      <c r="I759" s="105"/>
      <c r="J759" s="105"/>
    </row>
    <row r="760">
      <c r="B760" s="20"/>
      <c r="D760" s="105"/>
      <c r="E760" s="105"/>
      <c r="G760" s="34"/>
      <c r="H760" s="105"/>
      <c r="I760" s="105"/>
      <c r="J760" s="105"/>
    </row>
    <row r="761">
      <c r="B761" s="20"/>
      <c r="D761" s="105"/>
      <c r="E761" s="105"/>
      <c r="G761" s="34"/>
      <c r="H761" s="105"/>
      <c r="I761" s="105"/>
      <c r="J761" s="105"/>
    </row>
    <row r="762">
      <c r="B762" s="20"/>
      <c r="D762" s="105"/>
      <c r="E762" s="105"/>
      <c r="G762" s="34"/>
      <c r="H762" s="105"/>
      <c r="I762" s="105"/>
      <c r="J762" s="105"/>
    </row>
    <row r="763">
      <c r="B763" s="20"/>
      <c r="D763" s="105"/>
      <c r="E763" s="105"/>
      <c r="G763" s="34"/>
      <c r="H763" s="105"/>
      <c r="I763" s="105"/>
      <c r="J763" s="105"/>
    </row>
    <row r="764">
      <c r="B764" s="20"/>
      <c r="D764" s="105"/>
      <c r="E764" s="105"/>
      <c r="G764" s="34"/>
      <c r="H764" s="105"/>
      <c r="I764" s="105"/>
      <c r="J764" s="105"/>
    </row>
    <row r="765">
      <c r="B765" s="20"/>
      <c r="D765" s="105"/>
      <c r="E765" s="105"/>
      <c r="G765" s="34"/>
      <c r="H765" s="105"/>
      <c r="I765" s="105"/>
      <c r="J765" s="105"/>
    </row>
    <row r="766">
      <c r="B766" s="20"/>
      <c r="D766" s="105"/>
      <c r="E766" s="105"/>
      <c r="G766" s="34"/>
      <c r="H766" s="105"/>
      <c r="I766" s="105"/>
      <c r="J766" s="105"/>
    </row>
    <row r="767">
      <c r="B767" s="20"/>
      <c r="D767" s="105"/>
      <c r="E767" s="105"/>
      <c r="G767" s="34"/>
      <c r="H767" s="105"/>
      <c r="I767" s="105"/>
      <c r="J767" s="105"/>
    </row>
    <row r="768">
      <c r="B768" s="20"/>
      <c r="D768" s="105"/>
      <c r="E768" s="105"/>
      <c r="G768" s="34"/>
      <c r="H768" s="105"/>
      <c r="I768" s="105"/>
      <c r="J768" s="105"/>
    </row>
    <row r="769">
      <c r="B769" s="20"/>
      <c r="D769" s="105"/>
      <c r="E769" s="105"/>
      <c r="G769" s="34"/>
      <c r="H769" s="105"/>
      <c r="I769" s="105"/>
      <c r="J769" s="105"/>
    </row>
    <row r="770">
      <c r="B770" s="20"/>
      <c r="D770" s="105"/>
      <c r="E770" s="105"/>
      <c r="G770" s="34"/>
      <c r="H770" s="105"/>
      <c r="I770" s="105"/>
      <c r="J770" s="105"/>
    </row>
    <row r="771">
      <c r="B771" s="20"/>
      <c r="D771" s="105"/>
      <c r="E771" s="105"/>
      <c r="G771" s="34"/>
      <c r="H771" s="105"/>
      <c r="I771" s="105"/>
      <c r="J771" s="105"/>
    </row>
    <row r="772">
      <c r="B772" s="20"/>
      <c r="D772" s="105"/>
      <c r="E772" s="105"/>
      <c r="G772" s="34"/>
      <c r="H772" s="105"/>
      <c r="I772" s="105"/>
      <c r="J772" s="105"/>
    </row>
    <row r="773">
      <c r="B773" s="20"/>
      <c r="D773" s="105"/>
      <c r="E773" s="105"/>
      <c r="G773" s="34"/>
      <c r="H773" s="105"/>
      <c r="I773" s="105"/>
      <c r="J773" s="105"/>
    </row>
    <row r="774">
      <c r="B774" s="20"/>
      <c r="D774" s="105"/>
      <c r="E774" s="105"/>
      <c r="G774" s="34"/>
      <c r="H774" s="105"/>
      <c r="I774" s="105"/>
      <c r="J774" s="105"/>
    </row>
    <row r="775">
      <c r="B775" s="20"/>
      <c r="D775" s="105"/>
      <c r="E775" s="105"/>
      <c r="G775" s="34"/>
      <c r="H775" s="105"/>
      <c r="I775" s="105"/>
      <c r="J775" s="105"/>
    </row>
    <row r="776">
      <c r="B776" s="20"/>
      <c r="D776" s="105"/>
      <c r="E776" s="105"/>
      <c r="G776" s="34"/>
      <c r="H776" s="105"/>
      <c r="I776" s="105"/>
      <c r="J776" s="105"/>
    </row>
    <row r="777">
      <c r="B777" s="20"/>
      <c r="D777" s="105"/>
      <c r="E777" s="105"/>
      <c r="G777" s="34"/>
      <c r="H777" s="105"/>
      <c r="I777" s="105"/>
      <c r="J777" s="105"/>
    </row>
    <row r="778">
      <c r="B778" s="20"/>
      <c r="D778" s="105"/>
      <c r="E778" s="105"/>
      <c r="G778" s="34"/>
      <c r="H778" s="105"/>
      <c r="I778" s="105"/>
      <c r="J778" s="105"/>
    </row>
    <row r="779">
      <c r="B779" s="20"/>
      <c r="D779" s="105"/>
      <c r="E779" s="105"/>
      <c r="G779" s="34"/>
      <c r="H779" s="105"/>
      <c r="I779" s="105"/>
      <c r="J779" s="105"/>
    </row>
    <row r="780">
      <c r="B780" s="20"/>
      <c r="D780" s="105"/>
      <c r="E780" s="105"/>
      <c r="G780" s="34"/>
      <c r="H780" s="105"/>
      <c r="I780" s="105"/>
      <c r="J780" s="105"/>
    </row>
    <row r="781">
      <c r="B781" s="20"/>
      <c r="D781" s="105"/>
      <c r="E781" s="105"/>
      <c r="G781" s="34"/>
      <c r="H781" s="105"/>
      <c r="I781" s="105"/>
      <c r="J781" s="105"/>
    </row>
    <row r="782">
      <c r="B782" s="20"/>
      <c r="D782" s="105"/>
      <c r="E782" s="105"/>
      <c r="G782" s="34"/>
      <c r="H782" s="105"/>
      <c r="I782" s="105"/>
      <c r="J782" s="105"/>
    </row>
    <row r="783">
      <c r="B783" s="20"/>
      <c r="D783" s="105"/>
      <c r="E783" s="105"/>
      <c r="G783" s="34"/>
      <c r="H783" s="105"/>
      <c r="I783" s="105"/>
      <c r="J783" s="105"/>
    </row>
    <row r="784">
      <c r="B784" s="20"/>
      <c r="D784" s="105"/>
      <c r="E784" s="105"/>
      <c r="G784" s="34"/>
      <c r="H784" s="105"/>
      <c r="I784" s="105"/>
      <c r="J784" s="105"/>
    </row>
    <row r="785">
      <c r="B785" s="20"/>
      <c r="D785" s="105"/>
      <c r="E785" s="105"/>
      <c r="G785" s="34"/>
      <c r="H785" s="105"/>
      <c r="I785" s="105"/>
      <c r="J785" s="105"/>
    </row>
    <row r="786">
      <c r="B786" s="20"/>
      <c r="D786" s="105"/>
      <c r="E786" s="105"/>
      <c r="G786" s="34"/>
      <c r="H786" s="105"/>
      <c r="I786" s="105"/>
      <c r="J786" s="105"/>
    </row>
    <row r="787">
      <c r="B787" s="20"/>
      <c r="D787" s="105"/>
      <c r="E787" s="105"/>
      <c r="G787" s="34"/>
      <c r="H787" s="105"/>
      <c r="I787" s="105"/>
      <c r="J787" s="105"/>
    </row>
    <row r="788">
      <c r="B788" s="20"/>
      <c r="D788" s="105"/>
      <c r="E788" s="105"/>
      <c r="G788" s="34"/>
      <c r="H788" s="105"/>
      <c r="I788" s="105"/>
      <c r="J788" s="105"/>
    </row>
    <row r="789">
      <c r="B789" s="20"/>
      <c r="D789" s="105"/>
      <c r="E789" s="105"/>
      <c r="G789" s="34"/>
      <c r="H789" s="105"/>
      <c r="I789" s="105"/>
      <c r="J789" s="105"/>
    </row>
    <row r="790">
      <c r="B790" s="20"/>
      <c r="D790" s="105"/>
      <c r="E790" s="105"/>
      <c r="G790" s="34"/>
      <c r="H790" s="105"/>
      <c r="I790" s="105"/>
      <c r="J790" s="105"/>
    </row>
    <row r="791">
      <c r="B791" s="20"/>
      <c r="D791" s="105"/>
      <c r="E791" s="105"/>
      <c r="G791" s="34"/>
      <c r="H791" s="105"/>
      <c r="I791" s="105"/>
      <c r="J791" s="105"/>
    </row>
    <row r="792">
      <c r="B792" s="20"/>
      <c r="D792" s="105"/>
      <c r="E792" s="105"/>
      <c r="G792" s="34"/>
      <c r="H792" s="105"/>
      <c r="I792" s="105"/>
      <c r="J792" s="105"/>
    </row>
    <row r="793">
      <c r="B793" s="20"/>
      <c r="D793" s="105"/>
      <c r="E793" s="105"/>
      <c r="G793" s="34"/>
      <c r="H793" s="105"/>
      <c r="I793" s="105"/>
      <c r="J793" s="105"/>
    </row>
    <row r="794">
      <c r="B794" s="20"/>
      <c r="D794" s="105"/>
      <c r="E794" s="105"/>
      <c r="G794" s="34"/>
      <c r="H794" s="105"/>
      <c r="I794" s="105"/>
      <c r="J794" s="105"/>
    </row>
    <row r="795">
      <c r="B795" s="20"/>
      <c r="D795" s="105"/>
      <c r="E795" s="105"/>
      <c r="G795" s="34"/>
      <c r="H795" s="105"/>
      <c r="I795" s="105"/>
      <c r="J795" s="105"/>
    </row>
    <row r="796">
      <c r="B796" s="20"/>
      <c r="D796" s="105"/>
      <c r="E796" s="105"/>
      <c r="G796" s="34"/>
      <c r="H796" s="105"/>
      <c r="I796" s="105"/>
      <c r="J796" s="105"/>
    </row>
    <row r="797">
      <c r="B797" s="20"/>
      <c r="D797" s="105"/>
      <c r="E797" s="105"/>
      <c r="G797" s="34"/>
      <c r="H797" s="105"/>
      <c r="I797" s="105"/>
      <c r="J797" s="105"/>
    </row>
    <row r="798">
      <c r="B798" s="20"/>
      <c r="D798" s="105"/>
      <c r="E798" s="105"/>
      <c r="G798" s="34"/>
      <c r="H798" s="105"/>
      <c r="I798" s="105"/>
      <c r="J798" s="105"/>
    </row>
    <row r="799">
      <c r="B799" s="20"/>
      <c r="D799" s="105"/>
      <c r="E799" s="105"/>
      <c r="G799" s="34"/>
      <c r="H799" s="105"/>
      <c r="I799" s="105"/>
      <c r="J799" s="105"/>
    </row>
    <row r="800">
      <c r="B800" s="20"/>
      <c r="D800" s="105"/>
      <c r="E800" s="105"/>
      <c r="G800" s="34"/>
      <c r="H800" s="105"/>
      <c r="I800" s="105"/>
      <c r="J800" s="105"/>
    </row>
    <row r="801">
      <c r="B801" s="20"/>
      <c r="D801" s="105"/>
      <c r="E801" s="105"/>
      <c r="G801" s="34"/>
      <c r="H801" s="105"/>
      <c r="I801" s="105"/>
      <c r="J801" s="105"/>
    </row>
    <row r="802">
      <c r="B802" s="20"/>
      <c r="D802" s="105"/>
      <c r="E802" s="105"/>
      <c r="G802" s="34"/>
      <c r="H802" s="105"/>
      <c r="I802" s="105"/>
      <c r="J802" s="105"/>
    </row>
    <row r="803">
      <c r="B803" s="20"/>
      <c r="D803" s="105"/>
      <c r="E803" s="105"/>
      <c r="G803" s="34"/>
      <c r="H803" s="105"/>
      <c r="I803" s="105"/>
      <c r="J803" s="105"/>
    </row>
    <row r="804">
      <c r="B804" s="20"/>
      <c r="D804" s="105"/>
      <c r="E804" s="105"/>
      <c r="G804" s="34"/>
      <c r="H804" s="105"/>
      <c r="I804" s="105"/>
      <c r="J804" s="105"/>
    </row>
    <row r="805">
      <c r="B805" s="20"/>
      <c r="D805" s="105"/>
      <c r="E805" s="105"/>
      <c r="G805" s="34"/>
      <c r="H805" s="105"/>
      <c r="I805" s="105"/>
      <c r="J805" s="105"/>
    </row>
    <row r="806">
      <c r="B806" s="20"/>
      <c r="D806" s="105"/>
      <c r="E806" s="105"/>
      <c r="G806" s="34"/>
      <c r="H806" s="105"/>
      <c r="I806" s="105"/>
      <c r="J806" s="105"/>
    </row>
    <row r="807">
      <c r="B807" s="20"/>
      <c r="D807" s="105"/>
      <c r="E807" s="105"/>
      <c r="G807" s="34"/>
      <c r="H807" s="105"/>
      <c r="I807" s="105"/>
      <c r="J807" s="105"/>
    </row>
    <row r="808">
      <c r="B808" s="20"/>
      <c r="D808" s="105"/>
      <c r="E808" s="105"/>
      <c r="G808" s="34"/>
      <c r="H808" s="105"/>
      <c r="I808" s="105"/>
      <c r="J808" s="105"/>
    </row>
    <row r="809">
      <c r="B809" s="20"/>
      <c r="D809" s="105"/>
      <c r="E809" s="105"/>
      <c r="G809" s="34"/>
      <c r="H809" s="105"/>
      <c r="I809" s="105"/>
      <c r="J809" s="105"/>
    </row>
    <row r="810">
      <c r="B810" s="20"/>
      <c r="D810" s="105"/>
      <c r="E810" s="105"/>
      <c r="G810" s="34"/>
      <c r="H810" s="105"/>
      <c r="I810" s="105"/>
      <c r="J810" s="105"/>
    </row>
    <row r="811">
      <c r="B811" s="20"/>
      <c r="D811" s="105"/>
      <c r="E811" s="105"/>
      <c r="G811" s="34"/>
      <c r="H811" s="105"/>
      <c r="I811" s="105"/>
      <c r="J811" s="105"/>
    </row>
    <row r="812">
      <c r="B812" s="20"/>
      <c r="D812" s="105"/>
      <c r="E812" s="105"/>
      <c r="G812" s="34"/>
      <c r="H812" s="105"/>
      <c r="I812" s="105"/>
      <c r="J812" s="105"/>
    </row>
    <row r="813">
      <c r="B813" s="20"/>
      <c r="D813" s="105"/>
      <c r="E813" s="105"/>
      <c r="G813" s="34"/>
      <c r="H813" s="105"/>
      <c r="I813" s="105"/>
      <c r="J813" s="105"/>
    </row>
    <row r="814">
      <c r="B814" s="20"/>
      <c r="D814" s="105"/>
      <c r="E814" s="105"/>
      <c r="G814" s="34"/>
      <c r="H814" s="105"/>
      <c r="I814" s="105"/>
      <c r="J814" s="105"/>
    </row>
    <row r="815">
      <c r="B815" s="20"/>
      <c r="D815" s="105"/>
      <c r="E815" s="105"/>
      <c r="G815" s="34"/>
      <c r="H815" s="105"/>
      <c r="I815" s="105"/>
      <c r="J815" s="105"/>
    </row>
    <row r="816">
      <c r="B816" s="20"/>
      <c r="D816" s="105"/>
      <c r="E816" s="105"/>
      <c r="G816" s="34"/>
      <c r="H816" s="105"/>
      <c r="I816" s="105"/>
      <c r="J816" s="105"/>
    </row>
    <row r="817">
      <c r="B817" s="20"/>
      <c r="D817" s="105"/>
      <c r="E817" s="105"/>
      <c r="G817" s="34"/>
      <c r="H817" s="105"/>
      <c r="I817" s="105"/>
      <c r="J817" s="105"/>
    </row>
    <row r="818">
      <c r="B818" s="20"/>
      <c r="D818" s="105"/>
      <c r="E818" s="105"/>
      <c r="G818" s="34"/>
      <c r="H818" s="105"/>
      <c r="I818" s="105"/>
      <c r="J818" s="105"/>
    </row>
    <row r="819">
      <c r="B819" s="20"/>
      <c r="D819" s="105"/>
      <c r="E819" s="105"/>
      <c r="G819" s="34"/>
      <c r="H819" s="105"/>
      <c r="I819" s="105"/>
      <c r="J819" s="105"/>
    </row>
    <row r="820">
      <c r="B820" s="20"/>
      <c r="D820" s="105"/>
      <c r="E820" s="105"/>
      <c r="G820" s="34"/>
      <c r="H820" s="105"/>
      <c r="I820" s="105"/>
      <c r="J820" s="105"/>
    </row>
    <row r="821">
      <c r="B821" s="20"/>
      <c r="D821" s="105"/>
      <c r="E821" s="105"/>
      <c r="G821" s="34"/>
      <c r="H821" s="105"/>
      <c r="I821" s="105"/>
      <c r="J821" s="105"/>
    </row>
    <row r="822">
      <c r="B822" s="20"/>
      <c r="D822" s="105"/>
      <c r="E822" s="105"/>
      <c r="G822" s="34"/>
      <c r="H822" s="105"/>
      <c r="I822" s="105"/>
      <c r="J822" s="105"/>
    </row>
    <row r="823">
      <c r="B823" s="20"/>
      <c r="D823" s="105"/>
      <c r="E823" s="105"/>
      <c r="G823" s="34"/>
      <c r="H823" s="105"/>
      <c r="I823" s="105"/>
      <c r="J823" s="105"/>
    </row>
    <row r="824">
      <c r="B824" s="20"/>
      <c r="D824" s="105"/>
      <c r="E824" s="105"/>
      <c r="G824" s="34"/>
      <c r="H824" s="105"/>
      <c r="I824" s="105"/>
      <c r="J824" s="105"/>
    </row>
    <row r="825">
      <c r="B825" s="20"/>
      <c r="D825" s="105"/>
      <c r="E825" s="105"/>
      <c r="G825" s="34"/>
      <c r="H825" s="105"/>
      <c r="I825" s="105"/>
      <c r="J825" s="105"/>
    </row>
    <row r="826">
      <c r="B826" s="20"/>
      <c r="D826" s="105"/>
      <c r="E826" s="105"/>
      <c r="G826" s="34"/>
      <c r="H826" s="105"/>
      <c r="I826" s="105"/>
      <c r="J826" s="105"/>
    </row>
    <row r="827">
      <c r="B827" s="20"/>
      <c r="D827" s="105"/>
      <c r="E827" s="105"/>
      <c r="G827" s="34"/>
      <c r="H827" s="105"/>
      <c r="I827" s="105"/>
      <c r="J827" s="105"/>
    </row>
    <row r="828">
      <c r="B828" s="20"/>
      <c r="D828" s="105"/>
      <c r="E828" s="105"/>
      <c r="G828" s="34"/>
      <c r="H828" s="105"/>
      <c r="I828" s="105"/>
      <c r="J828" s="105"/>
    </row>
    <row r="829">
      <c r="B829" s="20"/>
      <c r="D829" s="105"/>
      <c r="E829" s="105"/>
      <c r="G829" s="34"/>
      <c r="H829" s="105"/>
      <c r="I829" s="105"/>
      <c r="J829" s="105"/>
    </row>
    <row r="830">
      <c r="B830" s="20"/>
      <c r="D830" s="105"/>
      <c r="E830" s="105"/>
      <c r="G830" s="34"/>
      <c r="H830" s="105"/>
      <c r="I830" s="105"/>
      <c r="J830" s="105"/>
    </row>
    <row r="831">
      <c r="B831" s="20"/>
      <c r="D831" s="105"/>
      <c r="E831" s="105"/>
      <c r="G831" s="34"/>
      <c r="H831" s="105"/>
      <c r="I831" s="105"/>
      <c r="J831" s="105"/>
    </row>
    <row r="832">
      <c r="B832" s="20"/>
      <c r="D832" s="105"/>
      <c r="E832" s="105"/>
      <c r="G832" s="34"/>
      <c r="H832" s="105"/>
      <c r="I832" s="105"/>
      <c r="J832" s="105"/>
    </row>
    <row r="833">
      <c r="B833" s="20"/>
      <c r="D833" s="105"/>
      <c r="E833" s="105"/>
      <c r="G833" s="34"/>
      <c r="H833" s="105"/>
      <c r="I833" s="105"/>
      <c r="J833" s="105"/>
    </row>
    <row r="834">
      <c r="B834" s="20"/>
      <c r="D834" s="105"/>
      <c r="E834" s="105"/>
      <c r="G834" s="34"/>
      <c r="H834" s="105"/>
      <c r="I834" s="105"/>
      <c r="J834" s="105"/>
    </row>
    <row r="835">
      <c r="B835" s="20"/>
      <c r="D835" s="105"/>
      <c r="E835" s="105"/>
      <c r="G835" s="34"/>
      <c r="H835" s="105"/>
      <c r="I835" s="105"/>
      <c r="J835" s="105"/>
    </row>
    <row r="836">
      <c r="B836" s="20"/>
      <c r="D836" s="105"/>
      <c r="E836" s="105"/>
      <c r="G836" s="34"/>
      <c r="H836" s="105"/>
      <c r="I836" s="105"/>
      <c r="J836" s="105"/>
    </row>
    <row r="837">
      <c r="B837" s="20"/>
      <c r="D837" s="105"/>
      <c r="E837" s="105"/>
      <c r="G837" s="34"/>
      <c r="H837" s="105"/>
      <c r="I837" s="105"/>
      <c r="J837" s="105"/>
    </row>
    <row r="838">
      <c r="B838" s="20"/>
      <c r="D838" s="105"/>
      <c r="E838" s="105"/>
      <c r="G838" s="34"/>
      <c r="H838" s="105"/>
      <c r="I838" s="105"/>
      <c r="J838" s="105"/>
    </row>
    <row r="839">
      <c r="B839" s="20"/>
      <c r="D839" s="105"/>
      <c r="E839" s="105"/>
      <c r="G839" s="34"/>
      <c r="H839" s="105"/>
      <c r="I839" s="105"/>
      <c r="J839" s="105"/>
    </row>
    <row r="840">
      <c r="B840" s="20"/>
      <c r="D840" s="105"/>
      <c r="E840" s="105"/>
      <c r="G840" s="34"/>
      <c r="H840" s="105"/>
      <c r="I840" s="105"/>
      <c r="J840" s="105"/>
    </row>
    <row r="841">
      <c r="B841" s="20"/>
      <c r="D841" s="105"/>
      <c r="E841" s="105"/>
      <c r="G841" s="34"/>
      <c r="H841" s="105"/>
      <c r="I841" s="105"/>
      <c r="J841" s="105"/>
    </row>
    <row r="842">
      <c r="B842" s="20"/>
      <c r="D842" s="105"/>
      <c r="E842" s="105"/>
      <c r="G842" s="34"/>
      <c r="H842" s="105"/>
      <c r="I842" s="105"/>
      <c r="J842" s="105"/>
    </row>
    <row r="843">
      <c r="B843" s="20"/>
      <c r="D843" s="105"/>
      <c r="E843" s="105"/>
      <c r="G843" s="34"/>
      <c r="H843" s="105"/>
      <c r="I843" s="105"/>
      <c r="J843" s="105"/>
    </row>
    <row r="844">
      <c r="B844" s="20"/>
      <c r="D844" s="105"/>
      <c r="E844" s="105"/>
      <c r="G844" s="34"/>
      <c r="H844" s="105"/>
      <c r="I844" s="105"/>
      <c r="J844" s="105"/>
    </row>
    <row r="845">
      <c r="B845" s="20"/>
      <c r="D845" s="105"/>
      <c r="E845" s="105"/>
      <c r="G845" s="34"/>
      <c r="H845" s="105"/>
      <c r="I845" s="105"/>
      <c r="J845" s="105"/>
    </row>
    <row r="846">
      <c r="B846" s="20"/>
      <c r="D846" s="105"/>
      <c r="E846" s="105"/>
      <c r="G846" s="34"/>
      <c r="H846" s="105"/>
      <c r="I846" s="105"/>
      <c r="J846" s="105"/>
    </row>
    <row r="847">
      <c r="B847" s="20"/>
      <c r="D847" s="105"/>
      <c r="E847" s="105"/>
      <c r="G847" s="34"/>
      <c r="H847" s="105"/>
      <c r="I847" s="105"/>
      <c r="J847" s="105"/>
    </row>
    <row r="848">
      <c r="B848" s="20"/>
      <c r="D848" s="105"/>
      <c r="E848" s="105"/>
      <c r="G848" s="34"/>
      <c r="H848" s="105"/>
      <c r="I848" s="105"/>
      <c r="J848" s="105"/>
    </row>
    <row r="849">
      <c r="B849" s="20"/>
      <c r="D849" s="105"/>
      <c r="E849" s="105"/>
      <c r="G849" s="34"/>
      <c r="H849" s="105"/>
      <c r="I849" s="105"/>
      <c r="J849" s="105"/>
    </row>
    <row r="850">
      <c r="B850" s="20"/>
      <c r="D850" s="105"/>
      <c r="E850" s="105"/>
      <c r="G850" s="34"/>
      <c r="H850" s="105"/>
      <c r="I850" s="105"/>
      <c r="J850" s="105"/>
    </row>
    <row r="851">
      <c r="B851" s="20"/>
      <c r="D851" s="105"/>
      <c r="E851" s="105"/>
      <c r="G851" s="34"/>
      <c r="H851" s="105"/>
      <c r="I851" s="105"/>
      <c r="J851" s="105"/>
    </row>
    <row r="852">
      <c r="B852" s="20"/>
      <c r="D852" s="105"/>
      <c r="E852" s="105"/>
      <c r="G852" s="34"/>
      <c r="H852" s="105"/>
      <c r="I852" s="105"/>
      <c r="J852" s="105"/>
    </row>
    <row r="853">
      <c r="B853" s="20"/>
      <c r="D853" s="105"/>
      <c r="E853" s="105"/>
      <c r="G853" s="34"/>
      <c r="H853" s="105"/>
      <c r="I853" s="105"/>
      <c r="J853" s="105"/>
    </row>
    <row r="854">
      <c r="B854" s="20"/>
      <c r="D854" s="105"/>
      <c r="E854" s="105"/>
      <c r="G854" s="34"/>
      <c r="H854" s="105"/>
      <c r="I854" s="105"/>
      <c r="J854" s="105"/>
    </row>
    <row r="855">
      <c r="B855" s="20"/>
      <c r="D855" s="105"/>
      <c r="E855" s="105"/>
      <c r="G855" s="34"/>
      <c r="H855" s="105"/>
      <c r="I855" s="105"/>
      <c r="J855" s="105"/>
    </row>
    <row r="856">
      <c r="B856" s="20"/>
      <c r="D856" s="105"/>
      <c r="E856" s="105"/>
      <c r="G856" s="34"/>
      <c r="H856" s="105"/>
      <c r="I856" s="105"/>
      <c r="J856" s="105"/>
    </row>
    <row r="857">
      <c r="B857" s="20"/>
      <c r="D857" s="105"/>
      <c r="E857" s="105"/>
      <c r="G857" s="34"/>
      <c r="H857" s="105"/>
      <c r="I857" s="105"/>
      <c r="J857" s="105"/>
    </row>
    <row r="858">
      <c r="B858" s="20"/>
      <c r="D858" s="105"/>
      <c r="E858" s="105"/>
      <c r="G858" s="34"/>
      <c r="H858" s="105"/>
      <c r="I858" s="105"/>
      <c r="J858" s="105"/>
    </row>
    <row r="859">
      <c r="B859" s="20"/>
      <c r="D859" s="105"/>
      <c r="E859" s="105"/>
      <c r="G859" s="34"/>
      <c r="H859" s="105"/>
      <c r="I859" s="105"/>
      <c r="J859" s="105"/>
    </row>
    <row r="860">
      <c r="B860" s="20"/>
      <c r="D860" s="105"/>
      <c r="E860" s="105"/>
      <c r="G860" s="34"/>
      <c r="H860" s="105"/>
      <c r="I860" s="105"/>
      <c r="J860" s="105"/>
    </row>
    <row r="861">
      <c r="B861" s="20"/>
      <c r="D861" s="105"/>
      <c r="E861" s="105"/>
      <c r="G861" s="34"/>
      <c r="H861" s="105"/>
      <c r="I861" s="105"/>
      <c r="J861" s="105"/>
    </row>
    <row r="862">
      <c r="B862" s="20"/>
      <c r="D862" s="105"/>
      <c r="E862" s="105"/>
      <c r="G862" s="34"/>
      <c r="H862" s="105"/>
      <c r="I862" s="105"/>
      <c r="J862" s="105"/>
    </row>
    <row r="863">
      <c r="B863" s="20"/>
      <c r="D863" s="105"/>
      <c r="E863" s="105"/>
      <c r="G863" s="34"/>
      <c r="H863" s="105"/>
      <c r="I863" s="105"/>
      <c r="J863" s="105"/>
    </row>
    <row r="864">
      <c r="B864" s="20"/>
      <c r="D864" s="105"/>
      <c r="E864" s="105"/>
      <c r="G864" s="34"/>
      <c r="H864" s="105"/>
      <c r="I864" s="105"/>
      <c r="J864" s="105"/>
    </row>
    <row r="865">
      <c r="B865" s="20"/>
      <c r="D865" s="105"/>
      <c r="E865" s="105"/>
      <c r="G865" s="34"/>
      <c r="H865" s="105"/>
      <c r="I865" s="105"/>
      <c r="J865" s="105"/>
    </row>
    <row r="866">
      <c r="B866" s="20"/>
      <c r="D866" s="105"/>
      <c r="E866" s="105"/>
      <c r="G866" s="34"/>
      <c r="H866" s="105"/>
      <c r="I866" s="105"/>
      <c r="J866" s="105"/>
    </row>
    <row r="867">
      <c r="B867" s="20"/>
      <c r="D867" s="105"/>
      <c r="E867" s="105"/>
      <c r="G867" s="34"/>
      <c r="H867" s="105"/>
      <c r="I867" s="105"/>
      <c r="J867" s="105"/>
    </row>
    <row r="868">
      <c r="B868" s="20"/>
      <c r="D868" s="105"/>
      <c r="E868" s="105"/>
      <c r="G868" s="34"/>
      <c r="H868" s="105"/>
      <c r="I868" s="105"/>
      <c r="J868" s="105"/>
    </row>
    <row r="869">
      <c r="B869" s="20"/>
      <c r="D869" s="105"/>
      <c r="E869" s="105"/>
      <c r="G869" s="34"/>
      <c r="H869" s="105"/>
      <c r="I869" s="105"/>
      <c r="J869" s="105"/>
    </row>
    <row r="870">
      <c r="B870" s="20"/>
      <c r="D870" s="105"/>
      <c r="E870" s="105"/>
      <c r="G870" s="34"/>
      <c r="H870" s="105"/>
      <c r="I870" s="105"/>
      <c r="J870" s="105"/>
    </row>
    <row r="871">
      <c r="B871" s="20"/>
      <c r="D871" s="105"/>
      <c r="E871" s="105"/>
      <c r="G871" s="34"/>
      <c r="H871" s="105"/>
      <c r="I871" s="105"/>
      <c r="J871" s="105"/>
    </row>
    <row r="872">
      <c r="B872" s="20"/>
      <c r="D872" s="105"/>
      <c r="E872" s="105"/>
      <c r="G872" s="34"/>
      <c r="H872" s="105"/>
      <c r="I872" s="105"/>
      <c r="J872" s="105"/>
    </row>
    <row r="873">
      <c r="B873" s="20"/>
      <c r="D873" s="105"/>
      <c r="E873" s="105"/>
      <c r="G873" s="34"/>
      <c r="H873" s="105"/>
      <c r="I873" s="105"/>
      <c r="J873" s="105"/>
    </row>
    <row r="874">
      <c r="B874" s="20"/>
      <c r="D874" s="105"/>
      <c r="E874" s="105"/>
      <c r="G874" s="34"/>
      <c r="H874" s="105"/>
      <c r="I874" s="105"/>
      <c r="J874" s="105"/>
    </row>
    <row r="875">
      <c r="B875" s="20"/>
      <c r="D875" s="105"/>
      <c r="E875" s="105"/>
      <c r="G875" s="34"/>
      <c r="H875" s="105"/>
      <c r="I875" s="105"/>
      <c r="J875" s="105"/>
    </row>
    <row r="876">
      <c r="B876" s="20"/>
      <c r="D876" s="105"/>
      <c r="E876" s="105"/>
      <c r="G876" s="34"/>
      <c r="H876" s="105"/>
      <c r="I876" s="105"/>
      <c r="J876" s="105"/>
    </row>
    <row r="877">
      <c r="B877" s="20"/>
      <c r="D877" s="105"/>
      <c r="E877" s="105"/>
      <c r="G877" s="34"/>
      <c r="H877" s="105"/>
      <c r="I877" s="105"/>
      <c r="J877" s="105"/>
    </row>
    <row r="878">
      <c r="B878" s="20"/>
      <c r="D878" s="105"/>
      <c r="E878" s="105"/>
      <c r="G878" s="34"/>
      <c r="H878" s="105"/>
      <c r="I878" s="105"/>
      <c r="J878" s="105"/>
    </row>
    <row r="879">
      <c r="B879" s="20"/>
      <c r="D879" s="105"/>
      <c r="E879" s="105"/>
      <c r="G879" s="34"/>
      <c r="H879" s="105"/>
      <c r="I879" s="105"/>
      <c r="J879" s="105"/>
    </row>
    <row r="880">
      <c r="B880" s="20"/>
      <c r="D880" s="105"/>
      <c r="E880" s="105"/>
      <c r="G880" s="34"/>
      <c r="H880" s="105"/>
      <c r="I880" s="105"/>
      <c r="J880" s="105"/>
    </row>
    <row r="881">
      <c r="B881" s="20"/>
      <c r="D881" s="105"/>
      <c r="E881" s="105"/>
      <c r="G881" s="34"/>
      <c r="H881" s="105"/>
      <c r="I881" s="105"/>
      <c r="J881" s="105"/>
    </row>
    <row r="882">
      <c r="B882" s="20"/>
      <c r="D882" s="105"/>
      <c r="E882" s="105"/>
      <c r="G882" s="34"/>
      <c r="H882" s="105"/>
      <c r="I882" s="105"/>
      <c r="J882" s="105"/>
    </row>
    <row r="883">
      <c r="B883" s="20"/>
      <c r="D883" s="105"/>
      <c r="E883" s="105"/>
      <c r="G883" s="34"/>
      <c r="H883" s="105"/>
      <c r="I883" s="105"/>
      <c r="J883" s="105"/>
    </row>
    <row r="884">
      <c r="B884" s="20"/>
      <c r="D884" s="105"/>
      <c r="E884" s="105"/>
      <c r="G884" s="34"/>
      <c r="H884" s="105"/>
      <c r="I884" s="105"/>
      <c r="J884" s="105"/>
    </row>
    <row r="885">
      <c r="B885" s="20"/>
      <c r="D885" s="105"/>
      <c r="E885" s="105"/>
      <c r="G885" s="34"/>
      <c r="H885" s="105"/>
      <c r="I885" s="105"/>
      <c r="J885" s="105"/>
    </row>
    <row r="886">
      <c r="B886" s="20"/>
      <c r="D886" s="105"/>
      <c r="E886" s="105"/>
      <c r="G886" s="34"/>
      <c r="H886" s="105"/>
      <c r="I886" s="105"/>
      <c r="J886" s="105"/>
    </row>
    <row r="887">
      <c r="B887" s="20"/>
      <c r="D887" s="105"/>
      <c r="E887" s="105"/>
      <c r="G887" s="34"/>
      <c r="H887" s="105"/>
      <c r="I887" s="105"/>
      <c r="J887" s="105"/>
    </row>
    <row r="888">
      <c r="B888" s="20"/>
      <c r="D888" s="105"/>
      <c r="E888" s="105"/>
      <c r="G888" s="34"/>
      <c r="H888" s="105"/>
      <c r="I888" s="105"/>
      <c r="J888" s="105"/>
    </row>
    <row r="889">
      <c r="B889" s="20"/>
      <c r="D889" s="105"/>
      <c r="E889" s="105"/>
      <c r="G889" s="34"/>
      <c r="H889" s="105"/>
      <c r="I889" s="105"/>
      <c r="J889" s="105"/>
    </row>
    <row r="890">
      <c r="B890" s="20"/>
      <c r="D890" s="105"/>
      <c r="E890" s="105"/>
      <c r="G890" s="34"/>
      <c r="H890" s="105"/>
      <c r="I890" s="105"/>
      <c r="J890" s="105"/>
    </row>
    <row r="891">
      <c r="B891" s="20"/>
      <c r="D891" s="105"/>
      <c r="E891" s="105"/>
      <c r="G891" s="34"/>
      <c r="H891" s="105"/>
      <c r="I891" s="105"/>
      <c r="J891" s="105"/>
    </row>
    <row r="892">
      <c r="B892" s="20"/>
      <c r="D892" s="105"/>
      <c r="E892" s="105"/>
      <c r="G892" s="34"/>
      <c r="H892" s="105"/>
      <c r="I892" s="105"/>
      <c r="J892" s="105"/>
    </row>
    <row r="893">
      <c r="B893" s="20"/>
      <c r="D893" s="105"/>
      <c r="E893" s="105"/>
      <c r="G893" s="34"/>
      <c r="H893" s="105"/>
      <c r="I893" s="105"/>
      <c r="J893" s="105"/>
    </row>
    <row r="894">
      <c r="B894" s="20"/>
      <c r="D894" s="105"/>
      <c r="E894" s="105"/>
      <c r="G894" s="34"/>
      <c r="H894" s="105"/>
      <c r="I894" s="105"/>
      <c r="J894" s="105"/>
    </row>
    <row r="895">
      <c r="B895" s="20"/>
      <c r="D895" s="105"/>
      <c r="E895" s="105"/>
      <c r="G895" s="34"/>
      <c r="H895" s="105"/>
      <c r="I895" s="105"/>
      <c r="J895" s="105"/>
    </row>
    <row r="896">
      <c r="B896" s="20"/>
      <c r="D896" s="105"/>
      <c r="E896" s="105"/>
      <c r="G896" s="34"/>
      <c r="H896" s="105"/>
      <c r="I896" s="105"/>
      <c r="J896" s="105"/>
    </row>
    <row r="897">
      <c r="B897" s="20"/>
      <c r="D897" s="105"/>
      <c r="E897" s="105"/>
      <c r="G897" s="34"/>
      <c r="H897" s="105"/>
      <c r="I897" s="105"/>
      <c r="J897" s="105"/>
    </row>
    <row r="898">
      <c r="B898" s="20"/>
      <c r="D898" s="105"/>
      <c r="E898" s="105"/>
      <c r="G898" s="34"/>
      <c r="H898" s="105"/>
      <c r="I898" s="105"/>
      <c r="J898" s="105"/>
    </row>
    <row r="899">
      <c r="B899" s="20"/>
      <c r="D899" s="105"/>
      <c r="E899" s="105"/>
      <c r="G899" s="34"/>
      <c r="H899" s="105"/>
      <c r="I899" s="105"/>
      <c r="J899" s="105"/>
    </row>
    <row r="900">
      <c r="B900" s="20"/>
      <c r="D900" s="105"/>
      <c r="E900" s="105"/>
      <c r="G900" s="34"/>
      <c r="H900" s="105"/>
      <c r="I900" s="105"/>
      <c r="J900" s="105"/>
    </row>
    <row r="901">
      <c r="B901" s="20"/>
      <c r="D901" s="105"/>
      <c r="E901" s="105"/>
      <c r="G901" s="34"/>
      <c r="H901" s="105"/>
      <c r="I901" s="105"/>
      <c r="J901" s="105"/>
    </row>
    <row r="902">
      <c r="B902" s="20"/>
      <c r="D902" s="105"/>
      <c r="E902" s="105"/>
      <c r="G902" s="34"/>
      <c r="H902" s="105"/>
      <c r="I902" s="105"/>
      <c r="J902" s="105"/>
    </row>
    <row r="903">
      <c r="B903" s="20"/>
      <c r="D903" s="105"/>
      <c r="E903" s="105"/>
      <c r="G903" s="34"/>
      <c r="H903" s="105"/>
      <c r="I903" s="105"/>
      <c r="J903" s="105"/>
    </row>
    <row r="904">
      <c r="B904" s="20"/>
      <c r="D904" s="105"/>
      <c r="E904" s="105"/>
      <c r="G904" s="34"/>
      <c r="H904" s="105"/>
      <c r="I904" s="105"/>
      <c r="J904" s="105"/>
    </row>
    <row r="905">
      <c r="B905" s="20"/>
      <c r="D905" s="105"/>
      <c r="E905" s="105"/>
      <c r="G905" s="34"/>
      <c r="H905" s="105"/>
      <c r="I905" s="105"/>
      <c r="J905" s="105"/>
    </row>
    <row r="906">
      <c r="B906" s="20"/>
      <c r="D906" s="105"/>
      <c r="E906" s="105"/>
      <c r="G906" s="34"/>
      <c r="H906" s="105"/>
      <c r="I906" s="105"/>
      <c r="J906" s="105"/>
    </row>
    <row r="907">
      <c r="B907" s="20"/>
      <c r="D907" s="105"/>
      <c r="E907" s="105"/>
      <c r="G907" s="34"/>
      <c r="H907" s="105"/>
      <c r="I907" s="105"/>
      <c r="J907" s="105"/>
    </row>
    <row r="908">
      <c r="B908" s="20"/>
      <c r="D908" s="105"/>
      <c r="E908" s="105"/>
      <c r="G908" s="34"/>
      <c r="H908" s="105"/>
      <c r="I908" s="105"/>
      <c r="J908" s="105"/>
    </row>
    <row r="909">
      <c r="B909" s="20"/>
      <c r="D909" s="105"/>
      <c r="E909" s="105"/>
      <c r="G909" s="34"/>
      <c r="H909" s="105"/>
      <c r="I909" s="105"/>
      <c r="J909" s="105"/>
    </row>
    <row r="910">
      <c r="B910" s="20"/>
      <c r="D910" s="105"/>
      <c r="E910" s="105"/>
      <c r="G910" s="34"/>
      <c r="H910" s="105"/>
      <c r="I910" s="105"/>
      <c r="J910" s="105"/>
    </row>
    <row r="911">
      <c r="B911" s="20"/>
      <c r="D911" s="105"/>
      <c r="E911" s="105"/>
      <c r="G911" s="34"/>
      <c r="H911" s="105"/>
      <c r="I911" s="105"/>
      <c r="J911" s="105"/>
    </row>
    <row r="912">
      <c r="B912" s="20"/>
      <c r="D912" s="105"/>
      <c r="E912" s="105"/>
      <c r="G912" s="34"/>
      <c r="H912" s="105"/>
      <c r="I912" s="105"/>
      <c r="J912" s="105"/>
    </row>
    <row r="913">
      <c r="B913" s="20"/>
      <c r="D913" s="105"/>
      <c r="E913" s="105"/>
      <c r="G913" s="34"/>
      <c r="H913" s="105"/>
      <c r="I913" s="105"/>
      <c r="J913" s="105"/>
    </row>
    <row r="914">
      <c r="B914" s="20"/>
      <c r="D914" s="105"/>
      <c r="E914" s="105"/>
      <c r="G914" s="34"/>
      <c r="H914" s="105"/>
      <c r="I914" s="105"/>
      <c r="J914" s="105"/>
    </row>
    <row r="915">
      <c r="B915" s="20"/>
      <c r="D915" s="105"/>
      <c r="E915" s="105"/>
      <c r="G915" s="34"/>
      <c r="H915" s="105"/>
      <c r="I915" s="105"/>
      <c r="J915" s="105"/>
    </row>
    <row r="916">
      <c r="B916" s="20"/>
      <c r="D916" s="105"/>
      <c r="E916" s="105"/>
      <c r="G916" s="34"/>
      <c r="H916" s="105"/>
      <c r="I916" s="105"/>
      <c r="J916" s="105"/>
    </row>
    <row r="917">
      <c r="B917" s="20"/>
      <c r="D917" s="105"/>
      <c r="E917" s="105"/>
      <c r="G917" s="34"/>
      <c r="H917" s="105"/>
      <c r="I917" s="105"/>
      <c r="J917" s="105"/>
    </row>
    <row r="918">
      <c r="B918" s="20"/>
      <c r="D918" s="105"/>
      <c r="E918" s="105"/>
      <c r="G918" s="34"/>
      <c r="H918" s="105"/>
      <c r="I918" s="105"/>
      <c r="J918" s="105"/>
    </row>
    <row r="919">
      <c r="B919" s="20"/>
      <c r="D919" s="105"/>
      <c r="E919" s="105"/>
      <c r="G919" s="34"/>
      <c r="H919" s="105"/>
      <c r="I919" s="105"/>
      <c r="J919" s="105"/>
    </row>
    <row r="920">
      <c r="B920" s="20"/>
      <c r="D920" s="105"/>
      <c r="E920" s="105"/>
      <c r="G920" s="34"/>
      <c r="H920" s="105"/>
      <c r="I920" s="105"/>
      <c r="J920" s="105"/>
    </row>
    <row r="921">
      <c r="B921" s="20"/>
      <c r="D921" s="105"/>
      <c r="E921" s="105"/>
      <c r="G921" s="34"/>
      <c r="H921" s="105"/>
      <c r="I921" s="105"/>
      <c r="J921" s="105"/>
    </row>
    <row r="922">
      <c r="B922" s="20"/>
      <c r="D922" s="105"/>
      <c r="E922" s="105"/>
      <c r="G922" s="34"/>
      <c r="H922" s="105"/>
      <c r="I922" s="105"/>
      <c r="J922" s="105"/>
    </row>
    <row r="923">
      <c r="B923" s="20"/>
      <c r="D923" s="105"/>
      <c r="E923" s="105"/>
      <c r="G923" s="34"/>
      <c r="H923" s="105"/>
      <c r="I923" s="105"/>
      <c r="J923" s="105"/>
    </row>
    <row r="924">
      <c r="B924" s="20"/>
      <c r="D924" s="105"/>
      <c r="E924" s="105"/>
      <c r="G924" s="34"/>
      <c r="H924" s="105"/>
      <c r="I924" s="105"/>
      <c r="J924" s="105"/>
    </row>
    <row r="925">
      <c r="B925" s="20"/>
      <c r="D925" s="105"/>
      <c r="E925" s="105"/>
      <c r="G925" s="34"/>
      <c r="H925" s="105"/>
      <c r="I925" s="105"/>
      <c r="J925" s="105"/>
    </row>
    <row r="926">
      <c r="B926" s="20"/>
      <c r="D926" s="105"/>
      <c r="E926" s="105"/>
      <c r="G926" s="34"/>
      <c r="H926" s="105"/>
      <c r="I926" s="105"/>
      <c r="J926" s="105"/>
    </row>
    <row r="927">
      <c r="B927" s="20"/>
      <c r="D927" s="105"/>
      <c r="E927" s="105"/>
      <c r="G927" s="34"/>
      <c r="H927" s="105"/>
      <c r="I927" s="105"/>
      <c r="J927" s="105"/>
    </row>
    <row r="928">
      <c r="B928" s="20"/>
      <c r="D928" s="105"/>
      <c r="E928" s="105"/>
      <c r="G928" s="34"/>
      <c r="H928" s="105"/>
      <c r="I928" s="105"/>
      <c r="J928" s="105"/>
    </row>
    <row r="929">
      <c r="B929" s="20"/>
      <c r="D929" s="105"/>
      <c r="E929" s="105"/>
      <c r="G929" s="34"/>
      <c r="H929" s="105"/>
      <c r="I929" s="105"/>
      <c r="J929" s="105"/>
    </row>
    <row r="930">
      <c r="B930" s="20"/>
      <c r="D930" s="105"/>
      <c r="E930" s="105"/>
      <c r="G930" s="34"/>
      <c r="H930" s="105"/>
      <c r="I930" s="105"/>
      <c r="J930" s="105"/>
    </row>
    <row r="931">
      <c r="B931" s="20"/>
      <c r="D931" s="105"/>
      <c r="E931" s="105"/>
      <c r="G931" s="34"/>
      <c r="H931" s="105"/>
      <c r="I931" s="105"/>
      <c r="J931" s="105"/>
    </row>
    <row r="932">
      <c r="B932" s="20"/>
      <c r="D932" s="105"/>
      <c r="E932" s="105"/>
      <c r="G932" s="34"/>
      <c r="H932" s="105"/>
      <c r="I932" s="105"/>
      <c r="J932" s="105"/>
    </row>
    <row r="933">
      <c r="B933" s="20"/>
      <c r="D933" s="105"/>
      <c r="E933" s="105"/>
      <c r="G933" s="34"/>
      <c r="H933" s="105"/>
      <c r="I933" s="105"/>
      <c r="J933" s="105"/>
    </row>
    <row r="934">
      <c r="B934" s="20"/>
      <c r="D934" s="105"/>
      <c r="E934" s="105"/>
      <c r="G934" s="34"/>
      <c r="H934" s="105"/>
      <c r="I934" s="105"/>
      <c r="J934" s="105"/>
    </row>
    <row r="935">
      <c r="B935" s="20"/>
      <c r="D935" s="105"/>
      <c r="E935" s="105"/>
      <c r="G935" s="34"/>
      <c r="H935" s="105"/>
      <c r="I935" s="105"/>
      <c r="J935" s="105"/>
    </row>
    <row r="936">
      <c r="B936" s="20"/>
      <c r="D936" s="105"/>
      <c r="E936" s="105"/>
      <c r="G936" s="34"/>
      <c r="H936" s="105"/>
      <c r="I936" s="105"/>
      <c r="J936" s="105"/>
    </row>
    <row r="937">
      <c r="B937" s="20"/>
      <c r="D937" s="105"/>
      <c r="E937" s="105"/>
      <c r="G937" s="34"/>
      <c r="H937" s="105"/>
      <c r="I937" s="105"/>
      <c r="J937" s="105"/>
    </row>
    <row r="938">
      <c r="B938" s="20"/>
      <c r="D938" s="105"/>
      <c r="E938" s="105"/>
      <c r="G938" s="34"/>
      <c r="H938" s="105"/>
      <c r="I938" s="105"/>
      <c r="J938" s="105"/>
    </row>
    <row r="939">
      <c r="B939" s="20"/>
      <c r="D939" s="105"/>
      <c r="E939" s="105"/>
      <c r="G939" s="34"/>
      <c r="H939" s="105"/>
      <c r="I939" s="105"/>
      <c r="J939" s="105"/>
    </row>
    <row r="940">
      <c r="B940" s="20"/>
      <c r="D940" s="105"/>
      <c r="E940" s="105"/>
      <c r="G940" s="34"/>
      <c r="H940" s="105"/>
      <c r="I940" s="105"/>
      <c r="J940" s="105"/>
    </row>
    <row r="941">
      <c r="B941" s="20"/>
      <c r="D941" s="105"/>
      <c r="E941" s="105"/>
      <c r="G941" s="34"/>
      <c r="H941" s="105"/>
      <c r="I941" s="105"/>
      <c r="J941" s="105"/>
    </row>
    <row r="942">
      <c r="B942" s="20"/>
      <c r="D942" s="105"/>
      <c r="E942" s="105"/>
      <c r="G942" s="34"/>
      <c r="H942" s="105"/>
      <c r="I942" s="105"/>
      <c r="J942" s="105"/>
    </row>
    <row r="943">
      <c r="B943" s="20"/>
      <c r="D943" s="105"/>
      <c r="E943" s="105"/>
      <c r="G943" s="34"/>
      <c r="H943" s="105"/>
      <c r="I943" s="105"/>
      <c r="J943" s="105"/>
    </row>
    <row r="944">
      <c r="B944" s="20"/>
      <c r="D944" s="105"/>
      <c r="E944" s="105"/>
      <c r="G944" s="34"/>
      <c r="H944" s="105"/>
      <c r="I944" s="105"/>
      <c r="J944" s="105"/>
    </row>
    <row r="945">
      <c r="B945" s="20"/>
      <c r="D945" s="105"/>
      <c r="E945" s="105"/>
      <c r="G945" s="34"/>
      <c r="H945" s="105"/>
      <c r="I945" s="105"/>
      <c r="J945" s="105"/>
    </row>
    <row r="946">
      <c r="B946" s="20"/>
      <c r="D946" s="105"/>
      <c r="E946" s="105"/>
      <c r="G946" s="34"/>
      <c r="H946" s="105"/>
      <c r="I946" s="105"/>
      <c r="J946" s="105"/>
    </row>
    <row r="947">
      <c r="B947" s="20"/>
      <c r="D947" s="105"/>
      <c r="E947" s="105"/>
      <c r="G947" s="34"/>
      <c r="H947" s="105"/>
      <c r="I947" s="105"/>
      <c r="J947" s="105"/>
    </row>
    <row r="948">
      <c r="B948" s="20"/>
      <c r="D948" s="105"/>
      <c r="E948" s="105"/>
      <c r="G948" s="34"/>
      <c r="H948" s="105"/>
      <c r="I948" s="105"/>
      <c r="J948" s="105"/>
    </row>
    <row r="949">
      <c r="B949" s="20"/>
      <c r="D949" s="105"/>
      <c r="E949" s="105"/>
      <c r="G949" s="34"/>
      <c r="H949" s="105"/>
      <c r="I949" s="105"/>
      <c r="J949" s="105"/>
    </row>
    <row r="950">
      <c r="B950" s="20"/>
      <c r="D950" s="105"/>
      <c r="E950" s="105"/>
      <c r="G950" s="34"/>
      <c r="H950" s="105"/>
      <c r="I950" s="105"/>
      <c r="J950" s="105"/>
    </row>
    <row r="951">
      <c r="B951" s="20"/>
      <c r="D951" s="105"/>
      <c r="E951" s="105"/>
      <c r="G951" s="34"/>
      <c r="H951" s="105"/>
      <c r="I951" s="105"/>
      <c r="J951" s="105"/>
    </row>
    <row r="952">
      <c r="B952" s="20"/>
      <c r="D952" s="105"/>
      <c r="E952" s="105"/>
      <c r="G952" s="34"/>
      <c r="H952" s="105"/>
      <c r="I952" s="105"/>
      <c r="J952" s="105"/>
    </row>
    <row r="953">
      <c r="B953" s="20"/>
      <c r="D953" s="105"/>
      <c r="E953" s="105"/>
      <c r="G953" s="34"/>
      <c r="H953" s="105"/>
      <c r="I953" s="105"/>
      <c r="J953" s="105"/>
    </row>
    <row r="954">
      <c r="B954" s="20"/>
      <c r="D954" s="105"/>
      <c r="E954" s="105"/>
      <c r="G954" s="34"/>
      <c r="H954" s="105"/>
      <c r="I954" s="105"/>
      <c r="J954" s="105"/>
    </row>
    <row r="955">
      <c r="B955" s="20"/>
      <c r="D955" s="105"/>
      <c r="E955" s="105"/>
      <c r="G955" s="34"/>
      <c r="H955" s="105"/>
      <c r="I955" s="105"/>
      <c r="J955" s="105"/>
    </row>
    <row r="956">
      <c r="B956" s="20"/>
      <c r="D956" s="105"/>
      <c r="E956" s="105"/>
      <c r="G956" s="34"/>
      <c r="H956" s="105"/>
      <c r="I956" s="105"/>
      <c r="J956" s="105"/>
    </row>
    <row r="957">
      <c r="B957" s="20"/>
      <c r="D957" s="105"/>
      <c r="E957" s="105"/>
      <c r="G957" s="34"/>
      <c r="H957" s="105"/>
      <c r="I957" s="105"/>
      <c r="J957" s="105"/>
    </row>
    <row r="958">
      <c r="B958" s="20"/>
      <c r="D958" s="105"/>
      <c r="E958" s="105"/>
      <c r="G958" s="34"/>
      <c r="H958" s="105"/>
      <c r="I958" s="105"/>
      <c r="J958" s="105"/>
    </row>
    <row r="959">
      <c r="B959" s="20"/>
      <c r="D959" s="105"/>
      <c r="E959" s="105"/>
      <c r="G959" s="34"/>
      <c r="H959" s="105"/>
      <c r="I959" s="105"/>
      <c r="J959" s="105"/>
    </row>
    <row r="960">
      <c r="B960" s="20"/>
      <c r="D960" s="105"/>
      <c r="E960" s="105"/>
      <c r="G960" s="34"/>
      <c r="H960" s="105"/>
      <c r="I960" s="105"/>
      <c r="J960" s="105"/>
    </row>
    <row r="961">
      <c r="B961" s="20"/>
      <c r="D961" s="105"/>
      <c r="E961" s="105"/>
      <c r="G961" s="34"/>
      <c r="H961" s="105"/>
      <c r="I961" s="105"/>
      <c r="J961" s="105"/>
    </row>
    <row r="962">
      <c r="B962" s="20"/>
      <c r="D962" s="105"/>
      <c r="E962" s="105"/>
      <c r="G962" s="34"/>
      <c r="H962" s="105"/>
      <c r="I962" s="105"/>
      <c r="J962" s="105"/>
    </row>
    <row r="963">
      <c r="B963" s="20"/>
      <c r="D963" s="105"/>
      <c r="E963" s="105"/>
      <c r="G963" s="34"/>
      <c r="H963" s="105"/>
      <c r="I963" s="105"/>
      <c r="J963" s="105"/>
    </row>
    <row r="964">
      <c r="B964" s="20"/>
      <c r="D964" s="105"/>
      <c r="E964" s="105"/>
      <c r="G964" s="34"/>
      <c r="H964" s="105"/>
      <c r="I964" s="105"/>
      <c r="J964" s="105"/>
    </row>
    <row r="965">
      <c r="B965" s="20"/>
      <c r="D965" s="105"/>
      <c r="E965" s="105"/>
      <c r="G965" s="34"/>
      <c r="H965" s="105"/>
      <c r="I965" s="105"/>
      <c r="J965" s="105"/>
    </row>
    <row r="966">
      <c r="B966" s="20"/>
      <c r="D966" s="105"/>
      <c r="E966" s="105"/>
      <c r="G966" s="34"/>
      <c r="H966" s="105"/>
      <c r="I966" s="105"/>
      <c r="J966" s="105"/>
    </row>
    <row r="967">
      <c r="B967" s="20"/>
      <c r="D967" s="105"/>
      <c r="E967" s="105"/>
      <c r="G967" s="34"/>
      <c r="H967" s="105"/>
      <c r="I967" s="105"/>
      <c r="J967" s="105"/>
    </row>
    <row r="968">
      <c r="B968" s="20"/>
      <c r="D968" s="105"/>
      <c r="E968" s="105"/>
      <c r="G968" s="34"/>
      <c r="H968" s="105"/>
      <c r="I968" s="105"/>
      <c r="J968" s="105"/>
    </row>
    <row r="969">
      <c r="B969" s="20"/>
      <c r="D969" s="105"/>
      <c r="E969" s="105"/>
      <c r="G969" s="34"/>
      <c r="H969" s="105"/>
      <c r="I969" s="105"/>
      <c r="J969" s="105"/>
    </row>
    <row r="970">
      <c r="B970" s="20"/>
      <c r="D970" s="105"/>
      <c r="E970" s="105"/>
      <c r="G970" s="34"/>
      <c r="H970" s="105"/>
      <c r="I970" s="105"/>
      <c r="J970" s="105"/>
    </row>
    <row r="971">
      <c r="B971" s="20"/>
      <c r="D971" s="105"/>
      <c r="E971" s="105"/>
      <c r="G971" s="34"/>
      <c r="H971" s="105"/>
      <c r="I971" s="105"/>
      <c r="J971" s="105"/>
    </row>
    <row r="972">
      <c r="B972" s="20"/>
      <c r="D972" s="105"/>
      <c r="E972" s="105"/>
      <c r="G972" s="34"/>
      <c r="H972" s="105"/>
      <c r="I972" s="105"/>
      <c r="J972" s="105"/>
    </row>
    <row r="973">
      <c r="B973" s="20"/>
      <c r="D973" s="105"/>
      <c r="E973" s="105"/>
      <c r="G973" s="34"/>
      <c r="H973" s="105"/>
      <c r="I973" s="105"/>
      <c r="J973" s="105"/>
    </row>
    <row r="974">
      <c r="B974" s="20"/>
      <c r="D974" s="105"/>
      <c r="E974" s="105"/>
      <c r="G974" s="34"/>
      <c r="H974" s="105"/>
      <c r="I974" s="105"/>
      <c r="J974" s="105"/>
    </row>
    <row r="975">
      <c r="B975" s="20"/>
      <c r="D975" s="105"/>
      <c r="E975" s="105"/>
      <c r="G975" s="34"/>
      <c r="H975" s="105"/>
      <c r="I975" s="105"/>
      <c r="J975" s="105"/>
    </row>
    <row r="976">
      <c r="B976" s="20"/>
      <c r="D976" s="105"/>
      <c r="E976" s="105"/>
      <c r="G976" s="34"/>
      <c r="H976" s="105"/>
      <c r="I976" s="105"/>
      <c r="J976" s="105"/>
    </row>
    <row r="977">
      <c r="B977" s="20"/>
      <c r="D977" s="105"/>
      <c r="E977" s="105"/>
      <c r="G977" s="34"/>
      <c r="H977" s="105"/>
      <c r="I977" s="105"/>
      <c r="J977" s="105"/>
    </row>
    <row r="978">
      <c r="B978" s="20"/>
      <c r="D978" s="105"/>
      <c r="E978" s="105"/>
      <c r="G978" s="34"/>
      <c r="H978" s="105"/>
      <c r="I978" s="105"/>
      <c r="J978" s="105"/>
    </row>
    <row r="979">
      <c r="B979" s="20"/>
      <c r="D979" s="105"/>
      <c r="E979" s="105"/>
      <c r="G979" s="34"/>
      <c r="H979" s="105"/>
      <c r="I979" s="105"/>
      <c r="J979" s="105"/>
    </row>
    <row r="980">
      <c r="B980" s="20"/>
      <c r="D980" s="105"/>
      <c r="E980" s="105"/>
      <c r="G980" s="34"/>
      <c r="H980" s="105"/>
      <c r="I980" s="105"/>
      <c r="J980" s="105"/>
    </row>
    <row r="981">
      <c r="B981" s="20"/>
      <c r="D981" s="105"/>
      <c r="E981" s="105"/>
      <c r="G981" s="34"/>
      <c r="H981" s="105"/>
      <c r="I981" s="105"/>
      <c r="J981" s="105"/>
    </row>
    <row r="982">
      <c r="B982" s="20"/>
      <c r="D982" s="105"/>
      <c r="E982" s="105"/>
      <c r="G982" s="34"/>
      <c r="H982" s="105"/>
      <c r="I982" s="105"/>
      <c r="J982" s="105"/>
    </row>
    <row r="983">
      <c r="B983" s="20"/>
      <c r="D983" s="105"/>
      <c r="E983" s="105"/>
      <c r="G983" s="34"/>
      <c r="H983" s="105"/>
      <c r="I983" s="105"/>
      <c r="J983" s="105"/>
    </row>
    <row r="984">
      <c r="B984" s="20"/>
      <c r="D984" s="105"/>
      <c r="E984" s="105"/>
      <c r="G984" s="34"/>
      <c r="H984" s="105"/>
      <c r="I984" s="105"/>
      <c r="J984" s="105"/>
    </row>
    <row r="985">
      <c r="B985" s="20"/>
      <c r="D985" s="105"/>
      <c r="E985" s="105"/>
      <c r="G985" s="34"/>
      <c r="H985" s="105"/>
      <c r="I985" s="105"/>
      <c r="J985" s="105"/>
    </row>
    <row r="986">
      <c r="B986" s="20"/>
      <c r="D986" s="105"/>
      <c r="E986" s="105"/>
      <c r="G986" s="34"/>
      <c r="H986" s="105"/>
      <c r="I986" s="105"/>
      <c r="J986" s="105"/>
    </row>
    <row r="987">
      <c r="B987" s="20"/>
      <c r="D987" s="105"/>
      <c r="E987" s="105"/>
      <c r="G987" s="34"/>
      <c r="H987" s="105"/>
      <c r="I987" s="105"/>
      <c r="J987" s="105"/>
    </row>
  </sheetData>
  <autoFilter ref="$A$1:$U$987">
    <filterColumn colId="3">
      <filters blank="1">
        <filter val="3"/>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M43"/>
    <hyperlink r:id="rId59" ref="L45"/>
    <hyperlink r:id="rId60" ref="M45"/>
    <hyperlink r:id="rId61" ref="N45"/>
    <hyperlink r:id="rId62" ref="L48"/>
    <hyperlink r:id="rId63" ref="M48"/>
    <hyperlink r:id="rId64" ref="N48"/>
    <hyperlink r:id="rId65" ref="L52"/>
    <hyperlink r:id="rId66" ref="L53"/>
    <hyperlink r:id="rId67" ref="M53"/>
    <hyperlink r:id="rId68" ref="N53"/>
    <hyperlink r:id="rId69" ref="L57"/>
    <hyperlink r:id="rId70" ref="M57"/>
    <hyperlink r:id="rId71" ref="N57"/>
    <hyperlink r:id="rId72" ref="O57"/>
    <hyperlink r:id="rId73" ref="L58"/>
    <hyperlink r:id="rId74" ref="M58"/>
    <hyperlink r:id="rId75" ref="L59"/>
    <hyperlink r:id="rId76" ref="M59"/>
    <hyperlink r:id="rId77" ref="L64"/>
    <hyperlink r:id="rId78" ref="M64"/>
    <hyperlink r:id="rId79" ref="N64"/>
    <hyperlink r:id="rId80" ref="L66"/>
    <hyperlink r:id="rId81" ref="L70"/>
    <hyperlink r:id="rId82" ref="L71"/>
    <hyperlink r:id="rId83" ref="L73"/>
    <hyperlink r:id="rId84" ref="L75"/>
    <hyperlink r:id="rId85" ref="L79"/>
    <hyperlink r:id="rId86" ref="L81"/>
    <hyperlink r:id="rId87" ref="L82"/>
    <hyperlink r:id="rId88" ref="M82"/>
    <hyperlink r:id="rId89" ref="N82"/>
    <hyperlink r:id="rId90" ref="L83"/>
    <hyperlink r:id="rId91" ref="L84"/>
    <hyperlink r:id="rId92" ref="M84"/>
    <hyperlink r:id="rId93" ref="N84"/>
    <hyperlink r:id="rId94" ref="O84"/>
    <hyperlink r:id="rId95" ref="P84"/>
    <hyperlink r:id="rId96" ref="Q84"/>
    <hyperlink r:id="rId97" ref="R84"/>
    <hyperlink r:id="rId98" ref="L85"/>
    <hyperlink r:id="rId99" ref="M85"/>
    <hyperlink r:id="rId100" ref="N85"/>
    <hyperlink r:id="rId101" ref="O85"/>
    <hyperlink r:id="rId102" ref="P85"/>
    <hyperlink r:id="rId103" ref="Q85"/>
    <hyperlink r:id="rId104" ref="R85"/>
    <hyperlink r:id="rId105" ref="S85"/>
    <hyperlink r:id="rId106" ref="T85"/>
    <hyperlink r:id="rId107" ref="U85"/>
    <hyperlink r:id="rId108" ref="L86"/>
    <hyperlink r:id="rId109" ref="M86"/>
    <hyperlink r:id="rId110" ref="N86"/>
    <hyperlink r:id="rId111" ref="O86"/>
    <hyperlink r:id="rId112" ref="P86"/>
    <hyperlink r:id="rId113" ref="Q86"/>
    <hyperlink r:id="rId114" ref="R86"/>
    <hyperlink r:id="rId115" ref="S86"/>
    <hyperlink r:id="rId116" ref="T86"/>
    <hyperlink r:id="rId117" ref="U86"/>
    <hyperlink r:id="rId118" ref="L89"/>
    <hyperlink r:id="rId119" ref="M89"/>
    <hyperlink r:id="rId120" ref="N89"/>
    <hyperlink r:id="rId121" ref="O89"/>
    <hyperlink r:id="rId122" ref="P89"/>
    <hyperlink r:id="rId123" ref="Q89"/>
    <hyperlink r:id="rId124" ref="R89"/>
    <hyperlink r:id="rId125" ref="S89"/>
    <hyperlink r:id="rId126" ref="T89"/>
    <hyperlink r:id="rId127" ref="U89"/>
    <hyperlink r:id="rId128" ref="L90"/>
    <hyperlink r:id="rId129" ref="M90"/>
    <hyperlink r:id="rId130" ref="N90"/>
    <hyperlink r:id="rId131" ref="O90"/>
    <hyperlink r:id="rId132" ref="P90"/>
    <hyperlink r:id="rId133" ref="Q90"/>
    <hyperlink r:id="rId134" ref="R90"/>
    <hyperlink r:id="rId135" ref="S90"/>
    <hyperlink r:id="rId136" ref="T90"/>
    <hyperlink r:id="rId137" ref="U90"/>
    <hyperlink r:id="rId138" ref="L91"/>
    <hyperlink r:id="rId139" ref="M91"/>
    <hyperlink r:id="rId140" ref="N91"/>
    <hyperlink r:id="rId141" ref="O91"/>
    <hyperlink r:id="rId142" ref="P91"/>
    <hyperlink r:id="rId143" ref="Q91"/>
    <hyperlink r:id="rId144" ref="R91"/>
    <hyperlink r:id="rId145" ref="S91"/>
    <hyperlink r:id="rId146" ref="T91"/>
    <hyperlink r:id="rId147" ref="U91"/>
    <hyperlink r:id="rId148" ref="L92"/>
    <hyperlink r:id="rId149" ref="M92"/>
    <hyperlink r:id="rId150" ref="N92"/>
    <hyperlink r:id="rId151" ref="O92"/>
    <hyperlink r:id="rId152" ref="P92"/>
    <hyperlink r:id="rId153" ref="Q92"/>
    <hyperlink r:id="rId154" ref="R92"/>
    <hyperlink r:id="rId155" ref="S92"/>
    <hyperlink r:id="rId156" ref="T92"/>
    <hyperlink r:id="rId157" ref="U92"/>
    <hyperlink r:id="rId158" ref="L96"/>
    <hyperlink r:id="rId159" ref="M96"/>
    <hyperlink r:id="rId160" ref="N96"/>
    <hyperlink r:id="rId161" ref="O96"/>
    <hyperlink r:id="rId162" ref="P96"/>
    <hyperlink r:id="rId163" ref="Q96"/>
    <hyperlink r:id="rId164" ref="R96"/>
    <hyperlink r:id="rId165" ref="S96"/>
    <hyperlink r:id="rId166" ref="T96"/>
    <hyperlink r:id="rId167" ref="U96"/>
    <hyperlink r:id="rId168" ref="L97"/>
    <hyperlink r:id="rId169" ref="M97"/>
    <hyperlink r:id="rId170" ref="N97"/>
    <hyperlink r:id="rId171" ref="O97"/>
    <hyperlink r:id="rId172" ref="L98"/>
    <hyperlink r:id="rId173" ref="M98"/>
    <hyperlink r:id="rId174" ref="N98"/>
    <hyperlink r:id="rId175" ref="O98"/>
    <hyperlink r:id="rId176" ref="P98"/>
    <hyperlink r:id="rId177" ref="Q98"/>
    <hyperlink r:id="rId178" ref="R98"/>
    <hyperlink r:id="rId179" ref="S98"/>
    <hyperlink r:id="rId180" ref="T98"/>
    <hyperlink r:id="rId181" ref="U98"/>
    <hyperlink r:id="rId182" ref="L100"/>
    <hyperlink r:id="rId183" ref="M100"/>
    <hyperlink r:id="rId184" ref="N100"/>
    <hyperlink r:id="rId185" ref="O100"/>
    <hyperlink r:id="rId186" ref="P100"/>
    <hyperlink r:id="rId187" ref="Q100"/>
    <hyperlink r:id="rId188" ref="R100"/>
    <hyperlink r:id="rId189" ref="S100"/>
    <hyperlink r:id="rId190" ref="T100"/>
    <hyperlink r:id="rId191" ref="U100"/>
    <hyperlink r:id="rId192" ref="L107"/>
    <hyperlink r:id="rId193" ref="M107"/>
    <hyperlink r:id="rId194" ref="N107"/>
    <hyperlink r:id="rId195" ref="O107"/>
    <hyperlink r:id="rId196" ref="P107"/>
    <hyperlink r:id="rId197" ref="Q107"/>
    <hyperlink r:id="rId198" ref="R107"/>
    <hyperlink r:id="rId199" ref="S107"/>
    <hyperlink r:id="rId200" ref="T107"/>
    <hyperlink r:id="rId201" ref="U107"/>
    <hyperlink r:id="rId202" ref="L108"/>
    <hyperlink r:id="rId203" ref="M108"/>
    <hyperlink r:id="rId204" ref="N108"/>
    <hyperlink r:id="rId205" ref="O108"/>
    <hyperlink r:id="rId206" ref="P108"/>
    <hyperlink r:id="rId207" ref="Q108"/>
    <hyperlink r:id="rId208" ref="R108"/>
    <hyperlink r:id="rId209" ref="S108"/>
    <hyperlink r:id="rId210" ref="T108"/>
    <hyperlink r:id="rId211" ref="U108"/>
    <hyperlink r:id="rId212" ref="L110"/>
    <hyperlink r:id="rId213" ref="M110"/>
    <hyperlink r:id="rId214" ref="N110"/>
    <hyperlink r:id="rId215" ref="O110"/>
    <hyperlink r:id="rId216" ref="P110"/>
    <hyperlink r:id="rId217" ref="Q110"/>
    <hyperlink r:id="rId218" ref="R110"/>
    <hyperlink r:id="rId219" ref="S110"/>
    <hyperlink r:id="rId220" ref="T110"/>
    <hyperlink r:id="rId221" ref="U110"/>
    <hyperlink r:id="rId222" ref="L111"/>
    <hyperlink r:id="rId223" ref="M111"/>
    <hyperlink r:id="rId224" ref="N111"/>
    <hyperlink r:id="rId225" ref="O111"/>
    <hyperlink r:id="rId226" ref="P111"/>
    <hyperlink r:id="rId227" ref="Q111"/>
    <hyperlink r:id="rId228" ref="R111"/>
    <hyperlink r:id="rId229" ref="S111"/>
    <hyperlink r:id="rId230" ref="T111"/>
    <hyperlink r:id="rId231" ref="U111"/>
    <hyperlink r:id="rId232" ref="L114"/>
    <hyperlink r:id="rId233" ref="M114"/>
    <hyperlink r:id="rId234" ref="N114"/>
    <hyperlink r:id="rId235" ref="O114"/>
    <hyperlink r:id="rId236" ref="P114"/>
    <hyperlink r:id="rId237" ref="Q114"/>
    <hyperlink r:id="rId238" ref="R114"/>
    <hyperlink r:id="rId239" ref="S114"/>
    <hyperlink r:id="rId240" ref="T114"/>
    <hyperlink r:id="rId241" ref="U114"/>
    <hyperlink r:id="rId242" ref="L115"/>
    <hyperlink r:id="rId243" ref="M115"/>
    <hyperlink r:id="rId244" ref="N115"/>
    <hyperlink r:id="rId245" ref="O115"/>
    <hyperlink r:id="rId246" ref="P115"/>
    <hyperlink r:id="rId247" ref="Q115"/>
    <hyperlink r:id="rId248" ref="R115"/>
    <hyperlink r:id="rId249" ref="S115"/>
    <hyperlink r:id="rId250" ref="T115"/>
    <hyperlink r:id="rId251" ref="U115"/>
    <hyperlink r:id="rId252" ref="L116"/>
    <hyperlink r:id="rId253" ref="M116"/>
    <hyperlink r:id="rId254" ref="N116"/>
    <hyperlink r:id="rId255" ref="O116"/>
    <hyperlink r:id="rId256" ref="P116"/>
    <hyperlink r:id="rId257" ref="Q116"/>
    <hyperlink r:id="rId258" ref="R116"/>
    <hyperlink r:id="rId259" ref="S116"/>
    <hyperlink r:id="rId260" ref="T116"/>
    <hyperlink r:id="rId261" ref="U116"/>
    <hyperlink r:id="rId262" ref="L118"/>
    <hyperlink r:id="rId263" ref="M118"/>
    <hyperlink r:id="rId264" ref="N118"/>
    <hyperlink r:id="rId265" ref="O118"/>
    <hyperlink r:id="rId266" ref="P118"/>
    <hyperlink r:id="rId267" ref="Q118"/>
    <hyperlink r:id="rId268" ref="R118"/>
    <hyperlink r:id="rId269" ref="S118"/>
    <hyperlink r:id="rId270" ref="T118"/>
    <hyperlink r:id="rId271" ref="U118"/>
    <hyperlink r:id="rId272" ref="L122"/>
    <hyperlink r:id="rId273" ref="M122"/>
    <hyperlink r:id="rId274" ref="N122"/>
    <hyperlink r:id="rId275" ref="O122"/>
    <hyperlink r:id="rId276" ref="P122"/>
    <hyperlink r:id="rId277" ref="Q122"/>
    <hyperlink r:id="rId278" ref="R122"/>
    <hyperlink r:id="rId279" ref="S122"/>
    <hyperlink r:id="rId280" ref="T122"/>
    <hyperlink r:id="rId281" ref="U122"/>
    <hyperlink r:id="rId282" ref="L125"/>
    <hyperlink r:id="rId283" ref="M125"/>
    <hyperlink r:id="rId284" ref="N125"/>
    <hyperlink r:id="rId285" ref="O125"/>
    <hyperlink r:id="rId286" ref="P125"/>
    <hyperlink r:id="rId287" ref="Q125"/>
    <hyperlink r:id="rId288" ref="R125"/>
    <hyperlink r:id="rId289" ref="S125"/>
    <hyperlink r:id="rId290" ref="T125"/>
    <hyperlink r:id="rId291" ref="U125"/>
    <hyperlink r:id="rId292" ref="L128"/>
    <hyperlink r:id="rId293" ref="M128"/>
    <hyperlink r:id="rId294" ref="N128"/>
    <hyperlink r:id="rId295" ref="O128"/>
    <hyperlink r:id="rId296" ref="P128"/>
    <hyperlink r:id="rId297" ref="Q128"/>
    <hyperlink r:id="rId298" ref="L129"/>
    <hyperlink r:id="rId299" ref="M129"/>
    <hyperlink r:id="rId300" ref="N129"/>
    <hyperlink r:id="rId301" ref="O129"/>
    <hyperlink r:id="rId302" ref="P129"/>
    <hyperlink r:id="rId303" ref="Q129"/>
    <hyperlink r:id="rId304" ref="R129"/>
    <hyperlink r:id="rId305" ref="S129"/>
    <hyperlink r:id="rId306" ref="T129"/>
    <hyperlink r:id="rId307" ref="U129"/>
    <hyperlink r:id="rId308" ref="L130"/>
    <hyperlink r:id="rId309" ref="M130"/>
    <hyperlink r:id="rId310" ref="N130"/>
    <hyperlink r:id="rId311" ref="O130"/>
    <hyperlink r:id="rId312" ref="P130"/>
    <hyperlink r:id="rId313" ref="Q130"/>
    <hyperlink r:id="rId314" ref="L131"/>
    <hyperlink r:id="rId315" ref="M131"/>
    <hyperlink r:id="rId316" ref="N131"/>
    <hyperlink r:id="rId317" ref="O131"/>
    <hyperlink r:id="rId318" ref="P131"/>
    <hyperlink r:id="rId319" ref="Q131"/>
    <hyperlink r:id="rId320" ref="R131"/>
    <hyperlink r:id="rId321" ref="L132"/>
    <hyperlink r:id="rId322" ref="M132"/>
    <hyperlink r:id="rId323" ref="N132"/>
    <hyperlink r:id="rId324" ref="O132"/>
    <hyperlink r:id="rId325" ref="P132"/>
    <hyperlink r:id="rId326" ref="Q132"/>
    <hyperlink r:id="rId327" ref="R132"/>
    <hyperlink r:id="rId328" ref="S132"/>
    <hyperlink r:id="rId329" ref="T132"/>
    <hyperlink r:id="rId330" ref="U132"/>
    <hyperlink r:id="rId331" ref="L134"/>
    <hyperlink r:id="rId332" ref="M134"/>
    <hyperlink r:id="rId333" ref="N134"/>
    <hyperlink r:id="rId334" ref="O134"/>
    <hyperlink r:id="rId335" ref="P134"/>
    <hyperlink r:id="rId336" ref="Q134"/>
    <hyperlink r:id="rId337" ref="R134"/>
    <hyperlink r:id="rId338" ref="S134"/>
    <hyperlink r:id="rId339" ref="T134"/>
    <hyperlink r:id="rId340" ref="U134"/>
    <hyperlink r:id="rId341" ref="L137"/>
    <hyperlink r:id="rId342" ref="M137"/>
    <hyperlink r:id="rId343" ref="N137"/>
    <hyperlink r:id="rId344" ref="O137"/>
    <hyperlink r:id="rId345" ref="P137"/>
    <hyperlink r:id="rId346" ref="Q137"/>
    <hyperlink r:id="rId347" ref="R137"/>
    <hyperlink r:id="rId348" ref="S137"/>
    <hyperlink r:id="rId349" ref="T137"/>
    <hyperlink r:id="rId350" ref="U137"/>
    <hyperlink r:id="rId351" ref="L140"/>
    <hyperlink r:id="rId352" ref="M140"/>
    <hyperlink r:id="rId353" ref="N140"/>
    <hyperlink r:id="rId354" ref="O140"/>
    <hyperlink r:id="rId355" ref="P140"/>
    <hyperlink r:id="rId356" ref="Q140"/>
    <hyperlink r:id="rId357" ref="R140"/>
    <hyperlink r:id="rId358" ref="S140"/>
    <hyperlink r:id="rId359" ref="T140"/>
    <hyperlink r:id="rId360" ref="U140"/>
    <hyperlink r:id="rId361" ref="L142"/>
    <hyperlink r:id="rId362" ref="M142"/>
    <hyperlink r:id="rId363" ref="N142"/>
    <hyperlink r:id="rId364" ref="O142"/>
    <hyperlink r:id="rId365" ref="P142"/>
    <hyperlink r:id="rId366" ref="Q142"/>
    <hyperlink r:id="rId367" ref="R142"/>
    <hyperlink r:id="rId368" ref="L146"/>
    <hyperlink r:id="rId369" ref="M146"/>
    <hyperlink r:id="rId370" ref="N146"/>
    <hyperlink r:id="rId371" ref="O146"/>
    <hyperlink r:id="rId372" ref="P146"/>
    <hyperlink r:id="rId373" ref="Q146"/>
    <hyperlink r:id="rId374" ref="R146"/>
    <hyperlink r:id="rId375" ref="S146"/>
    <hyperlink r:id="rId376" ref="T146"/>
    <hyperlink r:id="rId377" ref="U146"/>
    <hyperlink r:id="rId378" ref="L148"/>
    <hyperlink r:id="rId379" ref="M148"/>
    <hyperlink r:id="rId380" ref="N148"/>
    <hyperlink r:id="rId381" ref="O148"/>
    <hyperlink r:id="rId382" ref="P148"/>
    <hyperlink r:id="rId383" ref="Q148"/>
    <hyperlink r:id="rId384" ref="R148"/>
    <hyperlink r:id="rId385" ref="S148"/>
    <hyperlink r:id="rId386" ref="T148"/>
    <hyperlink r:id="rId387" ref="U148"/>
    <hyperlink r:id="rId388" ref="L150"/>
    <hyperlink r:id="rId389" ref="M150"/>
    <hyperlink r:id="rId390" ref="N150"/>
    <hyperlink r:id="rId391" ref="O150"/>
    <hyperlink r:id="rId392" ref="P150"/>
    <hyperlink r:id="rId393" ref="Q150"/>
    <hyperlink r:id="rId394" ref="R150"/>
    <hyperlink r:id="rId395" ref="S150"/>
    <hyperlink r:id="rId396" ref="T150"/>
    <hyperlink r:id="rId397" ref="U150"/>
    <hyperlink r:id="rId398" ref="L151"/>
    <hyperlink r:id="rId399" ref="M151"/>
    <hyperlink r:id="rId400" ref="N151"/>
    <hyperlink r:id="rId401" ref="O151"/>
    <hyperlink r:id="rId402" ref="P151"/>
    <hyperlink r:id="rId403" ref="Q151"/>
    <hyperlink r:id="rId404" ref="R151"/>
    <hyperlink r:id="rId405" ref="S151"/>
    <hyperlink r:id="rId406" ref="T151"/>
    <hyperlink r:id="rId407" ref="U151"/>
    <hyperlink r:id="rId408" ref="L152"/>
    <hyperlink r:id="rId409" ref="M152"/>
    <hyperlink r:id="rId410" ref="N152"/>
    <hyperlink r:id="rId411" ref="O152"/>
    <hyperlink r:id="rId412" ref="P152"/>
    <hyperlink r:id="rId413" ref="L154"/>
    <hyperlink r:id="rId414" ref="M154"/>
    <hyperlink r:id="rId415" ref="N154"/>
    <hyperlink r:id="rId416" ref="O154"/>
    <hyperlink r:id="rId417" ref="P154"/>
    <hyperlink r:id="rId418" ref="Q154"/>
    <hyperlink r:id="rId419" ref="R154"/>
    <hyperlink r:id="rId420" ref="L155"/>
    <hyperlink r:id="rId421" ref="M155"/>
    <hyperlink r:id="rId422" ref="N155"/>
    <hyperlink r:id="rId423" ref="O155"/>
    <hyperlink r:id="rId424" ref="P155"/>
    <hyperlink r:id="rId425" ref="Q155"/>
    <hyperlink r:id="rId426" ref="R155"/>
    <hyperlink r:id="rId427" ref="S155"/>
    <hyperlink r:id="rId428" ref="T155"/>
    <hyperlink r:id="rId429" ref="L157"/>
    <hyperlink r:id="rId430" ref="M157"/>
    <hyperlink r:id="rId431" ref="N157"/>
    <hyperlink r:id="rId432" ref="O157"/>
    <hyperlink r:id="rId433" ref="P157"/>
    <hyperlink r:id="rId434" ref="Q157"/>
    <hyperlink r:id="rId435" ref="L158"/>
    <hyperlink r:id="rId436" ref="M158"/>
    <hyperlink r:id="rId437" ref="N158"/>
    <hyperlink r:id="rId438" ref="O158"/>
    <hyperlink r:id="rId439" ref="P158"/>
    <hyperlink r:id="rId440" ref="Q158"/>
    <hyperlink r:id="rId441" ref="R158"/>
    <hyperlink r:id="rId442" ref="L159"/>
    <hyperlink r:id="rId443" ref="M159"/>
    <hyperlink r:id="rId444" ref="N159"/>
    <hyperlink r:id="rId445" ref="O159"/>
    <hyperlink r:id="rId446" ref="L161"/>
    <hyperlink r:id="rId447" ref="M161"/>
    <hyperlink r:id="rId448" ref="N161"/>
    <hyperlink r:id="rId449" ref="O161"/>
    <hyperlink r:id="rId450" ref="P161"/>
    <hyperlink r:id="rId451" ref="Q161"/>
    <hyperlink r:id="rId452" ref="R161"/>
    <hyperlink r:id="rId453" ref="S161"/>
    <hyperlink r:id="rId454" ref="T161"/>
    <hyperlink r:id="rId455" ref="U161"/>
    <hyperlink r:id="rId456" ref="L162"/>
    <hyperlink r:id="rId457" ref="M162"/>
    <hyperlink r:id="rId458" ref="N162"/>
    <hyperlink r:id="rId459" ref="O162"/>
    <hyperlink r:id="rId460" ref="P162"/>
    <hyperlink r:id="rId461" ref="Q162"/>
    <hyperlink r:id="rId462" ref="R162"/>
    <hyperlink r:id="rId463" ref="S162"/>
    <hyperlink r:id="rId464" ref="L165"/>
    <hyperlink r:id="rId465" ref="M165"/>
    <hyperlink r:id="rId466" ref="N165"/>
    <hyperlink r:id="rId467" ref="O165"/>
    <hyperlink r:id="rId468" ref="P165"/>
    <hyperlink r:id="rId469" ref="Q165"/>
    <hyperlink r:id="rId470" ref="R165"/>
    <hyperlink r:id="rId471" ref="S165"/>
    <hyperlink r:id="rId472" ref="T165"/>
    <hyperlink r:id="rId473" ref="U165"/>
    <hyperlink r:id="rId474" ref="L166"/>
    <hyperlink r:id="rId475" ref="M166"/>
    <hyperlink r:id="rId476" ref="N166"/>
    <hyperlink r:id="rId477" ref="O166"/>
    <hyperlink r:id="rId478" ref="P166"/>
    <hyperlink r:id="rId479" ref="Q166"/>
    <hyperlink r:id="rId480" ref="R166"/>
    <hyperlink r:id="rId481" ref="S166"/>
    <hyperlink r:id="rId482" ref="T166"/>
    <hyperlink r:id="rId483" ref="U166"/>
    <hyperlink r:id="rId484" ref="L168"/>
    <hyperlink r:id="rId485" ref="M168"/>
    <hyperlink r:id="rId486" ref="N168"/>
    <hyperlink r:id="rId487" ref="O168"/>
    <hyperlink r:id="rId488" ref="P168"/>
    <hyperlink r:id="rId489" ref="Q168"/>
    <hyperlink r:id="rId490" ref="R168"/>
    <hyperlink r:id="rId491" ref="S168"/>
    <hyperlink r:id="rId492" ref="T168"/>
    <hyperlink r:id="rId493" ref="U168"/>
    <hyperlink r:id="rId494" ref="L169"/>
    <hyperlink r:id="rId495" ref="M169"/>
    <hyperlink r:id="rId496" ref="N169"/>
    <hyperlink r:id="rId497" ref="O169"/>
    <hyperlink r:id="rId498" ref="P169"/>
    <hyperlink r:id="rId499" ref="Q169"/>
    <hyperlink r:id="rId500" ref="R169"/>
    <hyperlink r:id="rId501" ref="S169"/>
    <hyperlink r:id="rId502" ref="L175"/>
    <hyperlink r:id="rId503" ref="M175"/>
    <hyperlink r:id="rId504" ref="N175"/>
    <hyperlink r:id="rId505" ref="O175"/>
    <hyperlink r:id="rId506" ref="P175"/>
    <hyperlink r:id="rId507" ref="Q175"/>
    <hyperlink r:id="rId508" ref="L177"/>
    <hyperlink r:id="rId509" ref="M177"/>
    <hyperlink r:id="rId510" ref="N177"/>
    <hyperlink r:id="rId511" ref="L179"/>
    <hyperlink r:id="rId512" ref="M179"/>
    <hyperlink r:id="rId513" ref="N179"/>
    <hyperlink r:id="rId514" ref="O179"/>
    <hyperlink r:id="rId515" ref="P179"/>
    <hyperlink r:id="rId516" ref="Q179"/>
    <hyperlink r:id="rId517" ref="R179"/>
    <hyperlink r:id="rId518" ref="S179"/>
    <hyperlink r:id="rId519" ref="T179"/>
    <hyperlink r:id="rId520" ref="U179"/>
    <hyperlink r:id="rId521" ref="L180"/>
    <hyperlink r:id="rId522" ref="M180"/>
    <hyperlink r:id="rId523" ref="N180"/>
    <hyperlink r:id="rId524" ref="O180"/>
    <hyperlink r:id="rId525" ref="P180"/>
    <hyperlink r:id="rId526" ref="Q180"/>
    <hyperlink r:id="rId527" ref="R180"/>
    <hyperlink r:id="rId528" ref="L182"/>
    <hyperlink r:id="rId529" ref="M182"/>
    <hyperlink r:id="rId530" ref="N182"/>
    <hyperlink r:id="rId531" ref="O182"/>
    <hyperlink r:id="rId532" ref="P182"/>
    <hyperlink r:id="rId533" ref="Q182"/>
    <hyperlink r:id="rId534" ref="R182"/>
    <hyperlink r:id="rId535" ref="L186"/>
    <hyperlink r:id="rId536" ref="M186"/>
    <hyperlink r:id="rId537" ref="N186"/>
    <hyperlink r:id="rId538" ref="O186"/>
    <hyperlink r:id="rId539" ref="P186"/>
    <hyperlink r:id="rId540" ref="Q186"/>
    <hyperlink r:id="rId541" ref="R186"/>
    <hyperlink r:id="rId542" ref="S186"/>
    <hyperlink r:id="rId543" ref="T186"/>
    <hyperlink r:id="rId544" ref="L188"/>
    <hyperlink r:id="rId545" ref="M188"/>
    <hyperlink r:id="rId546" ref="N188"/>
    <hyperlink r:id="rId547" ref="O188"/>
    <hyperlink r:id="rId548" ref="P188"/>
    <hyperlink r:id="rId549" ref="L189"/>
    <hyperlink r:id="rId550" ref="M189"/>
    <hyperlink r:id="rId551" ref="N189"/>
    <hyperlink r:id="rId552" ref="O189"/>
    <hyperlink r:id="rId553" ref="P189"/>
    <hyperlink r:id="rId554" ref="Q189"/>
    <hyperlink r:id="rId555" ref="R189"/>
    <hyperlink r:id="rId556" ref="L190"/>
    <hyperlink r:id="rId557" ref="M190"/>
    <hyperlink r:id="rId558" ref="N190"/>
    <hyperlink r:id="rId559" ref="O190"/>
    <hyperlink r:id="rId560" ref="P190"/>
    <hyperlink r:id="rId561" ref="L191"/>
    <hyperlink r:id="rId562" ref="M191"/>
    <hyperlink r:id="rId563" ref="N191"/>
    <hyperlink r:id="rId564" ref="O191"/>
    <hyperlink r:id="rId565" ref="P191"/>
    <hyperlink r:id="rId566" ref="Q191"/>
    <hyperlink r:id="rId567" ref="L194"/>
    <hyperlink r:id="rId568" ref="M194"/>
    <hyperlink r:id="rId569" ref="N194"/>
    <hyperlink r:id="rId570" ref="O194"/>
    <hyperlink r:id="rId571" ref="P194"/>
    <hyperlink r:id="rId572" ref="L196"/>
    <hyperlink r:id="rId573" ref="M196"/>
    <hyperlink r:id="rId574" ref="N196"/>
    <hyperlink r:id="rId575" ref="O196"/>
    <hyperlink r:id="rId576" ref="P196"/>
    <hyperlink r:id="rId577" ref="Q196"/>
    <hyperlink r:id="rId578" ref="R196"/>
    <hyperlink r:id="rId579" ref="L197"/>
    <hyperlink r:id="rId580" ref="M197"/>
    <hyperlink r:id="rId581" ref="N197"/>
    <hyperlink r:id="rId582" ref="O197"/>
    <hyperlink r:id="rId583" ref="P197"/>
    <hyperlink r:id="rId584" ref="L198"/>
    <hyperlink r:id="rId585" ref="M198"/>
    <hyperlink r:id="rId586" ref="L199"/>
    <hyperlink r:id="rId587" ref="M199"/>
    <hyperlink r:id="rId588" ref="N199"/>
    <hyperlink r:id="rId589" ref="O199"/>
    <hyperlink r:id="rId590" ref="P199"/>
    <hyperlink r:id="rId591" ref="Q199"/>
    <hyperlink r:id="rId592" ref="R199"/>
    <hyperlink r:id="rId593" ref="L200"/>
    <hyperlink r:id="rId594" ref="M200"/>
    <hyperlink r:id="rId595" ref="N200"/>
    <hyperlink r:id="rId596" ref="L203"/>
    <hyperlink r:id="rId597" ref="M203"/>
    <hyperlink r:id="rId598" ref="N203"/>
    <hyperlink r:id="rId599" ref="L205"/>
    <hyperlink r:id="rId600" ref="M205"/>
    <hyperlink r:id="rId601" ref="N205"/>
    <hyperlink r:id="rId602" ref="O205"/>
    <hyperlink r:id="rId603" ref="P205"/>
    <hyperlink r:id="rId604" ref="L208"/>
    <hyperlink r:id="rId605" ref="M208"/>
    <hyperlink r:id="rId606" ref="N208"/>
    <hyperlink r:id="rId607" ref="O208"/>
    <hyperlink r:id="rId608" ref="P208"/>
    <hyperlink r:id="rId609" ref="Q208"/>
    <hyperlink r:id="rId610" ref="R208"/>
    <hyperlink r:id="rId611" ref="S208"/>
    <hyperlink r:id="rId612" ref="L210"/>
    <hyperlink r:id="rId613" ref="M210"/>
    <hyperlink r:id="rId614" ref="N210"/>
    <hyperlink r:id="rId615" ref="O210"/>
    <hyperlink r:id="rId616" ref="P210"/>
    <hyperlink r:id="rId617" ref="Q210"/>
    <hyperlink r:id="rId618" ref="R210"/>
    <hyperlink r:id="rId619" ref="S210"/>
    <hyperlink r:id="rId620" ref="T210"/>
    <hyperlink r:id="rId621" ref="U210"/>
    <hyperlink r:id="rId622" ref="L212"/>
    <hyperlink r:id="rId623" ref="M212"/>
    <hyperlink r:id="rId624" ref="N212"/>
    <hyperlink r:id="rId625" ref="O212"/>
    <hyperlink r:id="rId626" ref="P212"/>
    <hyperlink r:id="rId627" ref="Q212"/>
    <hyperlink r:id="rId628" ref="R212"/>
    <hyperlink r:id="rId629" ref="S212"/>
    <hyperlink r:id="rId630" ref="T212"/>
    <hyperlink r:id="rId631" ref="L214"/>
    <hyperlink r:id="rId632" ref="M214"/>
    <hyperlink r:id="rId633" ref="N214"/>
    <hyperlink r:id="rId634" ref="O214"/>
    <hyperlink r:id="rId635" ref="P214"/>
    <hyperlink r:id="rId636" ref="Q214"/>
    <hyperlink r:id="rId637" ref="R214"/>
    <hyperlink r:id="rId638" ref="S214"/>
    <hyperlink r:id="rId639" ref="L219"/>
    <hyperlink r:id="rId640" ref="M219"/>
    <hyperlink r:id="rId641" ref="N219"/>
    <hyperlink r:id="rId642" ref="O219"/>
    <hyperlink r:id="rId643" ref="P219"/>
    <hyperlink r:id="rId644" ref="L220"/>
    <hyperlink r:id="rId645" ref="M220"/>
    <hyperlink r:id="rId646" ref="N220"/>
    <hyperlink r:id="rId647" ref="O220"/>
    <hyperlink r:id="rId648" ref="L221"/>
    <hyperlink r:id="rId649" ref="M221"/>
    <hyperlink r:id="rId650" ref="N221"/>
    <hyperlink r:id="rId651" ref="O221"/>
    <hyperlink r:id="rId652" ref="P221"/>
    <hyperlink r:id="rId653" ref="Q221"/>
    <hyperlink r:id="rId654" ref="R221"/>
    <hyperlink r:id="rId655" ref="S221"/>
    <hyperlink r:id="rId656" ref="T221"/>
    <hyperlink r:id="rId657" ref="L223"/>
    <hyperlink r:id="rId658" ref="M223"/>
    <hyperlink r:id="rId659" ref="N223"/>
    <hyperlink r:id="rId660" ref="O223"/>
    <hyperlink r:id="rId661" ref="P223"/>
    <hyperlink r:id="rId662" ref="Q223"/>
    <hyperlink r:id="rId663" ref="R223"/>
    <hyperlink r:id="rId664" ref="L224"/>
    <hyperlink r:id="rId665" ref="M224"/>
    <hyperlink r:id="rId666" ref="N224"/>
    <hyperlink r:id="rId667" ref="O224"/>
    <hyperlink r:id="rId668" ref="L229"/>
    <hyperlink r:id="rId669" ref="M229"/>
    <hyperlink r:id="rId670" ref="N229"/>
    <hyperlink r:id="rId671" ref="O229"/>
    <hyperlink r:id="rId672" ref="P229"/>
    <hyperlink r:id="rId673" ref="Q229"/>
    <hyperlink r:id="rId674" ref="L230"/>
    <hyperlink r:id="rId675" ref="M230"/>
    <hyperlink r:id="rId676" ref="N230"/>
    <hyperlink r:id="rId677" ref="O230"/>
    <hyperlink r:id="rId678" ref="P230"/>
    <hyperlink r:id="rId679" ref="Q230"/>
    <hyperlink r:id="rId680" ref="L231"/>
    <hyperlink r:id="rId681" ref="M231"/>
    <hyperlink r:id="rId682" ref="N231"/>
    <hyperlink r:id="rId683" ref="O231"/>
    <hyperlink r:id="rId684" ref="L232"/>
    <hyperlink r:id="rId685" ref="M232"/>
    <hyperlink r:id="rId686" ref="N232"/>
    <hyperlink r:id="rId687" ref="O232"/>
    <hyperlink r:id="rId688" ref="P232"/>
    <hyperlink r:id="rId689" ref="Q232"/>
    <hyperlink r:id="rId690" ref="R232"/>
    <hyperlink r:id="rId691" ref="L233"/>
    <hyperlink r:id="rId692" ref="M233"/>
    <hyperlink r:id="rId693" ref="N233"/>
    <hyperlink r:id="rId694" ref="O233"/>
    <hyperlink r:id="rId695" ref="P233"/>
    <hyperlink r:id="rId696" ref="Q233"/>
    <hyperlink r:id="rId697" ref="R233"/>
    <hyperlink r:id="rId698" ref="S233"/>
    <hyperlink r:id="rId699" ref="T233"/>
    <hyperlink r:id="rId700" ref="L234"/>
    <hyperlink r:id="rId701" ref="M234"/>
    <hyperlink r:id="rId702" ref="N234"/>
    <hyperlink r:id="rId703" ref="L237"/>
    <hyperlink r:id="rId704" ref="M237"/>
    <hyperlink r:id="rId705" ref="N237"/>
    <hyperlink r:id="rId706" ref="O237"/>
    <hyperlink r:id="rId707" ref="P237"/>
    <hyperlink r:id="rId708" ref="L241"/>
    <hyperlink r:id="rId709" ref="M241"/>
    <hyperlink r:id="rId710" ref="N241"/>
    <hyperlink r:id="rId711" ref="O241"/>
    <hyperlink r:id="rId712" ref="P241"/>
    <hyperlink r:id="rId713" ref="Q241"/>
    <hyperlink r:id="rId714" ref="R241"/>
    <hyperlink r:id="rId715" ref="L242"/>
    <hyperlink r:id="rId716" ref="M242"/>
    <hyperlink r:id="rId717" ref="N242"/>
    <hyperlink r:id="rId718" ref="O242"/>
    <hyperlink r:id="rId719" ref="P242"/>
    <hyperlink r:id="rId720" ref="Q242"/>
    <hyperlink r:id="rId721" ref="R242"/>
    <hyperlink r:id="rId722" ref="S242"/>
    <hyperlink r:id="rId723" ref="L243"/>
    <hyperlink r:id="rId724" ref="M243"/>
    <hyperlink r:id="rId725" ref="L245"/>
    <hyperlink r:id="rId726" ref="M245"/>
    <hyperlink r:id="rId727" ref="N245"/>
    <hyperlink r:id="rId728" ref="O245"/>
    <hyperlink r:id="rId729" ref="P245"/>
    <hyperlink r:id="rId730" ref="Q245"/>
    <hyperlink r:id="rId731" ref="L246"/>
    <hyperlink r:id="rId732" ref="M246"/>
    <hyperlink r:id="rId733" ref="N246"/>
    <hyperlink r:id="rId734" ref="L247"/>
    <hyperlink r:id="rId735" ref="M247"/>
    <hyperlink r:id="rId736" ref="N247"/>
    <hyperlink r:id="rId737" ref="O247"/>
    <hyperlink r:id="rId738" ref="L248"/>
    <hyperlink r:id="rId739" ref="M248"/>
    <hyperlink r:id="rId740" ref="N248"/>
    <hyperlink r:id="rId741" ref="O248"/>
    <hyperlink r:id="rId742" ref="P248"/>
    <hyperlink r:id="rId743" ref="L249"/>
    <hyperlink r:id="rId744" ref="M249"/>
    <hyperlink r:id="rId745" ref="N249"/>
    <hyperlink r:id="rId746" ref="O249"/>
    <hyperlink r:id="rId747" ref="P249"/>
    <hyperlink r:id="rId748" ref="L250"/>
    <hyperlink r:id="rId749" ref="M250"/>
    <hyperlink r:id="rId750" ref="N250"/>
    <hyperlink r:id="rId751" ref="O250"/>
    <hyperlink r:id="rId752" ref="P250"/>
    <hyperlink r:id="rId753" ref="L254"/>
    <hyperlink r:id="rId754" ref="M254"/>
    <hyperlink r:id="rId755" ref="N254"/>
    <hyperlink r:id="rId756" ref="O254"/>
    <hyperlink r:id="rId757" ref="P254"/>
    <hyperlink r:id="rId758" ref="L259"/>
    <hyperlink r:id="rId759" ref="M259"/>
    <hyperlink r:id="rId760" ref="N259"/>
    <hyperlink r:id="rId761" ref="O259"/>
    <hyperlink r:id="rId762" ref="P259"/>
    <hyperlink r:id="rId763" ref="L262"/>
    <hyperlink r:id="rId764" ref="M262"/>
    <hyperlink r:id="rId765" ref="N262"/>
    <hyperlink r:id="rId766" ref="O262"/>
    <hyperlink r:id="rId767" ref="P262"/>
    <hyperlink r:id="rId768" ref="L263"/>
    <hyperlink r:id="rId769" ref="M263"/>
    <hyperlink r:id="rId770" ref="N263"/>
    <hyperlink r:id="rId771" ref="O263"/>
    <hyperlink r:id="rId772" ref="P263"/>
    <hyperlink r:id="rId773" ref="L264"/>
    <hyperlink r:id="rId774" ref="M264"/>
    <hyperlink r:id="rId775" ref="N264"/>
    <hyperlink r:id="rId776" ref="O264"/>
    <hyperlink r:id="rId777" ref="P264"/>
    <hyperlink r:id="rId778" ref="Q264"/>
    <hyperlink r:id="rId779" ref="R264"/>
    <hyperlink r:id="rId780" ref="L266"/>
    <hyperlink r:id="rId781" ref="M266"/>
    <hyperlink r:id="rId782" ref="N266"/>
    <hyperlink r:id="rId783" ref="O266"/>
    <hyperlink r:id="rId784" ref="P266"/>
    <hyperlink r:id="rId785" ref="Q266"/>
    <hyperlink r:id="rId786" ref="R266"/>
    <hyperlink r:id="rId787" ref="L270"/>
    <hyperlink r:id="rId788" ref="M270"/>
    <hyperlink r:id="rId789" ref="N270"/>
    <hyperlink r:id="rId790" ref="O270"/>
    <hyperlink r:id="rId791" ref="P270"/>
    <hyperlink r:id="rId792" ref="Q270"/>
    <hyperlink r:id="rId793" ref="R270"/>
    <hyperlink r:id="rId794" ref="S270"/>
    <hyperlink r:id="rId795" ref="T270"/>
    <hyperlink r:id="rId796" ref="L273"/>
    <hyperlink r:id="rId797" ref="M273"/>
    <hyperlink r:id="rId798" ref="N273"/>
    <hyperlink r:id="rId799" ref="O273"/>
    <hyperlink r:id="rId800" ref="P273"/>
    <hyperlink r:id="rId801" ref="Q273"/>
    <hyperlink r:id="rId802" ref="L277"/>
    <hyperlink r:id="rId803" ref="M277"/>
    <hyperlink r:id="rId804" ref="N277"/>
    <hyperlink r:id="rId805" ref="O277"/>
    <hyperlink r:id="rId806" ref="L278"/>
    <hyperlink r:id="rId807" ref="M278"/>
    <hyperlink r:id="rId808" ref="N278"/>
    <hyperlink r:id="rId809" ref="L279"/>
    <hyperlink r:id="rId810" ref="M279"/>
    <hyperlink r:id="rId811" ref="L281"/>
    <hyperlink r:id="rId812" ref="M281"/>
    <hyperlink r:id="rId813" ref="N281"/>
    <hyperlink r:id="rId814" ref="L282"/>
    <hyperlink r:id="rId815" ref="M282"/>
    <hyperlink r:id="rId816" ref="N282"/>
    <hyperlink r:id="rId817" ref="O282"/>
    <hyperlink r:id="rId818" ref="P282"/>
    <hyperlink r:id="rId819" ref="Q282"/>
    <hyperlink r:id="rId820" ref="L284"/>
    <hyperlink r:id="rId821" ref="M284"/>
    <hyperlink r:id="rId822" ref="N284"/>
    <hyperlink r:id="rId823" ref="O284"/>
    <hyperlink r:id="rId824" ref="P284"/>
    <hyperlink r:id="rId825" ref="L294"/>
    <hyperlink r:id="rId826" ref="M294"/>
    <hyperlink r:id="rId827" ref="N294"/>
    <hyperlink r:id="rId828" ref="O294"/>
    <hyperlink r:id="rId829" ref="L296"/>
    <hyperlink r:id="rId830" ref="M296"/>
    <hyperlink r:id="rId831" ref="N296"/>
    <hyperlink r:id="rId832" ref="O296"/>
    <hyperlink r:id="rId833" ref="P296"/>
    <hyperlink r:id="rId834" ref="L298"/>
    <hyperlink r:id="rId835" ref="M298"/>
    <hyperlink r:id="rId836" ref="N298"/>
    <hyperlink r:id="rId837" ref="O298"/>
    <hyperlink r:id="rId838" ref="P298"/>
    <hyperlink r:id="rId839" ref="L299"/>
    <hyperlink r:id="rId840" ref="M299"/>
    <hyperlink r:id="rId841" ref="N299"/>
    <hyperlink r:id="rId842" ref="O299"/>
    <hyperlink r:id="rId843" ref="P299"/>
    <hyperlink r:id="rId844" ref="Q299"/>
    <hyperlink r:id="rId845" ref="R299"/>
    <hyperlink r:id="rId846" ref="L304"/>
    <hyperlink r:id="rId847" ref="M304"/>
    <hyperlink r:id="rId848" ref="N304"/>
    <hyperlink r:id="rId849" ref="L305"/>
    <hyperlink r:id="rId850" ref="M305"/>
    <hyperlink r:id="rId851" ref="N305"/>
    <hyperlink r:id="rId852" ref="L307"/>
    <hyperlink r:id="rId853" ref="M307"/>
    <hyperlink r:id="rId854" ref="N307"/>
    <hyperlink r:id="rId855" ref="O307"/>
    <hyperlink r:id="rId856" ref="P307"/>
    <hyperlink r:id="rId857" ref="Q307"/>
    <hyperlink r:id="rId858" ref="R307"/>
    <hyperlink r:id="rId859" ref="S307"/>
    <hyperlink r:id="rId860" ref="T307"/>
    <hyperlink r:id="rId861" ref="U307"/>
    <hyperlink r:id="rId862" ref="L308"/>
    <hyperlink r:id="rId863" ref="M308"/>
    <hyperlink r:id="rId864" ref="N308"/>
    <hyperlink r:id="rId865" ref="L311"/>
    <hyperlink r:id="rId866" ref="M311"/>
    <hyperlink r:id="rId867" ref="N311"/>
    <hyperlink r:id="rId868" ref="O311"/>
    <hyperlink r:id="rId869" ref="L312"/>
    <hyperlink r:id="rId870" ref="M312"/>
    <hyperlink r:id="rId871" ref="N312"/>
    <hyperlink r:id="rId872" ref="O312"/>
    <hyperlink r:id="rId873" ref="P312"/>
    <hyperlink r:id="rId874" ref="L313"/>
    <hyperlink r:id="rId875" ref="M313"/>
    <hyperlink r:id="rId876" ref="N313"/>
    <hyperlink r:id="rId877" ref="L314"/>
    <hyperlink r:id="rId878" ref="M314"/>
    <hyperlink r:id="rId879" ref="N314"/>
    <hyperlink r:id="rId880" ref="O314"/>
    <hyperlink r:id="rId881" ref="P314"/>
    <hyperlink r:id="rId882" ref="Q314"/>
    <hyperlink r:id="rId883" ref="R314"/>
    <hyperlink r:id="rId884" ref="S314"/>
    <hyperlink r:id="rId885" ref="T314"/>
    <hyperlink r:id="rId886" ref="U314"/>
    <hyperlink r:id="rId887" ref="L316"/>
    <hyperlink r:id="rId888" ref="M316"/>
    <hyperlink r:id="rId889" ref="N316"/>
    <hyperlink r:id="rId890" ref="O316"/>
    <hyperlink r:id="rId891" ref="P316"/>
    <hyperlink r:id="rId892" ref="Q316"/>
    <hyperlink r:id="rId893" ref="L322"/>
    <hyperlink r:id="rId894" ref="M322"/>
    <hyperlink r:id="rId895" ref="N322"/>
    <hyperlink r:id="rId896" ref="O322"/>
    <hyperlink r:id="rId897" ref="L323"/>
    <hyperlink r:id="rId898" ref="M323"/>
    <hyperlink r:id="rId899" ref="L324"/>
    <hyperlink r:id="rId900" ref="M324"/>
    <hyperlink r:id="rId901" ref="N324"/>
    <hyperlink r:id="rId902" ref="O324"/>
    <hyperlink r:id="rId903" ref="L326"/>
    <hyperlink r:id="rId904" ref="M326"/>
    <hyperlink r:id="rId905" ref="N326"/>
    <hyperlink r:id="rId906" ref="O326"/>
    <hyperlink r:id="rId907" ref="P326"/>
    <hyperlink r:id="rId908" ref="Q326"/>
    <hyperlink r:id="rId909" ref="L328"/>
    <hyperlink r:id="rId910" ref="M328"/>
    <hyperlink r:id="rId911" ref="N328"/>
    <hyperlink r:id="rId912" ref="O328"/>
    <hyperlink r:id="rId913" ref="P328"/>
    <hyperlink r:id="rId914" ref="Q328"/>
    <hyperlink r:id="rId915" ref="L329"/>
    <hyperlink r:id="rId916" ref="M329"/>
    <hyperlink r:id="rId917" ref="N329"/>
    <hyperlink r:id="rId918" ref="O329"/>
    <hyperlink r:id="rId919" ref="P329"/>
    <hyperlink r:id="rId920" ref="L330"/>
    <hyperlink r:id="rId921" ref="M330"/>
    <hyperlink r:id="rId922" ref="N330"/>
    <hyperlink r:id="rId923" ref="O330"/>
    <hyperlink r:id="rId924" ref="P330"/>
    <hyperlink r:id="rId925" ref="L335"/>
    <hyperlink r:id="rId926" ref="M335"/>
    <hyperlink r:id="rId927" ref="N335"/>
    <hyperlink r:id="rId928" ref="L339"/>
    <hyperlink r:id="rId929" ref="M339"/>
    <hyperlink r:id="rId930" ref="N339"/>
    <hyperlink r:id="rId931" ref="O339"/>
    <hyperlink r:id="rId932" ref="P339"/>
    <hyperlink r:id="rId933" ref="Q339"/>
    <hyperlink r:id="rId934" ref="R339"/>
    <hyperlink r:id="rId935" ref="S339"/>
    <hyperlink r:id="rId936" ref="L344"/>
    <hyperlink r:id="rId937" ref="M344"/>
    <hyperlink r:id="rId938" ref="N344"/>
    <hyperlink r:id="rId939" ref="O344"/>
    <hyperlink r:id="rId940" ref="P344"/>
    <hyperlink r:id="rId941" ref="Q344"/>
    <hyperlink r:id="rId942" ref="R344"/>
    <hyperlink r:id="rId943" ref="S344"/>
    <hyperlink r:id="rId944" ref="L346"/>
    <hyperlink r:id="rId945" ref="M346"/>
    <hyperlink r:id="rId946" ref="N346"/>
    <hyperlink r:id="rId947" ref="L347"/>
    <hyperlink r:id="rId948" ref="M347"/>
    <hyperlink r:id="rId949" ref="N347"/>
    <hyperlink r:id="rId950" ref="O347"/>
    <hyperlink r:id="rId951" ref="P347"/>
    <hyperlink r:id="rId952" ref="L348"/>
    <hyperlink r:id="rId953" ref="M348"/>
    <hyperlink r:id="rId954" ref="N348"/>
    <hyperlink r:id="rId955" ref="O348"/>
    <hyperlink r:id="rId956" ref="P348"/>
    <hyperlink r:id="rId957" ref="Q348"/>
    <hyperlink r:id="rId958" ref="R348"/>
    <hyperlink r:id="rId959" ref="L349"/>
    <hyperlink r:id="rId960" ref="M349"/>
    <hyperlink r:id="rId961" ref="N349"/>
    <hyperlink r:id="rId962" ref="O349"/>
    <hyperlink r:id="rId963" ref="P349"/>
    <hyperlink r:id="rId964" ref="Q349"/>
    <hyperlink r:id="rId965" ref="R349"/>
    <hyperlink r:id="rId966" ref="L350"/>
    <hyperlink r:id="rId967" ref="L351"/>
    <hyperlink r:id="rId968" ref="M351"/>
    <hyperlink r:id="rId969" ref="N351"/>
    <hyperlink r:id="rId970" ref="O351"/>
    <hyperlink r:id="rId971" ref="L352"/>
    <hyperlink r:id="rId972" ref="M352"/>
    <hyperlink r:id="rId973" ref="L353"/>
    <hyperlink r:id="rId974" ref="M353"/>
    <hyperlink r:id="rId975" ref="N353"/>
    <hyperlink r:id="rId976" ref="O353"/>
    <hyperlink r:id="rId977" ref="L354"/>
    <hyperlink r:id="rId978" ref="M354"/>
    <hyperlink r:id="rId979" ref="N354"/>
    <hyperlink r:id="rId980" ref="O354"/>
    <hyperlink r:id="rId981" ref="P354"/>
    <hyperlink r:id="rId982" ref="Q354"/>
    <hyperlink r:id="rId983" ref="L355"/>
    <hyperlink r:id="rId984" ref="M355"/>
    <hyperlink r:id="rId985" ref="N355"/>
    <hyperlink r:id="rId986" ref="L356"/>
    <hyperlink r:id="rId987" ref="M356"/>
    <hyperlink r:id="rId988" ref="L357"/>
    <hyperlink r:id="rId989" ref="M357"/>
    <hyperlink r:id="rId990" ref="N357"/>
    <hyperlink r:id="rId991" ref="O357"/>
    <hyperlink r:id="rId992" ref="L358"/>
    <hyperlink r:id="rId993" ref="M358"/>
    <hyperlink r:id="rId994" ref="N358"/>
    <hyperlink r:id="rId995" ref="O358"/>
    <hyperlink r:id="rId996" ref="P358"/>
    <hyperlink r:id="rId997" ref="Q358"/>
    <hyperlink r:id="rId998" ref="R358"/>
    <hyperlink r:id="rId999" ref="S358"/>
    <hyperlink r:id="rId1000" ref="T358"/>
    <hyperlink r:id="rId1001" ref="L359"/>
    <hyperlink r:id="rId1002" ref="M359"/>
    <hyperlink r:id="rId1003" ref="N359"/>
    <hyperlink r:id="rId1004" ref="O359"/>
    <hyperlink r:id="rId1005" ref="P359"/>
    <hyperlink r:id="rId1006" ref="Q359"/>
    <hyperlink r:id="rId1007" ref="L360"/>
    <hyperlink r:id="rId1008" ref="M360"/>
    <hyperlink r:id="rId1009" ref="N360"/>
    <hyperlink r:id="rId1010" ref="O360"/>
    <hyperlink r:id="rId1011" ref="P360"/>
    <hyperlink r:id="rId1012" ref="Q360"/>
    <hyperlink r:id="rId1013" ref="R360"/>
    <hyperlink r:id="rId1014" ref="S360"/>
    <hyperlink r:id="rId1015" ref="L361"/>
    <hyperlink r:id="rId1016" ref="M361"/>
    <hyperlink r:id="rId1017" ref="N361"/>
    <hyperlink r:id="rId1018" ref="O361"/>
    <hyperlink r:id="rId1019" ref="P361"/>
    <hyperlink r:id="rId1020" ref="L407"/>
    <hyperlink r:id="rId1021" ref="M407"/>
    <hyperlink r:id="rId1022" ref="N407"/>
    <hyperlink r:id="rId1023" ref="O407"/>
    <hyperlink r:id="rId1024" ref="L408"/>
    <hyperlink r:id="rId1025" ref="M408"/>
    <hyperlink r:id="rId1026" ref="N408"/>
    <hyperlink r:id="rId1027" ref="O408"/>
    <hyperlink r:id="rId1028" ref="P408"/>
    <hyperlink r:id="rId1029" ref="Q408"/>
    <hyperlink r:id="rId1030" ref="R408"/>
    <hyperlink r:id="rId1031" ref="S408"/>
    <hyperlink r:id="rId1032" ref="L409"/>
    <hyperlink r:id="rId1033" ref="M409"/>
    <hyperlink r:id="rId1034" ref="N409"/>
    <hyperlink r:id="rId1035" ref="L410"/>
    <hyperlink r:id="rId1036" ref="M410"/>
    <hyperlink r:id="rId1037" ref="N410"/>
    <hyperlink r:id="rId1038" ref="L411"/>
    <hyperlink r:id="rId1039" ref="M411"/>
    <hyperlink r:id="rId1040" ref="N411"/>
    <hyperlink r:id="rId1041" ref="O411"/>
    <hyperlink r:id="rId1042" ref="P411"/>
    <hyperlink r:id="rId1043" ref="L412"/>
    <hyperlink r:id="rId1044" ref="M412"/>
    <hyperlink r:id="rId1045" ref="N412"/>
    <hyperlink r:id="rId1046" ref="O412"/>
    <hyperlink r:id="rId1047" ref="P412"/>
    <hyperlink r:id="rId1048" ref="Q412"/>
    <hyperlink r:id="rId1049" ref="L413"/>
    <hyperlink r:id="rId1050" ref="M413"/>
    <hyperlink r:id="rId1051" ref="N413"/>
    <hyperlink r:id="rId1052" ref="O413"/>
    <hyperlink r:id="rId1053" ref="P413"/>
    <hyperlink r:id="rId1054" ref="Q413"/>
    <hyperlink r:id="rId1055" ref="R413"/>
    <hyperlink r:id="rId1056" ref="S413"/>
    <hyperlink r:id="rId1057" ref="T413"/>
    <hyperlink r:id="rId1058" ref="U413"/>
    <hyperlink r:id="rId1059" ref="L414"/>
    <hyperlink r:id="rId1060" ref="M414"/>
    <hyperlink r:id="rId1061" ref="N414"/>
    <hyperlink r:id="rId1062" ref="O414"/>
    <hyperlink r:id="rId1063" ref="P414"/>
    <hyperlink r:id="rId1064" ref="Q414"/>
    <hyperlink r:id="rId1065" ref="R414"/>
    <hyperlink r:id="rId1066" ref="S414"/>
    <hyperlink r:id="rId1067" ref="T414"/>
    <hyperlink r:id="rId1068" ref="L415"/>
    <hyperlink r:id="rId1069" ref="M415"/>
    <hyperlink r:id="rId1070" ref="N415"/>
    <hyperlink r:id="rId1071" ref="O415"/>
    <hyperlink r:id="rId1072" ref="P415"/>
    <hyperlink r:id="rId1073" ref="Q415"/>
    <hyperlink r:id="rId1074" ref="R415"/>
    <hyperlink r:id="rId1075" ref="L416"/>
    <hyperlink r:id="rId1076" ref="M416"/>
    <hyperlink r:id="rId1077" ref="N416"/>
    <hyperlink r:id="rId1078" ref="O416"/>
    <hyperlink r:id="rId1079" ref="P416"/>
    <hyperlink r:id="rId1080" ref="Q416"/>
    <hyperlink r:id="rId1081" ref="R416"/>
    <hyperlink r:id="rId1082" ref="S416"/>
    <hyperlink r:id="rId1083" ref="T416"/>
    <hyperlink r:id="rId1084" ref="U416"/>
    <hyperlink r:id="rId1085" ref="L417"/>
    <hyperlink r:id="rId1086" ref="M417"/>
    <hyperlink r:id="rId1087" ref="N417"/>
    <hyperlink r:id="rId1088" ref="O417"/>
    <hyperlink r:id="rId1089" ref="L418"/>
    <hyperlink r:id="rId1090" ref="M418"/>
    <hyperlink r:id="rId1091" ref="N418"/>
    <hyperlink r:id="rId1092" ref="O418"/>
    <hyperlink r:id="rId1093" ref="P418"/>
    <hyperlink r:id="rId1094" ref="Q418"/>
    <hyperlink r:id="rId1095" ref="R418"/>
    <hyperlink r:id="rId1096" ref="S418"/>
    <hyperlink r:id="rId1097" ref="L419"/>
    <hyperlink r:id="rId1098" ref="M419"/>
    <hyperlink r:id="rId1099" ref="N419"/>
    <hyperlink r:id="rId1100" ref="O419"/>
    <hyperlink r:id="rId1101" ref="P419"/>
    <hyperlink r:id="rId1102" ref="Q419"/>
    <hyperlink r:id="rId1103" ref="R419"/>
    <hyperlink r:id="rId1104" ref="S419"/>
    <hyperlink r:id="rId1105" ref="L420"/>
    <hyperlink r:id="rId1106" ref="M420"/>
    <hyperlink r:id="rId1107" ref="N420"/>
    <hyperlink r:id="rId1108" ref="O420"/>
    <hyperlink r:id="rId1109" ref="P420"/>
    <hyperlink r:id="rId1110" ref="Q420"/>
    <hyperlink r:id="rId1111" ref="R420"/>
    <hyperlink r:id="rId1112" ref="S420"/>
    <hyperlink r:id="rId1113" ref="T420"/>
    <hyperlink r:id="rId1114" ref="L421"/>
    <hyperlink r:id="rId1115" ref="N421"/>
    <hyperlink r:id="rId1116" ref="O421"/>
    <hyperlink r:id="rId1117" ref="P421"/>
    <hyperlink r:id="rId1118" ref="Q421"/>
    <hyperlink r:id="rId1119" ref="R421"/>
    <hyperlink r:id="rId1120" ref="S421"/>
    <hyperlink r:id="rId1121" ref="T421"/>
    <hyperlink r:id="rId1122" ref="L422"/>
    <hyperlink r:id="rId1123" ref="M422"/>
    <hyperlink r:id="rId1124" ref="N422"/>
    <hyperlink r:id="rId1125" ref="O422"/>
    <hyperlink r:id="rId1126" ref="P422"/>
    <hyperlink r:id="rId1127" ref="Q422"/>
    <hyperlink r:id="rId1128" ref="R422"/>
    <hyperlink r:id="rId1129" ref="S422"/>
    <hyperlink r:id="rId1130" ref="T422"/>
    <hyperlink r:id="rId1131" ref="L423"/>
    <hyperlink r:id="rId1132" ref="M423"/>
    <hyperlink r:id="rId1133" ref="N423"/>
    <hyperlink r:id="rId1134" ref="O423"/>
    <hyperlink r:id="rId1135" ref="P423"/>
    <hyperlink r:id="rId1136" ref="Q423"/>
    <hyperlink r:id="rId1137" ref="R423"/>
    <hyperlink r:id="rId1138" ref="L424"/>
    <hyperlink r:id="rId1139" ref="M424"/>
    <hyperlink r:id="rId1140" ref="N424"/>
    <hyperlink r:id="rId1141" ref="O424"/>
    <hyperlink r:id="rId1142" ref="P424"/>
    <hyperlink r:id="rId1143" ref="Q424"/>
    <hyperlink r:id="rId1144" ref="R424"/>
    <hyperlink r:id="rId1145" ref="S424"/>
    <hyperlink r:id="rId1146" ref="T424"/>
    <hyperlink r:id="rId1147" ref="L425"/>
    <hyperlink r:id="rId1148" ref="M425"/>
    <hyperlink r:id="rId1149" ref="N425"/>
    <hyperlink r:id="rId1150" ref="O425"/>
    <hyperlink r:id="rId1151" ref="L426"/>
    <hyperlink r:id="rId1152" ref="M426"/>
    <hyperlink r:id="rId1153" ref="N426"/>
    <hyperlink r:id="rId1154" ref="O426"/>
    <hyperlink r:id="rId1155" ref="P426"/>
    <hyperlink r:id="rId1156" ref="Q426"/>
    <hyperlink r:id="rId1157" ref="R426"/>
    <hyperlink r:id="rId1158" ref="L427"/>
    <hyperlink r:id="rId1159" ref="M427"/>
    <hyperlink r:id="rId1160" ref="N427"/>
    <hyperlink r:id="rId1161" ref="O427"/>
    <hyperlink r:id="rId1162" ref="P427"/>
    <hyperlink r:id="rId1163" ref="Q427"/>
    <hyperlink r:id="rId1164" ref="R427"/>
    <hyperlink r:id="rId1165" ref="S427"/>
    <hyperlink r:id="rId1166" ref="L428"/>
    <hyperlink r:id="rId1167" ref="M428"/>
    <hyperlink r:id="rId1168" ref="N428"/>
    <hyperlink r:id="rId1169" ref="L429"/>
    <hyperlink r:id="rId1170" ref="M429"/>
    <hyperlink r:id="rId1171" ref="N429"/>
    <hyperlink r:id="rId1172" ref="O429"/>
    <hyperlink r:id="rId1173" ref="P429"/>
    <hyperlink r:id="rId1174" ref="Q429"/>
    <hyperlink r:id="rId1175" ref="R429"/>
    <hyperlink r:id="rId1176" ref="L430"/>
    <hyperlink r:id="rId1177" ref="M430"/>
    <hyperlink r:id="rId1178" ref="N430"/>
    <hyperlink r:id="rId1179" ref="O430"/>
    <hyperlink r:id="rId1180" ref="P430"/>
    <hyperlink r:id="rId1181" ref="Q430"/>
    <hyperlink r:id="rId1182" ref="R430"/>
    <hyperlink r:id="rId1183" ref="S430"/>
    <hyperlink r:id="rId1184" ref="T430"/>
    <hyperlink r:id="rId1185" ref="U430"/>
    <hyperlink r:id="rId1186" ref="L431"/>
    <hyperlink r:id="rId1187" ref="M431"/>
    <hyperlink r:id="rId1188" ref="N431"/>
    <hyperlink r:id="rId1189" ref="O431"/>
    <hyperlink r:id="rId1190" ref="P431"/>
    <hyperlink r:id="rId1191" ref="L432"/>
    <hyperlink r:id="rId1192" ref="M432"/>
    <hyperlink r:id="rId1193" ref="N432"/>
    <hyperlink r:id="rId1194" ref="O432"/>
    <hyperlink r:id="rId1195" ref="P432"/>
    <hyperlink r:id="rId1196" ref="L433"/>
    <hyperlink r:id="rId1197" ref="M433"/>
    <hyperlink r:id="rId1198" ref="N433"/>
    <hyperlink r:id="rId1199" ref="O433"/>
    <hyperlink r:id="rId1200" ref="P433"/>
    <hyperlink r:id="rId1201" ref="Q433"/>
    <hyperlink r:id="rId1202" ref="R433"/>
    <hyperlink r:id="rId1203" ref="S433"/>
    <hyperlink r:id="rId1204" ref="L434"/>
    <hyperlink r:id="rId1205" ref="M434"/>
    <hyperlink r:id="rId1206" ref="N434"/>
    <hyperlink r:id="rId1207" ref="O434"/>
    <hyperlink r:id="rId1208" ref="L435"/>
    <hyperlink r:id="rId1209" ref="M435"/>
    <hyperlink r:id="rId1210" ref="N435"/>
    <hyperlink r:id="rId1211" ref="O435"/>
    <hyperlink r:id="rId1212" ref="P435"/>
    <hyperlink r:id="rId1213" ref="L436"/>
    <hyperlink r:id="rId1214" ref="M436"/>
    <hyperlink r:id="rId1215" ref="N436"/>
    <hyperlink r:id="rId1216" ref="O436"/>
    <hyperlink r:id="rId1217" ref="P436"/>
    <hyperlink r:id="rId1218" ref="L439"/>
    <hyperlink r:id="rId1219" ref="M439"/>
    <hyperlink r:id="rId1220" ref="L440"/>
    <hyperlink r:id="rId1221" ref="M440"/>
    <hyperlink r:id="rId1222" ref="L441"/>
    <hyperlink r:id="rId1223" ref="M441"/>
    <hyperlink r:id="rId1224" ref="L442"/>
    <hyperlink r:id="rId1225" ref="M442"/>
    <hyperlink r:id="rId1226" ref="L443"/>
    <hyperlink r:id="rId1227" ref="M443"/>
    <hyperlink r:id="rId1228" ref="L444"/>
    <hyperlink r:id="rId1229" ref="M444"/>
    <hyperlink r:id="rId1230" ref="N444"/>
    <hyperlink r:id="rId1231" ref="L445"/>
    <hyperlink r:id="rId1232" ref="M445"/>
    <hyperlink r:id="rId1233" ref="N445"/>
    <hyperlink r:id="rId1234" ref="L446"/>
    <hyperlink r:id="rId1235" ref="M446"/>
    <hyperlink r:id="rId1236" ref="N446"/>
    <hyperlink r:id="rId1237" ref="L447"/>
    <hyperlink r:id="rId1238" ref="M447"/>
    <hyperlink r:id="rId1239" ref="L448"/>
    <hyperlink r:id="rId1240" ref="M448"/>
    <hyperlink r:id="rId1241" ref="L449"/>
    <hyperlink r:id="rId1242" ref="M449"/>
    <hyperlink r:id="rId1243" ref="L450"/>
    <hyperlink r:id="rId1244" ref="M450"/>
    <hyperlink r:id="rId1245" ref="N450"/>
    <hyperlink r:id="rId1246" ref="O450"/>
    <hyperlink r:id="rId1247" ref="L451"/>
    <hyperlink r:id="rId1248" ref="M451"/>
    <hyperlink r:id="rId1249" ref="N451"/>
    <hyperlink r:id="rId1250" ref="L452"/>
    <hyperlink r:id="rId1251" ref="M452"/>
    <hyperlink r:id="rId1252" ref="N452"/>
    <hyperlink r:id="rId1253" ref="L453"/>
    <hyperlink r:id="rId1254" ref="M453"/>
    <hyperlink r:id="rId1255" ref="L454"/>
    <hyperlink r:id="rId1256" ref="M454"/>
    <hyperlink r:id="rId1257" ref="L455"/>
    <hyperlink r:id="rId1258" ref="M455"/>
    <hyperlink r:id="rId1259" ref="L456"/>
    <hyperlink r:id="rId1260" ref="M456"/>
    <hyperlink r:id="rId1261" ref="L457"/>
    <hyperlink r:id="rId1262" ref="M457"/>
    <hyperlink r:id="rId1263" ref="L458"/>
    <hyperlink r:id="rId1264" ref="M458"/>
    <hyperlink r:id="rId1265" ref="L459"/>
    <hyperlink r:id="rId1266" ref="M459"/>
    <hyperlink r:id="rId1267" ref="L460"/>
    <hyperlink r:id="rId1268" ref="M460"/>
    <hyperlink r:id="rId1269" ref="L461"/>
    <hyperlink r:id="rId1270" ref="M461"/>
    <hyperlink r:id="rId1271" ref="L462"/>
    <hyperlink r:id="rId1272" ref="M462"/>
    <hyperlink r:id="rId1273" ref="N462"/>
    <hyperlink r:id="rId1274" ref="L463"/>
    <hyperlink r:id="rId1275" ref="M463"/>
    <hyperlink r:id="rId1276" ref="N463"/>
    <hyperlink r:id="rId1277" ref="L464"/>
    <hyperlink r:id="rId1278" ref="M464"/>
    <hyperlink r:id="rId1279" ref="N464"/>
    <hyperlink r:id="rId1280" ref="O464"/>
    <hyperlink r:id="rId1281" ref="P464"/>
    <hyperlink r:id="rId1282" ref="Q464"/>
    <hyperlink r:id="rId1283" ref="R464"/>
  </hyperlinks>
  <drawing r:id="rId128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2952</v>
      </c>
    </row>
    <row r="2">
      <c r="A2" s="16" t="s">
        <v>2953</v>
      </c>
      <c r="B2" s="16" t="s">
        <v>2954</v>
      </c>
    </row>
    <row r="3">
      <c r="A3" s="16" t="s">
        <v>2955</v>
      </c>
      <c r="B3" s="16" t="s">
        <v>2956</v>
      </c>
    </row>
    <row r="4">
      <c r="A4" s="16" t="s">
        <v>2957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2958</v>
      </c>
      <c r="B1" s="113"/>
      <c r="C1" s="114" t="s">
        <v>2959</v>
      </c>
      <c r="D1" s="115" t="s">
        <v>2960</v>
      </c>
      <c r="E1" s="115" t="s">
        <v>28</v>
      </c>
      <c r="F1" s="115" t="s">
        <v>72</v>
      </c>
      <c r="G1" s="116" t="s">
        <v>34</v>
      </c>
      <c r="H1" s="28"/>
      <c r="I1" s="117" t="s">
        <v>2961</v>
      </c>
      <c r="J1" s="117" t="s">
        <v>2962</v>
      </c>
      <c r="K1" s="117" t="s">
        <v>2963</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2964</v>
      </c>
      <c r="B3" s="119"/>
      <c r="C3" s="120" t="s">
        <v>420</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1058</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2965</v>
      </c>
      <c r="B5" s="119"/>
      <c r="C5" s="128" t="s">
        <v>1562</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1948</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2966</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2967</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2968</v>
      </c>
      <c r="C9" s="132" t="s">
        <v>393</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2969</v>
      </c>
      <c r="C10" s="134" t="s">
        <v>1897</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2970</v>
      </c>
      <c r="C11" s="136" t="s">
        <v>895</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2971</v>
      </c>
      <c r="C12" s="134" t="s">
        <v>357</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2972</v>
      </c>
      <c r="C13" s="134" t="s">
        <v>972</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2973</v>
      </c>
      <c r="J13" s="138">
        <f>ROUND(AVERAGE('Extended Card Stats'!H:H),2)</f>
        <v>3.22</v>
      </c>
      <c r="K13" s="138">
        <f>ROUND(AVERAGE('Extended Card Stats'!K:K),2)</f>
        <v>2.84</v>
      </c>
    </row>
    <row r="14">
      <c r="B14" s="133" t="s">
        <v>2974</v>
      </c>
      <c r="C14" s="134" t="s">
        <v>319</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2975</v>
      </c>
      <c r="C15" s="134" t="s">
        <v>291</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2976</v>
      </c>
      <c r="C16" s="134" t="s">
        <v>1427</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2977</v>
      </c>
      <c r="C17" s="134" t="s">
        <v>918</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2978</v>
      </c>
      <c r="C18" s="140" t="s">
        <v>1487</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2979</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2980</v>
      </c>
      <c r="K20" s="147" t="s">
        <v>2981</v>
      </c>
      <c r="L20" s="148" t="s">
        <v>2982</v>
      </c>
      <c r="M20" s="149" t="s">
        <v>2983</v>
      </c>
      <c r="N20" s="150" t="s">
        <v>2984</v>
      </c>
      <c r="O20" s="151" t="s">
        <v>2985</v>
      </c>
      <c r="Q20" s="143" t="s">
        <v>2986</v>
      </c>
      <c r="R20" s="152" t="s">
        <v>28</v>
      </c>
      <c r="S20" s="152" t="s">
        <v>72</v>
      </c>
      <c r="T20" s="152" t="s">
        <v>34</v>
      </c>
      <c r="U20" s="153" t="s">
        <v>2987</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2988</v>
      </c>
      <c r="C24" s="152" t="s">
        <v>28</v>
      </c>
      <c r="D24" s="152" t="s">
        <v>72</v>
      </c>
      <c r="E24" s="152" t="s">
        <v>34</v>
      </c>
      <c r="F24" s="153" t="s">
        <v>2987</v>
      </c>
      <c r="G24" s="167" t="s">
        <v>2989</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2990</v>
      </c>
      <c r="B45" s="143" t="s">
        <v>2991</v>
      </c>
      <c r="C45" s="182" t="s">
        <v>2992</v>
      </c>
      <c r="D45" s="152" t="s">
        <v>28</v>
      </c>
      <c r="E45" s="152" t="s">
        <v>72</v>
      </c>
      <c r="F45" s="152" t="s">
        <v>34</v>
      </c>
      <c r="G45" s="152" t="s">
        <v>2987</v>
      </c>
      <c r="H45" s="167" t="s">
        <v>2989</v>
      </c>
    </row>
    <row r="46">
      <c r="A46" s="16" t="s">
        <v>2993</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2994</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2995</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2996</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2997</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2998</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2999</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3000</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3001</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3002</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3003</v>
      </c>
      <c r="B1" s="186" t="s">
        <v>3004</v>
      </c>
      <c r="C1" s="186" t="s">
        <v>3005</v>
      </c>
      <c r="D1" s="187" t="s">
        <v>3006</v>
      </c>
      <c r="E1" s="187" t="s">
        <v>3005</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3007</v>
      </c>
      <c r="E3" s="20">
        <v>30.0</v>
      </c>
    </row>
    <row r="4">
      <c r="A4" s="183"/>
      <c r="B4" s="188" t="str">
        <f>IFERROR(__xludf.DUMMYFUNCTION("""COMPUTED_VALUE"""),"Alabaster")</f>
        <v>Alabaster</v>
      </c>
      <c r="C4" s="188">
        <f t="shared" si="1"/>
        <v>1</v>
      </c>
      <c r="D4" s="20" t="s">
        <v>3008</v>
      </c>
      <c r="E4" s="20">
        <v>30.0</v>
      </c>
    </row>
    <row r="5">
      <c r="A5" s="183"/>
      <c r="B5" s="188" t="str">
        <f>IFERROR(__xludf.DUMMYFUNCTION("""COMPUTED_VALUE"""),"Exarch")</f>
        <v>Exarch</v>
      </c>
      <c r="C5" s="188">
        <f t="shared" si="1"/>
        <v>1</v>
      </c>
      <c r="D5" s="20" t="s">
        <v>2850</v>
      </c>
      <c r="E5" s="20">
        <v>9.0</v>
      </c>
    </row>
    <row r="6">
      <c r="A6" s="183"/>
      <c r="B6" s="188" t="str">
        <f>IFERROR(__xludf.DUMMYFUNCTION("""COMPUTED_VALUE"""),"Ascendant")</f>
        <v>Ascendant</v>
      </c>
      <c r="C6" s="188">
        <f t="shared" si="1"/>
        <v>1</v>
      </c>
      <c r="D6" s="20" t="s">
        <v>698</v>
      </c>
      <c r="E6" s="20">
        <v>7.0</v>
      </c>
    </row>
    <row r="7">
      <c r="A7" s="183" t="str">
        <f>IFERROR(__xludf.DUMMYFUNCTION("""COMPUTED_VALUE"""),"Alabaster")</f>
        <v>Alabaster</v>
      </c>
      <c r="B7" s="188" t="str">
        <f>IFERROR(__xludf.DUMMYFUNCTION("""COMPUTED_VALUE"""),"Faithweaver")</f>
        <v>Faithweaver</v>
      </c>
      <c r="C7" s="188">
        <f t="shared" si="1"/>
        <v>1</v>
      </c>
      <c r="D7" s="20" t="s">
        <v>435</v>
      </c>
      <c r="E7" s="20">
        <v>6.0</v>
      </c>
    </row>
    <row r="8">
      <c r="A8" s="183" t="str">
        <f>IFERROR(__xludf.DUMMYFUNCTION("""COMPUTED_VALUE"""),"Exarch")</f>
        <v>Exarch</v>
      </c>
      <c r="B8" s="188" t="str">
        <f>IFERROR(__xludf.DUMMYFUNCTION("""COMPUTED_VALUE"""),"Avenging")</f>
        <v>Avenging</v>
      </c>
      <c r="C8" s="188">
        <f t="shared" si="1"/>
        <v>1</v>
      </c>
      <c r="D8" s="20" t="s">
        <v>2970</v>
      </c>
      <c r="E8" s="20">
        <v>5.0</v>
      </c>
    </row>
    <row r="9">
      <c r="A9" s="183"/>
      <c r="B9" s="188" t="str">
        <f>IFERROR(__xludf.DUMMYFUNCTION("""COMPUTED_VALUE"""),"Force")</f>
        <v>Force</v>
      </c>
      <c r="C9" s="188">
        <f t="shared" si="1"/>
        <v>1</v>
      </c>
      <c r="D9" s="20" t="s">
        <v>2978</v>
      </c>
      <c r="E9" s="20">
        <v>5.0</v>
      </c>
    </row>
    <row r="10">
      <c r="A10" s="183"/>
      <c r="B10" s="188" t="str">
        <f>IFERROR(__xludf.DUMMYFUNCTION("""COMPUTED_VALUE"""),"Baby")</f>
        <v>Baby</v>
      </c>
      <c r="C10" s="188">
        <f t="shared" si="1"/>
        <v>1</v>
      </c>
      <c r="D10" s="20" t="s">
        <v>3009</v>
      </c>
      <c r="E10" s="20">
        <v>5.0</v>
      </c>
    </row>
    <row r="11">
      <c r="A11" s="183"/>
      <c r="B11" s="188" t="str">
        <f>IFERROR(__xludf.DUMMYFUNCTION("""COMPUTED_VALUE"""),"Lamassu")</f>
        <v>Lamassu</v>
      </c>
      <c r="C11" s="188">
        <f t="shared" si="1"/>
        <v>1</v>
      </c>
      <c r="D11" s="20" t="s">
        <v>3010</v>
      </c>
      <c r="E11" s="20">
        <v>4.0</v>
      </c>
    </row>
    <row r="12">
      <c r="A12" s="183" t="str">
        <f>IFERROR(__xludf.DUMMYFUNCTION("""COMPUTED_VALUE"""),"Ascendant")</f>
        <v>Ascendant</v>
      </c>
      <c r="B12" s="188" t="str">
        <f>IFERROR(__xludf.DUMMYFUNCTION("""COMPUTED_VALUE"""),"Blackmarble")</f>
        <v>Blackmarble</v>
      </c>
      <c r="C12" s="188">
        <f t="shared" si="1"/>
        <v>1</v>
      </c>
      <c r="D12" s="20" t="s">
        <v>3011</v>
      </c>
      <c r="E12" s="20">
        <v>4.0</v>
      </c>
    </row>
    <row r="13">
      <c r="A13" s="183" t="str">
        <f>IFERROR(__xludf.DUMMYFUNCTION("""COMPUTED_VALUE"""),"Faithweaver")</f>
        <v>Faithweaver</v>
      </c>
      <c r="B13" s="188" t="str">
        <f>IFERROR(__xludf.DUMMYFUNCTION("""COMPUTED_VALUE"""),"Gargoyle")</f>
        <v>Gargoyle</v>
      </c>
      <c r="C13" s="188">
        <f t="shared" si="1"/>
        <v>1</v>
      </c>
      <c r="D13" s="20" t="s">
        <v>2968</v>
      </c>
      <c r="E13" s="20">
        <v>4.0</v>
      </c>
    </row>
    <row r="14">
      <c r="A14" s="183"/>
      <c r="B14" s="188" t="str">
        <f>IFERROR(__xludf.DUMMYFUNCTION("""COMPUTED_VALUE"""),"Chronosand")</f>
        <v>Chronosand</v>
      </c>
      <c r="C14" s="188">
        <f t="shared" si="1"/>
        <v>1</v>
      </c>
      <c r="D14" s="20" t="s">
        <v>3012</v>
      </c>
      <c r="E14" s="20">
        <v>4.0</v>
      </c>
    </row>
    <row r="15">
      <c r="A15" s="183"/>
      <c r="B15" s="188" t="str">
        <f>IFERROR(__xludf.DUMMYFUNCTION("""COMPUTED_VALUE"""),"Sphinx")</f>
        <v>Sphinx</v>
      </c>
      <c r="C15" s="188">
        <f t="shared" si="1"/>
        <v>2</v>
      </c>
      <c r="D15" s="20" t="s">
        <v>2975</v>
      </c>
      <c r="E15" s="20">
        <v>4.0</v>
      </c>
    </row>
    <row r="16">
      <c r="A16" s="183"/>
      <c r="B16" s="188" t="str">
        <f>IFERROR(__xludf.DUMMYFUNCTION("""COMPUTED_VALUE"""),"Crusader")</f>
        <v>Crusader</v>
      </c>
      <c r="C16" s="188">
        <f t="shared" si="1"/>
        <v>7</v>
      </c>
      <c r="D16" s="20" t="s">
        <v>2974</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3013</v>
      </c>
      <c r="E18" s="20">
        <v>3.0</v>
      </c>
    </row>
    <row r="19">
      <c r="A19" s="183"/>
      <c r="B19" s="188" t="str">
        <f>IFERROR(__xludf.DUMMYFUNCTION("""COMPUTED_VALUE"""),"Desert")</f>
        <v>Desert</v>
      </c>
      <c r="C19" s="188">
        <f t="shared" si="1"/>
        <v>2</v>
      </c>
      <c r="D19" s="20" t="s">
        <v>3014</v>
      </c>
      <c r="E19" s="20">
        <v>3.0</v>
      </c>
    </row>
    <row r="20">
      <c r="A20" s="183"/>
      <c r="B20" s="188" t="str">
        <f>IFERROR(__xludf.DUMMYFUNCTION("""COMPUTED_VALUE"""),"Winds")</f>
        <v>Winds</v>
      </c>
      <c r="C20" s="188">
        <f t="shared" si="1"/>
        <v>1</v>
      </c>
      <c r="D20" s="20" t="s">
        <v>3015</v>
      </c>
      <c r="E20" s="20">
        <v>3.0</v>
      </c>
    </row>
    <row r="21">
      <c r="A21" s="183"/>
      <c r="B21" s="188" t="str">
        <f>IFERROR(__xludf.DUMMYFUNCTION("""COMPUTED_VALUE"""),"Cryptosphinx")</f>
        <v>Cryptosphinx</v>
      </c>
      <c r="C21" s="188">
        <f t="shared" si="1"/>
        <v>1</v>
      </c>
      <c r="D21" s="20" t="s">
        <v>3016</v>
      </c>
      <c r="E21" s="20">
        <v>3.0</v>
      </c>
    </row>
    <row r="22">
      <c r="A22" s="183" t="str">
        <f>IFERROR(__xludf.DUMMYFUNCTION("""COMPUTED_VALUE"""),"Baby")</f>
        <v>Baby</v>
      </c>
      <c r="B22" s="188" t="str">
        <f>IFERROR(__xludf.DUMMYFUNCTION("""COMPUTED_VALUE"""),"Damaged")</f>
        <v>Damaged</v>
      </c>
      <c r="C22" s="188">
        <f t="shared" si="1"/>
        <v>1</v>
      </c>
      <c r="D22" s="20" t="s">
        <v>3017</v>
      </c>
      <c r="E22" s="20">
        <v>3.0</v>
      </c>
    </row>
    <row r="23">
      <c r="A23" s="183" t="str">
        <f>IFERROR(__xludf.DUMMYFUNCTION("""COMPUTED_VALUE"""),"Lamassu")</f>
        <v>Lamassu</v>
      </c>
      <c r="B23" s="188" t="str">
        <f>IFERROR(__xludf.DUMMYFUNCTION("""COMPUTED_VALUE"""),"Automaton")</f>
        <v>Automaton</v>
      </c>
      <c r="C23" s="188">
        <f t="shared" si="1"/>
        <v>2</v>
      </c>
      <c r="D23" s="20" t="s">
        <v>3018</v>
      </c>
      <c r="E23" s="20">
        <v>3.0</v>
      </c>
    </row>
    <row r="24">
      <c r="A24" s="183"/>
      <c r="B24" s="188" t="str">
        <f>IFERROR(__xludf.DUMMYFUNCTION("""COMPUTED_VALUE"""),"Diviner")</f>
        <v>Diviner</v>
      </c>
      <c r="C24" s="188">
        <f t="shared" si="1"/>
        <v>2</v>
      </c>
      <c r="D24" s="20" t="s">
        <v>2977</v>
      </c>
      <c r="E24" s="20">
        <v>3.0</v>
      </c>
    </row>
    <row r="25">
      <c r="A25" s="183"/>
      <c r="B25" s="188" t="str">
        <f>IFERROR(__xludf.DUMMYFUNCTION("""COMPUTED_VALUE"""),"Fates")</f>
        <v>Fates</v>
      </c>
      <c r="C25" s="188">
        <f t="shared" si="1"/>
        <v>1</v>
      </c>
      <c r="D25" s="20" t="s">
        <v>3019</v>
      </c>
      <c r="E25" s="20">
        <v>3.0</v>
      </c>
    </row>
    <row r="26">
      <c r="A26" s="183"/>
      <c r="B26" s="188" t="str">
        <f>IFERROR(__xludf.DUMMYFUNCTION("""COMPUTED_VALUE"""),"Doma")</f>
        <v>Doma</v>
      </c>
      <c r="C26" s="188">
        <f t="shared" si="1"/>
        <v>1</v>
      </c>
      <c r="D26" s="20" t="s">
        <v>3020</v>
      </c>
      <c r="E26" s="20">
        <v>3.0</v>
      </c>
    </row>
    <row r="27">
      <c r="A27" s="183" t="str">
        <f>IFERROR(__xludf.DUMMYFUNCTION("""COMPUTED_VALUE"""),"Blackmarble")</f>
        <v>Blackmarble</v>
      </c>
      <c r="B27" s="188" t="str">
        <f>IFERROR(__xludf.DUMMYFUNCTION("""COMPUTED_VALUE"""),"Angel")</f>
        <v>Angel</v>
      </c>
      <c r="C27" s="188">
        <f t="shared" si="1"/>
        <v>3</v>
      </c>
      <c r="D27" s="20" t="s">
        <v>3021</v>
      </c>
      <c r="E27" s="20">
        <v>3.0</v>
      </c>
    </row>
    <row r="28">
      <c r="A28" s="183" t="str">
        <f>IFERROR(__xludf.DUMMYFUNCTION("""COMPUTED_VALUE"""),"Gargoyle")</f>
        <v>Gargoyle</v>
      </c>
      <c r="B28" s="188" t="str">
        <f>IFERROR(__xludf.DUMMYFUNCTION("""COMPUTED_VALUE"""),"Dove")</f>
        <v>Dove</v>
      </c>
      <c r="C28" s="188">
        <f t="shared" si="1"/>
        <v>1</v>
      </c>
      <c r="D28" s="20" t="s">
        <v>3022</v>
      </c>
      <c r="E28" s="20">
        <v>3.0</v>
      </c>
    </row>
    <row r="29">
      <c r="A29" s="183"/>
      <c r="B29" s="188" t="str">
        <f>IFERROR(__xludf.DUMMYFUNCTION("""COMPUTED_VALUE"""),"Serenity")</f>
        <v>Serenity</v>
      </c>
      <c r="C29" s="188">
        <f t="shared" si="1"/>
        <v>1</v>
      </c>
      <c r="D29" s="20" t="s">
        <v>3023</v>
      </c>
      <c r="E29" s="20">
        <v>3.0</v>
      </c>
    </row>
    <row r="30">
      <c r="A30" s="183"/>
      <c r="B30" s="188" t="str">
        <f>IFERROR(__xludf.DUMMYFUNCTION("""COMPUTED_VALUE"""),"Dream")</f>
        <v>Dream</v>
      </c>
      <c r="C30" s="188">
        <f t="shared" si="1"/>
        <v>1</v>
      </c>
      <c r="D30" s="20" t="s">
        <v>3024</v>
      </c>
      <c r="E30" s="20">
        <v>2.0</v>
      </c>
    </row>
    <row r="31">
      <c r="A31" s="183"/>
      <c r="B31" s="188" t="str">
        <f>IFERROR(__xludf.DUMMYFUNCTION("""COMPUTED_VALUE"""),"Traveler")</f>
        <v>Traveler</v>
      </c>
      <c r="C31" s="188">
        <f t="shared" si="1"/>
        <v>1</v>
      </c>
      <c r="D31" s="20" t="s">
        <v>3025</v>
      </c>
      <c r="E31" s="20">
        <v>2.0</v>
      </c>
    </row>
    <row r="32">
      <c r="A32" s="183" t="str">
        <f>IFERROR(__xludf.DUMMYFUNCTION("""COMPUTED_VALUE"""),"Chronosand")</f>
        <v>Chronosand</v>
      </c>
      <c r="B32" s="188" t="str">
        <f>IFERROR(__xludf.DUMMYFUNCTION("""COMPUTED_VALUE"""),"Embalmed")</f>
        <v>Embalmed</v>
      </c>
      <c r="C32" s="188">
        <f t="shared" si="1"/>
        <v>1</v>
      </c>
      <c r="D32" s="20" t="s">
        <v>3026</v>
      </c>
      <c r="E32" s="20">
        <v>2.0</v>
      </c>
    </row>
    <row r="33">
      <c r="A33" s="183" t="str">
        <f>IFERROR(__xludf.DUMMYFUNCTION("""COMPUTED_VALUE"""),"Sphinx")</f>
        <v>Sphinx</v>
      </c>
      <c r="B33" s="188" t="str">
        <f>IFERROR(__xludf.DUMMYFUNCTION("""COMPUTED_VALUE"""),"Apophis")</f>
        <v>Apophis</v>
      </c>
      <c r="C33" s="188">
        <f t="shared" si="1"/>
        <v>1</v>
      </c>
      <c r="D33" s="20" t="s">
        <v>3027</v>
      </c>
      <c r="E33" s="20">
        <v>2.0</v>
      </c>
    </row>
    <row r="34">
      <c r="A34" s="183"/>
      <c r="B34" s="188" t="str">
        <f>IFERROR(__xludf.DUMMYFUNCTION("""COMPUTED_VALUE"""),"Feline")</f>
        <v>Feline</v>
      </c>
      <c r="C34" s="188">
        <f t="shared" si="1"/>
        <v>1</v>
      </c>
      <c r="D34" s="20" t="s">
        <v>3028</v>
      </c>
      <c r="E34" s="20">
        <v>2.0</v>
      </c>
    </row>
    <row r="35">
      <c r="A35" s="183"/>
      <c r="B35" s="188" t="str">
        <f>IFERROR(__xludf.DUMMYFUNCTION("""COMPUTED_VALUE"""),"Ushabti")</f>
        <v>Ushabti</v>
      </c>
      <c r="C35" s="188">
        <f t="shared" si="1"/>
        <v>4</v>
      </c>
      <c r="D35" s="20" t="s">
        <v>3029</v>
      </c>
      <c r="E35" s="20">
        <v>2.0</v>
      </c>
    </row>
    <row r="36">
      <c r="A36" s="183"/>
      <c r="B36" s="188" t="str">
        <f>IFERROR(__xludf.DUMMYFUNCTION("""COMPUTED_VALUE"""),"Guardian")</f>
        <v>Guardian</v>
      </c>
      <c r="C36" s="188">
        <f t="shared" si="1"/>
        <v>4</v>
      </c>
      <c r="D36" s="20" t="s">
        <v>3030</v>
      </c>
      <c r="E36" s="20">
        <v>2.0</v>
      </c>
    </row>
    <row r="37">
      <c r="A37" s="183" t="str">
        <f>IFERROR(__xludf.DUMMYFUNCTION("""COMPUTED_VALUE"""),"Crusader")</f>
        <v>Crusader</v>
      </c>
      <c r="B37" s="188" t="str">
        <f>IFERROR(__xludf.DUMMYFUNCTION("""COMPUTED_VALUE"""),"Gates")</f>
        <v>Gates</v>
      </c>
      <c r="C37" s="188">
        <f t="shared" si="1"/>
        <v>1</v>
      </c>
      <c r="D37" s="20" t="s">
        <v>3031</v>
      </c>
      <c r="E37" s="20">
        <v>2.0</v>
      </c>
    </row>
    <row r="38">
      <c r="A38" s="183" t="str">
        <f>IFERROR(__xludf.DUMMYFUNCTION("""COMPUTED_VALUE"""),"of")</f>
        <v>of</v>
      </c>
      <c r="B38" s="188" t="str">
        <f>IFERROR(__xludf.DUMMYFUNCTION("""COMPUTED_VALUE"""),"Hallowed")</f>
        <v>Hallowed</v>
      </c>
      <c r="C38" s="188">
        <f t="shared" si="1"/>
        <v>1</v>
      </c>
      <c r="D38" s="20" t="s">
        <v>3032</v>
      </c>
      <c r="E38" s="20">
        <v>2.0</v>
      </c>
    </row>
    <row r="39">
      <c r="A39" s="183" t="str">
        <f>IFERROR(__xludf.DUMMYFUNCTION("""COMPUTED_VALUE"""),"the")</f>
        <v>the</v>
      </c>
      <c r="B39" s="188" t="str">
        <f>IFERROR(__xludf.DUMMYFUNCTION("""COMPUTED_VALUE"""),"Exorcist")</f>
        <v>Exorcist</v>
      </c>
      <c r="C39" s="188">
        <f t="shared" si="1"/>
        <v>1</v>
      </c>
      <c r="D39" s="20" t="s">
        <v>2464</v>
      </c>
      <c r="E39" s="20">
        <v>2.0</v>
      </c>
    </row>
    <row r="40">
      <c r="A40" s="183" t="str">
        <f>IFERROR(__xludf.DUMMYFUNCTION("""COMPUTED_VALUE"""),"Desert")</f>
        <v>Desert</v>
      </c>
      <c r="B40" s="188" t="str">
        <f>IFERROR(__xludf.DUMMYFUNCTION("""COMPUTED_VALUE"""),"Harmonic")</f>
        <v>Harmonic</v>
      </c>
      <c r="C40" s="188">
        <f t="shared" si="1"/>
        <v>1</v>
      </c>
      <c r="D40" s="20" t="s">
        <v>3033</v>
      </c>
      <c r="E40" s="20">
        <v>2.0</v>
      </c>
    </row>
    <row r="41">
      <c r="A41" s="183" t="str">
        <f>IFERROR(__xludf.DUMMYFUNCTION("""COMPUTED_VALUE"""),"Winds")</f>
        <v>Winds</v>
      </c>
      <c r="B41" s="188" t="str">
        <f>IFERROR(__xludf.DUMMYFUNCTION("""COMPUTED_VALUE"""),"Echo")</f>
        <v>Echo</v>
      </c>
      <c r="C41" s="188">
        <f t="shared" si="1"/>
        <v>2</v>
      </c>
      <c r="D41" s="20" t="s">
        <v>3034</v>
      </c>
      <c r="E41" s="20">
        <v>2.0</v>
      </c>
    </row>
    <row r="42">
      <c r="A42" s="183" t="str">
        <f>IFERROR(__xludf.DUMMYFUNCTION("""COMPUTED_VALUE"""),"Cryptosphinx")</f>
        <v>Cryptosphinx</v>
      </c>
      <c r="B42" s="188" t="str">
        <f>IFERROR(__xludf.DUMMYFUNCTION("""COMPUTED_VALUE"""),"Ibis")</f>
        <v>Ibis</v>
      </c>
      <c r="C42" s="188">
        <f t="shared" si="1"/>
        <v>1</v>
      </c>
      <c r="D42" s="20" t="s">
        <v>3035</v>
      </c>
      <c r="E42" s="20">
        <v>2.0</v>
      </c>
    </row>
    <row r="43">
      <c r="A43" s="183"/>
      <c r="B43" s="188" t="str">
        <f>IFERROR(__xludf.DUMMYFUNCTION("""COMPUTED_VALUE"""),"Herald")</f>
        <v>Herald</v>
      </c>
      <c r="C43" s="188">
        <f t="shared" si="1"/>
        <v>1</v>
      </c>
      <c r="D43" s="20" t="s">
        <v>3036</v>
      </c>
      <c r="E43" s="20">
        <v>2.0</v>
      </c>
    </row>
    <row r="44">
      <c r="A44" s="183"/>
      <c r="B44" s="188" t="str">
        <f>IFERROR(__xludf.DUMMYFUNCTION("""COMPUTED_VALUE"""),"Eternal")</f>
        <v>Eternal</v>
      </c>
      <c r="C44" s="188">
        <f t="shared" si="1"/>
        <v>1</v>
      </c>
      <c r="D44" s="20" t="s">
        <v>3037</v>
      </c>
      <c r="E44" s="20">
        <v>2.0</v>
      </c>
    </row>
    <row r="45">
      <c r="A45" s="183"/>
      <c r="B45" s="188" t="str">
        <f>IFERROR(__xludf.DUMMYFUNCTION("""COMPUTED_VALUE"""),"Grace")</f>
        <v>Grace</v>
      </c>
      <c r="C45" s="188">
        <f t="shared" si="1"/>
        <v>1</v>
      </c>
      <c r="D45" s="20" t="s">
        <v>3038</v>
      </c>
      <c r="E45" s="20">
        <v>2.0</v>
      </c>
    </row>
    <row r="46">
      <c r="A46" s="183"/>
      <c r="B46" s="188" t="str">
        <f>IFERROR(__xludf.DUMMYFUNCTION("""COMPUTED_VALUE"""),"Maze")</f>
        <v>Maze</v>
      </c>
      <c r="C46" s="188">
        <f t="shared" si="1"/>
        <v>1</v>
      </c>
      <c r="D46" s="20" t="s">
        <v>3039</v>
      </c>
      <c r="E46" s="20">
        <v>2.0</v>
      </c>
    </row>
    <row r="47">
      <c r="A47" s="183" t="str">
        <f>IFERROR(__xludf.DUMMYFUNCTION("""COMPUTED_VALUE"""),"Damaged")</f>
        <v>Damaged</v>
      </c>
      <c r="B47" s="188" t="str">
        <f>IFERROR(__xludf.DUMMYFUNCTION("""COMPUTED_VALUE"""),"Master")</f>
        <v>Master</v>
      </c>
      <c r="C47" s="188">
        <f t="shared" si="1"/>
        <v>3</v>
      </c>
      <c r="D47" s="20" t="s">
        <v>3040</v>
      </c>
      <c r="E47" s="20">
        <v>2.0</v>
      </c>
    </row>
    <row r="48">
      <c r="A48" s="183" t="str">
        <f>IFERROR(__xludf.DUMMYFUNCTION("""COMPUTED_VALUE"""),"Automaton")</f>
        <v>Automaton</v>
      </c>
      <c r="B48" s="188" t="str">
        <f>IFERROR(__xludf.DUMMYFUNCTION("""COMPUTED_VALUE"""),"Ivoryscar")</f>
        <v>Ivoryscar</v>
      </c>
      <c r="C48" s="188">
        <f t="shared" si="1"/>
        <v>4</v>
      </c>
      <c r="D48" s="20" t="s">
        <v>3041</v>
      </c>
      <c r="E48" s="20">
        <v>2.0</v>
      </c>
    </row>
    <row r="49">
      <c r="A49" s="183"/>
      <c r="B49" s="188" t="str">
        <f>IFERROR(__xludf.DUMMYFUNCTION("""COMPUTED_VALUE"""),"Cursewing")</f>
        <v>Cursewing</v>
      </c>
      <c r="C49" s="188">
        <f t="shared" si="1"/>
        <v>1</v>
      </c>
      <c r="D49" s="20" t="s">
        <v>3042</v>
      </c>
      <c r="E49" s="20">
        <v>2.0</v>
      </c>
    </row>
    <row r="50">
      <c r="A50" s="183"/>
      <c r="B50" s="188" t="str">
        <f>IFERROR(__xludf.DUMMYFUNCTION("""COMPUTED_VALUE"""),"Magistrate")</f>
        <v>Magistrate</v>
      </c>
      <c r="C50" s="188">
        <f t="shared" si="1"/>
        <v>1</v>
      </c>
      <c r="D50" s="20" t="s">
        <v>3043</v>
      </c>
      <c r="E50" s="20">
        <v>2.0</v>
      </c>
    </row>
    <row r="51">
      <c r="A51" s="183"/>
      <c r="B51" s="188" t="str">
        <f>IFERROR(__xludf.DUMMYFUNCTION("""COMPUTED_VALUE"""),"Kylix")</f>
        <v>Kylix</v>
      </c>
      <c r="C51" s="188">
        <f t="shared" si="1"/>
        <v>1</v>
      </c>
      <c r="D51" s="20" t="s">
        <v>3044</v>
      </c>
      <c r="E51" s="20">
        <v>2.0</v>
      </c>
    </row>
    <row r="52">
      <c r="A52" s="183" t="str">
        <f>IFERROR(__xludf.DUMMYFUNCTION("""COMPUTED_VALUE"""),"Diviner")</f>
        <v>Diviner</v>
      </c>
      <c r="B52" s="188" t="str">
        <f>IFERROR(__xludf.DUMMYFUNCTION("""COMPUTED_VALUE"""),"Excess")</f>
        <v>Excess</v>
      </c>
      <c r="C52" s="188">
        <f t="shared" si="1"/>
        <v>1</v>
      </c>
      <c r="D52" s="20" t="s">
        <v>3045</v>
      </c>
      <c r="E52" s="20">
        <v>2.0</v>
      </c>
    </row>
    <row r="53">
      <c r="A53" s="183" t="str">
        <f>IFERROR(__xludf.DUMMYFUNCTION("""COMPUTED_VALUE"""),"of")</f>
        <v>of</v>
      </c>
      <c r="B53" s="188" t="str">
        <f>IFERROR(__xludf.DUMMYFUNCTION("""COMPUTED_VALUE"""),"Mystic")</f>
        <v>Mystic</v>
      </c>
      <c r="C53" s="188">
        <f t="shared" si="1"/>
        <v>1</v>
      </c>
      <c r="D53" s="20" t="s">
        <v>3046</v>
      </c>
      <c r="E53" s="20">
        <v>2.0</v>
      </c>
    </row>
    <row r="54">
      <c r="A54" s="183" t="str">
        <f>IFERROR(__xludf.DUMMYFUNCTION("""COMPUTED_VALUE"""),"Fates")</f>
        <v>Fates</v>
      </c>
      <c r="B54" s="188" t="str">
        <f>IFERROR(__xludf.DUMMYFUNCTION("""COMPUTED_VALUE"""),"Puzzle")</f>
        <v>Puzzle</v>
      </c>
      <c r="C54" s="188">
        <f t="shared" si="1"/>
        <v>1</v>
      </c>
      <c r="D54" s="20" t="s">
        <v>3047</v>
      </c>
      <c r="E54" s="20">
        <v>2.0</v>
      </c>
    </row>
    <row r="55">
      <c r="A55" s="183"/>
      <c r="B55" s="188" t="str">
        <f>IFERROR(__xludf.DUMMYFUNCTION("""COMPUTED_VALUE"""),"Box")</f>
        <v>Box</v>
      </c>
      <c r="C55" s="188">
        <f t="shared" si="1"/>
        <v>1</v>
      </c>
      <c r="D55" s="20" t="s">
        <v>3048</v>
      </c>
      <c r="E55" s="20">
        <v>2.0</v>
      </c>
    </row>
    <row r="56">
      <c r="A56" s="183"/>
      <c r="B56" s="188" t="str">
        <f>IFERROR(__xludf.DUMMYFUNCTION("""COMPUTED_VALUE"""),"Monolith")</f>
        <v>Monolith</v>
      </c>
      <c r="C56" s="188">
        <f t="shared" si="1"/>
        <v>1</v>
      </c>
      <c r="D56" s="20" t="s">
        <v>3049</v>
      </c>
      <c r="E56" s="20">
        <v>2.0</v>
      </c>
    </row>
    <row r="57">
      <c r="A57" s="183" t="str">
        <f>IFERROR(__xludf.DUMMYFUNCTION("""COMPUTED_VALUE"""),"Doma")</f>
        <v>Doma</v>
      </c>
      <c r="B57" s="188" t="str">
        <f>IFERROR(__xludf.DUMMYFUNCTION("""COMPUTED_VALUE"""),"Meditation")</f>
        <v>Meditation</v>
      </c>
      <c r="C57" s="188">
        <f t="shared" si="1"/>
        <v>1</v>
      </c>
      <c r="D57" s="20" t="s">
        <v>3050</v>
      </c>
      <c r="E57" s="20">
        <v>2.0</v>
      </c>
    </row>
    <row r="58">
      <c r="A58" s="183" t="str">
        <f>IFERROR(__xludf.DUMMYFUNCTION("""COMPUTED_VALUE"""),"Angel")</f>
        <v>Angel</v>
      </c>
      <c r="B58" s="188" t="str">
        <f>IFERROR(__xludf.DUMMYFUNCTION("""COMPUTED_VALUE"""),"Oasis")</f>
        <v>Oasis</v>
      </c>
      <c r="C58" s="188">
        <f t="shared" si="1"/>
        <v>1</v>
      </c>
      <c r="D58" s="20" t="s">
        <v>2972</v>
      </c>
      <c r="E58" s="20">
        <v>2.0</v>
      </c>
    </row>
    <row r="59">
      <c r="A59" s="183"/>
      <c r="B59" s="188" t="str">
        <f>IFERROR(__xludf.DUMMYFUNCTION("""COMPUTED_VALUE"""),"Sprite")</f>
        <v>Sprite</v>
      </c>
      <c r="C59" s="188">
        <f t="shared" si="1"/>
        <v>4</v>
      </c>
      <c r="D59" s="20" t="s">
        <v>3051</v>
      </c>
      <c r="E59" s="20">
        <v>2.0</v>
      </c>
    </row>
    <row r="60">
      <c r="A60" s="183"/>
      <c r="B60" s="188" t="str">
        <f>IFERROR(__xludf.DUMMYFUNCTION("""COMPUTED_VALUE"""),"Pharaoh's")</f>
        <v>Pharaoh's</v>
      </c>
      <c r="C60" s="188">
        <f t="shared" si="1"/>
        <v>1</v>
      </c>
      <c r="D60" s="20" t="s">
        <v>3052</v>
      </c>
      <c r="E60" s="20">
        <v>2.0</v>
      </c>
    </row>
    <row r="61">
      <c r="A61" s="183"/>
      <c r="B61" s="188" t="str">
        <f>IFERROR(__xludf.DUMMYFUNCTION("""COMPUTED_VALUE"""),"Bodyguard")</f>
        <v>Bodyguard</v>
      </c>
      <c r="C61" s="188">
        <f t="shared" si="1"/>
        <v>1</v>
      </c>
      <c r="D61" s="20" t="s">
        <v>3053</v>
      </c>
      <c r="E61" s="20">
        <v>2.0</v>
      </c>
    </row>
    <row r="62">
      <c r="A62" s="183" t="str">
        <f>IFERROR(__xludf.DUMMYFUNCTION("""COMPUTED_VALUE"""),"Dove")</f>
        <v>Dove</v>
      </c>
      <c r="B62" s="188" t="str">
        <f>IFERROR(__xludf.DUMMYFUNCTION("""COMPUTED_VALUE"""),"Scripture")</f>
        <v>Scripture</v>
      </c>
      <c r="C62" s="188">
        <f t="shared" si="1"/>
        <v>1</v>
      </c>
      <c r="D62" s="20" t="s">
        <v>3054</v>
      </c>
      <c r="E62" s="20">
        <v>2.0</v>
      </c>
    </row>
    <row r="63">
      <c r="A63" s="183" t="str">
        <f>IFERROR(__xludf.DUMMYFUNCTION("""COMPUTED_VALUE"""),"of")</f>
        <v>of</v>
      </c>
      <c r="B63" s="188" t="str">
        <f>IFERROR(__xludf.DUMMYFUNCTION("""COMPUTED_VALUE"""),"Monkey")</f>
        <v>Monkey</v>
      </c>
      <c r="C63" s="188">
        <f t="shared" si="1"/>
        <v>1</v>
      </c>
      <c r="D63" s="20" t="s">
        <v>3055</v>
      </c>
      <c r="E63" s="20">
        <v>2.0</v>
      </c>
    </row>
    <row r="64">
      <c r="A64" s="183" t="str">
        <f>IFERROR(__xludf.DUMMYFUNCTION("""COMPUTED_VALUE"""),"Serenity")</f>
        <v>Serenity</v>
      </c>
      <c r="B64" s="188" t="str">
        <f>IFERROR(__xludf.DUMMYFUNCTION("""COMPUTED_VALUE"""),"Pyramidion")</f>
        <v>Pyramidion</v>
      </c>
      <c r="C64" s="188">
        <f t="shared" si="1"/>
        <v>1</v>
      </c>
      <c r="D64" s="20" t="s">
        <v>2976</v>
      </c>
      <c r="E64" s="20">
        <v>2.0</v>
      </c>
    </row>
    <row r="65">
      <c r="A65" s="183"/>
      <c r="B65" s="188" t="str">
        <f>IFERROR(__xludf.DUMMYFUNCTION("""COMPUTED_VALUE"""),"Sekhem")</f>
        <v>Sekhem</v>
      </c>
      <c r="C65" s="188">
        <f t="shared" si="1"/>
        <v>1</v>
      </c>
      <c r="D65" s="20" t="s">
        <v>3056</v>
      </c>
      <c r="E65" s="20">
        <v>2.0</v>
      </c>
    </row>
    <row r="66">
      <c r="A66" s="183"/>
      <c r="B66" s="188" t="str">
        <f>IFERROR(__xludf.DUMMYFUNCTION("""COMPUTED_VALUE"""),"Chariot")</f>
        <v>Chariot</v>
      </c>
      <c r="C66" s="188">
        <f t="shared" si="1"/>
        <v>1</v>
      </c>
      <c r="D66" s="20" t="s">
        <v>3057</v>
      </c>
      <c r="E66" s="20">
        <v>2.0</v>
      </c>
    </row>
    <row r="67">
      <c r="A67" s="183" t="str">
        <f>IFERROR(__xludf.DUMMYFUNCTION("""COMPUTED_VALUE"""),"Dream")</f>
        <v>Dream</v>
      </c>
      <c r="B67" s="188" t="str">
        <f>IFERROR(__xludf.DUMMYFUNCTION("""COMPUTED_VALUE"""),"Obsidian")</f>
        <v>Obsidian</v>
      </c>
      <c r="C67" s="188">
        <f t="shared" si="1"/>
        <v>1</v>
      </c>
      <c r="D67" s="20" t="s">
        <v>3058</v>
      </c>
      <c r="E67" s="20">
        <v>2.0</v>
      </c>
    </row>
    <row r="68">
      <c r="A68" s="183" t="str">
        <f>IFERROR(__xludf.DUMMYFUNCTION("""COMPUTED_VALUE"""),"Traveler")</f>
        <v>Traveler</v>
      </c>
      <c r="B68" s="188" t="str">
        <f>IFERROR(__xludf.DUMMYFUNCTION("""COMPUTED_VALUE"""),"Scarab")</f>
        <v>Scarab</v>
      </c>
      <c r="C68" s="188">
        <f t="shared" si="1"/>
        <v>2</v>
      </c>
      <c r="D68" s="20" t="s">
        <v>3059</v>
      </c>
      <c r="E68" s="20">
        <v>2.0</v>
      </c>
    </row>
    <row r="69">
      <c r="A69" s="183"/>
      <c r="B69" s="188" t="str">
        <f>IFERROR(__xludf.DUMMYFUNCTION("""COMPUTED_VALUE"""),"Solarsteel")</f>
        <v>Solarsteel</v>
      </c>
      <c r="C69" s="188">
        <f t="shared" si="1"/>
        <v>1</v>
      </c>
      <c r="D69" s="20" t="s">
        <v>3060</v>
      </c>
      <c r="E69" s="20">
        <v>2.0</v>
      </c>
    </row>
    <row r="70">
      <c r="A70" s="183"/>
      <c r="B70" s="188" t="str">
        <f>IFERROR(__xludf.DUMMYFUNCTION("""COMPUTED_VALUE"""),"Prodigy")</f>
        <v>Prodigy</v>
      </c>
      <c r="C70" s="188">
        <f t="shared" si="1"/>
        <v>1</v>
      </c>
      <c r="D70" s="20" t="s">
        <v>3061</v>
      </c>
      <c r="E70" s="20">
        <v>2.0</v>
      </c>
    </row>
    <row r="71">
      <c r="A71" s="183"/>
      <c r="B71" s="188" t="str">
        <f>IFERROR(__xludf.DUMMYFUNCTION("""COMPUTED_VALUE"""),"Starforger")</f>
        <v>Starforger</v>
      </c>
      <c r="C71" s="188">
        <f t="shared" si="1"/>
        <v>1</v>
      </c>
      <c r="D71" s="20" t="s">
        <v>3062</v>
      </c>
      <c r="E71" s="20">
        <v>2.0</v>
      </c>
    </row>
    <row r="72">
      <c r="A72" s="183" t="str">
        <f>IFERROR(__xludf.DUMMYFUNCTION("""COMPUTED_VALUE"""),"Embalmed")</f>
        <v>Embalmed</v>
      </c>
      <c r="B72" s="188" t="str">
        <f>IFERROR(__xludf.DUMMYFUNCTION("""COMPUTED_VALUE"""),"Swiftblade")</f>
        <v>Swiftblade</v>
      </c>
      <c r="C72" s="188">
        <f t="shared" si="1"/>
        <v>1</v>
      </c>
      <c r="D72" s="20" t="s">
        <v>3063</v>
      </c>
      <c r="E72" s="20">
        <v>2.0</v>
      </c>
    </row>
    <row r="73">
      <c r="A73" s="183" t="str">
        <f>IFERROR(__xludf.DUMMYFUNCTION("""COMPUTED_VALUE"""),"Apophis")</f>
        <v>Apophis</v>
      </c>
      <c r="B73" s="188" t="str">
        <f>IFERROR(__xludf.DUMMYFUNCTION("""COMPUTED_VALUE"""),"Revenger")</f>
        <v>Revenger</v>
      </c>
      <c r="C73" s="188">
        <f t="shared" si="1"/>
        <v>1</v>
      </c>
      <c r="D73" s="20" t="s">
        <v>3064</v>
      </c>
      <c r="E73" s="20">
        <v>2.0</v>
      </c>
    </row>
    <row r="74">
      <c r="A74" s="183"/>
      <c r="B74" s="188" t="str">
        <f>IFERROR(__xludf.DUMMYFUNCTION("""COMPUTED_VALUE"""),"The")</f>
        <v>The</v>
      </c>
      <c r="C74" s="188">
        <f t="shared" si="1"/>
        <v>30</v>
      </c>
      <c r="D74" s="20" t="s">
        <v>3065</v>
      </c>
      <c r="E74" s="20">
        <v>2.0</v>
      </c>
    </row>
    <row r="75">
      <c r="A75" s="183"/>
      <c r="B75" s="188" t="str">
        <f>IFERROR(__xludf.DUMMYFUNCTION("""COMPUTED_VALUE"""),"Kitty")</f>
        <v>Kitty</v>
      </c>
      <c r="C75" s="188">
        <f t="shared" si="1"/>
        <v>1</v>
      </c>
      <c r="D75" s="20" t="s">
        <v>3066</v>
      </c>
      <c r="E75" s="20">
        <v>2.0</v>
      </c>
    </row>
    <row r="76">
      <c r="A76" s="183"/>
      <c r="B76" s="188" t="str">
        <f>IFERROR(__xludf.DUMMYFUNCTION("""COMPUTED_VALUE"""),"Thamiel")</f>
        <v>Thamiel</v>
      </c>
      <c r="C76" s="188">
        <f t="shared" si="1"/>
        <v>1</v>
      </c>
      <c r="D76" s="20" t="s">
        <v>3067</v>
      </c>
      <c r="E76" s="20">
        <v>2.0</v>
      </c>
    </row>
    <row r="77">
      <c r="A77" s="183" t="str">
        <f>IFERROR(__xludf.DUMMYFUNCTION("""COMPUTED_VALUE"""),"Feline")</f>
        <v>Feline</v>
      </c>
      <c r="B77" s="188" t="str">
        <f>IFERROR(__xludf.DUMMYFUNCTION("""COMPUTED_VALUE"""),"Thunderswarm")</f>
        <v>Thunderswarm</v>
      </c>
      <c r="C77" s="188">
        <f t="shared" si="1"/>
        <v>4</v>
      </c>
      <c r="D77" s="20" t="s">
        <v>3068</v>
      </c>
      <c r="E77" s="20">
        <v>2.0</v>
      </c>
    </row>
    <row r="78">
      <c r="A78" s="183" t="str">
        <f>IFERROR(__xludf.DUMMYFUNCTION("""COMPUTED_VALUE"""),"Ushabti")</f>
        <v>Ushabti</v>
      </c>
      <c r="B78" s="188" t="str">
        <f>IFERROR(__xludf.DUMMYFUNCTION("""COMPUTED_VALUE"""),"Skirmisher")</f>
        <v>Skirmisher</v>
      </c>
      <c r="C78" s="188">
        <f t="shared" si="1"/>
        <v>1</v>
      </c>
      <c r="D78" s="20" t="s">
        <v>3069</v>
      </c>
      <c r="E78" s="20">
        <v>2.0</v>
      </c>
    </row>
    <row r="79">
      <c r="A79" s="183"/>
      <c r="B79" s="188" t="str">
        <f>IFERROR(__xludf.DUMMYFUNCTION("""COMPUTED_VALUE"""),"Tranquil")</f>
        <v>Tranquil</v>
      </c>
      <c r="C79" s="188">
        <f t="shared" si="1"/>
        <v>3</v>
      </c>
      <c r="D79" s="20" t="s">
        <v>3070</v>
      </c>
      <c r="E79" s="20">
        <v>2.0</v>
      </c>
    </row>
    <row r="80">
      <c r="A80" s="183"/>
      <c r="B80" s="188" t="str">
        <f>IFERROR(__xludf.DUMMYFUNCTION("""COMPUTED_VALUE"""),"Herd")</f>
        <v>Herd</v>
      </c>
      <c r="C80" s="188">
        <f t="shared" si="1"/>
        <v>3</v>
      </c>
      <c r="D80" s="20" t="s">
        <v>3071</v>
      </c>
      <c r="E80" s="20">
        <v>2.0</v>
      </c>
    </row>
    <row r="81">
      <c r="A81" s="183"/>
      <c r="B81" s="188" t="str">
        <f>IFERROR(__xludf.DUMMYFUNCTION("""COMPUTED_VALUE"""),"Gem")</f>
        <v>Gem</v>
      </c>
      <c r="C81" s="188">
        <f t="shared" si="1"/>
        <v>2</v>
      </c>
      <c r="D81" s="20" t="s">
        <v>3072</v>
      </c>
      <c r="E81" s="20">
        <v>2.0</v>
      </c>
    </row>
    <row r="82">
      <c r="A82" s="183" t="str">
        <f>IFERROR(__xludf.DUMMYFUNCTION("""COMPUTED_VALUE"""),"Guardian")</f>
        <v>Guardian</v>
      </c>
      <c r="B82" s="188" t="str">
        <f>IFERROR(__xludf.DUMMYFUNCTION("""COMPUTED_VALUE"""),"Titan")</f>
        <v>Titan</v>
      </c>
      <c r="C82" s="188">
        <f t="shared" si="1"/>
        <v>2</v>
      </c>
      <c r="D82" s="20" t="s">
        <v>3073</v>
      </c>
      <c r="E82" s="20">
        <v>2.0</v>
      </c>
    </row>
    <row r="83">
      <c r="A83" s="183" t="str">
        <f>IFERROR(__xludf.DUMMYFUNCTION("""COMPUTED_VALUE"""),"of")</f>
        <v>of</v>
      </c>
      <c r="B83" s="188" t="str">
        <f>IFERROR(__xludf.DUMMYFUNCTION("""COMPUTED_VALUE"""),"Towering")</f>
        <v>Towering</v>
      </c>
      <c r="C83" s="188">
        <f t="shared" si="1"/>
        <v>1</v>
      </c>
      <c r="D83" s="20" t="s">
        <v>3074</v>
      </c>
      <c r="E83" s="20">
        <v>2.0</v>
      </c>
    </row>
    <row r="84">
      <c r="A84" s="183" t="str">
        <f>IFERROR(__xludf.DUMMYFUNCTION("""COMPUTED_VALUE"""),"the")</f>
        <v>the</v>
      </c>
      <c r="B84" s="188" t="str">
        <f>IFERROR(__xludf.DUMMYFUNCTION("""COMPUTED_VALUE"""),"Obelisk")</f>
        <v>Obelisk</v>
      </c>
      <c r="C84" s="188">
        <f t="shared" si="1"/>
        <v>2</v>
      </c>
      <c r="D84" s="20" t="s">
        <v>3075</v>
      </c>
      <c r="E84" s="20">
        <v>2.0</v>
      </c>
    </row>
    <row r="85">
      <c r="A85" s="183" t="str">
        <f>IFERROR(__xludf.DUMMYFUNCTION("""COMPUTED_VALUE"""),"Gates")</f>
        <v>Gates</v>
      </c>
      <c r="B85" s="188" t="str">
        <f>IFERROR(__xludf.DUMMYFUNCTION("""COMPUTED_VALUE"""),"Xi")</f>
        <v>Xi</v>
      </c>
      <c r="C85" s="188">
        <f t="shared" si="1"/>
        <v>1</v>
      </c>
      <c r="D85" s="20" t="s">
        <v>3076</v>
      </c>
      <c r="E85" s="20">
        <v>2.0</v>
      </c>
    </row>
    <row r="86">
      <c r="A86" s="183"/>
      <c r="B86" s="188" t="str">
        <f>IFERROR(__xludf.DUMMYFUNCTION("""COMPUTED_VALUE"""),"Pegasus")</f>
        <v>Pegasus</v>
      </c>
      <c r="C86" s="188">
        <f t="shared" si="1"/>
        <v>2</v>
      </c>
      <c r="D86" s="20" t="s">
        <v>3077</v>
      </c>
      <c r="E86" s="20">
        <v>2.0</v>
      </c>
    </row>
    <row r="87">
      <c r="A87" s="183" t="str">
        <f>IFERROR(__xludf.DUMMYFUNCTION("""COMPUTED_VALUE"""),"Guardian")</f>
        <v>Guardian</v>
      </c>
      <c r="B87" s="188" t="str">
        <f>IFERROR(__xludf.DUMMYFUNCTION("""COMPUTED_VALUE"""),"Winged")</f>
        <v>Winged</v>
      </c>
      <c r="C87" s="188">
        <f t="shared" si="1"/>
        <v>1</v>
      </c>
      <c r="D87" s="20" t="s">
        <v>3078</v>
      </c>
      <c r="E87" s="20">
        <v>2.0</v>
      </c>
    </row>
    <row r="88">
      <c r="A88" s="183" t="str">
        <f>IFERROR(__xludf.DUMMYFUNCTION("""COMPUTED_VALUE"""),"Angel")</f>
        <v>Angel</v>
      </c>
      <c r="B88" s="188" t="str">
        <f>IFERROR(__xludf.DUMMYFUNCTION("""COMPUTED_VALUE"""),"Ghostfire")</f>
        <v>Ghostfire</v>
      </c>
      <c r="C88" s="188">
        <f t="shared" si="1"/>
        <v>1</v>
      </c>
      <c r="D88" s="20" t="s">
        <v>3079</v>
      </c>
      <c r="E88" s="20">
        <v>2.0</v>
      </c>
    </row>
    <row r="89">
      <c r="A89" s="183"/>
      <c r="B89" s="188" t="str">
        <f>IFERROR(__xludf.DUMMYFUNCTION("""COMPUTED_VALUE"""),"Basilisk")</f>
        <v>Basilisk</v>
      </c>
      <c r="C89" s="188">
        <f t="shared" si="1"/>
        <v>2</v>
      </c>
      <c r="D89" s="20" t="s">
        <v>3080</v>
      </c>
      <c r="E89" s="20">
        <v>2.0</v>
      </c>
    </row>
    <row r="90">
      <c r="A90" s="183"/>
      <c r="B90" s="188" t="str">
        <f>IFERROR(__xludf.DUMMYFUNCTION("""COMPUTED_VALUE"""),"Yellow")</f>
        <v>Yellow</v>
      </c>
      <c r="C90" s="188">
        <f t="shared" si="1"/>
        <v>2</v>
      </c>
      <c r="D90" s="20" t="s">
        <v>3081</v>
      </c>
      <c r="E90" s="20">
        <v>2.0</v>
      </c>
    </row>
    <row r="91">
      <c r="A91" s="183"/>
      <c r="B91" s="188" t="str">
        <f>IFERROR(__xludf.DUMMYFUNCTION("""COMPUTED_VALUE"""),"Young")</f>
        <v>Young</v>
      </c>
      <c r="C91" s="188">
        <f t="shared" si="1"/>
        <v>2</v>
      </c>
      <c r="D91" s="20" t="s">
        <v>3082</v>
      </c>
      <c r="E91" s="20">
        <v>2.0</v>
      </c>
    </row>
    <row r="92">
      <c r="A92" s="183" t="str">
        <f>IFERROR(__xludf.DUMMYFUNCTION("""COMPUTED_VALUE"""),"Hallowed")</f>
        <v>Hallowed</v>
      </c>
      <c r="B92" s="188" t="str">
        <f>IFERROR(__xludf.DUMMYFUNCTION("""COMPUTED_VALUE"""),"Monk")</f>
        <v>Monk</v>
      </c>
      <c r="C92" s="188">
        <f t="shared" si="1"/>
        <v>1</v>
      </c>
      <c r="D92" s="20" t="s">
        <v>3083</v>
      </c>
      <c r="E92" s="20">
        <v>2.0</v>
      </c>
    </row>
    <row r="93">
      <c r="A93" s="183" t="str">
        <f>IFERROR(__xludf.DUMMYFUNCTION("""COMPUTED_VALUE"""),"Exorcist")</f>
        <v>Exorcist</v>
      </c>
      <c r="B93" s="188" t="str">
        <f>IFERROR(__xludf.DUMMYFUNCTION("""COMPUTED_VALUE"""),"Cartouche")</f>
        <v>Cartouche</v>
      </c>
      <c r="C93" s="188">
        <f t="shared" si="1"/>
        <v>1</v>
      </c>
      <c r="D93" s="20" t="s">
        <v>3084</v>
      </c>
      <c r="E93" s="20">
        <v>2.0</v>
      </c>
    </row>
    <row r="94">
      <c r="A94" s="183"/>
      <c r="B94" s="188" t="str">
        <f>IFERROR(__xludf.DUMMYFUNCTION("""COMPUTED_VALUE"""),"Luster")</f>
        <v>Luster</v>
      </c>
      <c r="C94" s="188">
        <f t="shared" si="1"/>
        <v>1</v>
      </c>
      <c r="D94" s="20" t="s">
        <v>3085</v>
      </c>
      <c r="E94" s="20">
        <v>2.0</v>
      </c>
    </row>
    <row r="95">
      <c r="A95" s="183"/>
      <c r="B95" s="188" t="str">
        <f>IFERROR(__xludf.DUMMYFUNCTION("""COMPUTED_VALUE"""),"Golden")</f>
        <v>Golden</v>
      </c>
      <c r="C95" s="188">
        <f t="shared" si="1"/>
        <v>1</v>
      </c>
      <c r="D95" s="20" t="s">
        <v>3086</v>
      </c>
      <c r="E95" s="20">
        <v>2.0</v>
      </c>
    </row>
    <row r="96">
      <c r="A96" s="183"/>
      <c r="B96" s="188" t="str">
        <f>IFERROR(__xludf.DUMMYFUNCTION("""COMPUTED_VALUE"""),"Phoenix")</f>
        <v>Phoenix</v>
      </c>
      <c r="C96" s="188">
        <f t="shared" si="1"/>
        <v>1</v>
      </c>
      <c r="D96" s="20" t="s">
        <v>2858</v>
      </c>
      <c r="E96" s="20">
        <v>2.0</v>
      </c>
    </row>
    <row r="97">
      <c r="A97" s="183" t="str">
        <f>IFERROR(__xludf.DUMMYFUNCTION("""COMPUTED_VALUE"""),"Harmonic")</f>
        <v>Harmonic</v>
      </c>
      <c r="B97" s="188" t="str">
        <f>IFERROR(__xludf.DUMMYFUNCTION("""COMPUTED_VALUE"""),"Hailstorm")</f>
        <v>Hailstorm</v>
      </c>
      <c r="C97" s="188">
        <f t="shared" si="1"/>
        <v>1</v>
      </c>
      <c r="D97" s="20" t="s">
        <v>3087</v>
      </c>
      <c r="E97" s="20">
        <v>2.0</v>
      </c>
    </row>
    <row r="98">
      <c r="A98" s="183" t="str">
        <f>IFERROR(__xludf.DUMMYFUNCTION("""COMPUTED_VALUE"""),"Echo")</f>
        <v>Echo</v>
      </c>
      <c r="B98" s="188" t="str">
        <f>IFERROR(__xludf.DUMMYFUNCTION("""COMPUTED_VALUE"""),"Seraph")</f>
        <v>Seraph</v>
      </c>
      <c r="C98" s="188">
        <f t="shared" si="1"/>
        <v>1</v>
      </c>
      <c r="D98" s="20" t="s">
        <v>3088</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3089</v>
      </c>
      <c r="E100" s="20">
        <v>1.0</v>
      </c>
    </row>
    <row r="101">
      <c r="A101" s="183"/>
      <c r="B101" s="188" t="str">
        <f>IFERROR(__xludf.DUMMYFUNCTION("""COMPUTED_VALUE"""),"Wrath")</f>
        <v>Wrath</v>
      </c>
      <c r="C101" s="188">
        <f t="shared" si="1"/>
        <v>1</v>
      </c>
      <c r="D101" s="20" t="s">
        <v>3090</v>
      </c>
      <c r="E101" s="20">
        <v>1.0</v>
      </c>
    </row>
    <row r="102">
      <c r="A102" s="183" t="str">
        <f>IFERROR(__xludf.DUMMYFUNCTION("""COMPUTED_VALUE"""),"Ibis")</f>
        <v>Ibis</v>
      </c>
      <c r="B102" s="188" t="str">
        <f>IFERROR(__xludf.DUMMYFUNCTION("""COMPUTED_VALUE"""),"Pharaoh")</f>
        <v>Pharaoh</v>
      </c>
      <c r="C102" s="188">
        <f t="shared" si="1"/>
        <v>1</v>
      </c>
      <c r="D102" s="20" t="s">
        <v>3091</v>
      </c>
      <c r="E102" s="20">
        <v>1.0</v>
      </c>
    </row>
    <row r="103">
      <c r="A103" s="183" t="str">
        <f>IFERROR(__xludf.DUMMYFUNCTION("""COMPUTED_VALUE"""),"Ushabti")</f>
        <v>Ushabti</v>
      </c>
      <c r="B103" s="188" t="str">
        <f>IFERROR(__xludf.DUMMYFUNCTION("""COMPUTED_VALUE"""),"Bringer")</f>
        <v>Bringer</v>
      </c>
      <c r="C103" s="188">
        <f t="shared" si="1"/>
        <v>3</v>
      </c>
      <c r="D103" s="20" t="s">
        <v>3092</v>
      </c>
      <c r="E103" s="20">
        <v>1.0</v>
      </c>
    </row>
    <row r="104">
      <c r="A104" s="183"/>
      <c r="B104" s="188" t="str">
        <f>IFERROR(__xludf.DUMMYFUNCTION("""COMPUTED_VALUE"""),"Good")</f>
        <v>Good</v>
      </c>
      <c r="C104" s="188">
        <f t="shared" si="1"/>
        <v>1</v>
      </c>
      <c r="D104" s="20" t="s">
        <v>3093</v>
      </c>
      <c r="E104" s="20">
        <v>1.0</v>
      </c>
    </row>
    <row r="105">
      <c r="A105" s="183"/>
      <c r="B105" s="188" t="str">
        <f>IFERROR(__xludf.DUMMYFUNCTION("""COMPUTED_VALUE"""),"News")</f>
        <v>News</v>
      </c>
      <c r="C105" s="188">
        <f t="shared" si="1"/>
        <v>1</v>
      </c>
      <c r="D105" s="20" t="s">
        <v>3094</v>
      </c>
      <c r="E105" s="20">
        <v>1.0</v>
      </c>
    </row>
    <row r="106">
      <c r="A106" s="183"/>
      <c r="B106" s="188" t="str">
        <f>IFERROR(__xludf.DUMMYFUNCTION("""COMPUTED_VALUE"""),"Lightning")</f>
        <v>Lightning</v>
      </c>
      <c r="C106" s="188">
        <f t="shared" si="1"/>
        <v>2</v>
      </c>
      <c r="D106" s="20" t="s">
        <v>3095</v>
      </c>
      <c r="E106" s="20">
        <v>1.0</v>
      </c>
    </row>
    <row r="107">
      <c r="A107" s="183" t="str">
        <f>IFERROR(__xludf.DUMMYFUNCTION("""COMPUTED_VALUE"""),"Herald")</f>
        <v>Herald</v>
      </c>
      <c r="B107" s="188" t="str">
        <f>IFERROR(__xludf.DUMMYFUNCTION("""COMPUTED_VALUE"""),"Rider")</f>
        <v>Rider</v>
      </c>
      <c r="C107" s="188">
        <f t="shared" si="1"/>
        <v>2</v>
      </c>
      <c r="D107" s="20" t="s">
        <v>3096</v>
      </c>
      <c r="E107" s="20">
        <v>1.0</v>
      </c>
    </row>
    <row r="108">
      <c r="A108" s="183" t="str">
        <f>IFERROR(__xludf.DUMMYFUNCTION("""COMPUTED_VALUE"""),"of")</f>
        <v>of</v>
      </c>
      <c r="B108" s="188" t="str">
        <f>IFERROR(__xludf.DUMMYFUNCTION("""COMPUTED_VALUE"""),"Desertwind")</f>
        <v>Desertwind</v>
      </c>
      <c r="C108" s="188">
        <f t="shared" si="1"/>
        <v>1</v>
      </c>
      <c r="D108" s="20" t="s">
        <v>3097</v>
      </c>
      <c r="E108" s="20">
        <v>1.0</v>
      </c>
    </row>
    <row r="109">
      <c r="A109" s="183" t="str">
        <f>IFERROR(__xludf.DUMMYFUNCTION("""COMPUTED_VALUE"""),"Eternal")</f>
        <v>Eternal</v>
      </c>
      <c r="B109" s="188" t="str">
        <f>IFERROR(__xludf.DUMMYFUNCTION("""COMPUTED_VALUE"""),"Relic")</f>
        <v>Relic</v>
      </c>
      <c r="C109" s="188">
        <f t="shared" si="1"/>
        <v>1</v>
      </c>
      <c r="D109" s="20" t="s">
        <v>3098</v>
      </c>
      <c r="E109" s="20">
        <v>1.0</v>
      </c>
    </row>
    <row r="110">
      <c r="A110" s="183" t="str">
        <f>IFERROR(__xludf.DUMMYFUNCTION("""COMPUTED_VALUE"""),"Grace")</f>
        <v>Grace</v>
      </c>
      <c r="B110" s="188" t="str">
        <f>IFERROR(__xludf.DUMMYFUNCTION("""COMPUTED_VALUE"""),"Hunter")</f>
        <v>Hunter</v>
      </c>
      <c r="C110" s="188">
        <f t="shared" si="1"/>
        <v>1</v>
      </c>
      <c r="D110" s="20" t="s">
        <v>3099</v>
      </c>
      <c r="E110" s="20">
        <v>1.0</v>
      </c>
    </row>
    <row r="111">
      <c r="A111" s="183"/>
      <c r="B111" s="188" t="str">
        <f>IFERROR(__xludf.DUMMYFUNCTION("""COMPUTED_VALUE"""),"Exemplar")</f>
        <v>Exemplar</v>
      </c>
      <c r="C111" s="188">
        <f t="shared" si="1"/>
        <v>1</v>
      </c>
      <c r="D111" s="20" t="s">
        <v>3100</v>
      </c>
      <c r="E111" s="20">
        <v>1.0</v>
      </c>
    </row>
    <row r="112">
      <c r="A112" s="183" t="str">
        <f>IFERROR(__xludf.DUMMYFUNCTION("""COMPUTED_VALUE"""),"Maze")</f>
        <v>Maze</v>
      </c>
      <c r="B112" s="188" t="str">
        <f>IFERROR(__xludf.DUMMYFUNCTION("""COMPUTED_VALUE"""),"Lunar")</f>
        <v>Lunar</v>
      </c>
      <c r="C112" s="188">
        <f t="shared" si="1"/>
        <v>1</v>
      </c>
      <c r="D112" s="20" t="s">
        <v>81</v>
      </c>
      <c r="E112" s="20">
        <v>1.0</v>
      </c>
    </row>
    <row r="113">
      <c r="A113" s="183" t="str">
        <f>IFERROR(__xludf.DUMMYFUNCTION("""COMPUTED_VALUE"""),"Master")</f>
        <v>Master</v>
      </c>
      <c r="B113" s="188" t="str">
        <f>IFERROR(__xludf.DUMMYFUNCTION("""COMPUTED_VALUE"""),"Gleam")</f>
        <v>Gleam</v>
      </c>
      <c r="C113" s="188">
        <f t="shared" si="1"/>
        <v>1</v>
      </c>
      <c r="D113" s="20" t="s">
        <v>3101</v>
      </c>
      <c r="E113" s="20">
        <v>1.0</v>
      </c>
    </row>
    <row r="114">
      <c r="A114" s="183" t="str">
        <f>IFERROR(__xludf.DUMMYFUNCTION("""COMPUTED_VALUE"""),"Sphinx")</f>
        <v>Sphinx</v>
      </c>
      <c r="B114" s="188" t="str">
        <f>IFERROR(__xludf.DUMMYFUNCTION("""COMPUTED_VALUE"""),"Pomegrake")</f>
        <v>Pomegrake</v>
      </c>
      <c r="C114" s="188">
        <f t="shared" si="1"/>
        <v>1</v>
      </c>
      <c r="D114" s="20" t="s">
        <v>3102</v>
      </c>
      <c r="E114" s="20">
        <v>1.0</v>
      </c>
    </row>
    <row r="115">
      <c r="A115" s="183"/>
      <c r="B115" s="188" t="str">
        <f>IFERROR(__xludf.DUMMYFUNCTION("""COMPUTED_VALUE"""),"Embalmer")</f>
        <v>Embalmer</v>
      </c>
      <c r="C115" s="188">
        <f t="shared" si="1"/>
        <v>1</v>
      </c>
      <c r="D115" s="20" t="s">
        <v>3103</v>
      </c>
      <c r="E115" s="20">
        <v>1.0</v>
      </c>
    </row>
    <row r="116">
      <c r="A116" s="183"/>
      <c r="B116" s="188" t="str">
        <f>IFERROR(__xludf.DUMMYFUNCTION("""COMPUTED_VALUE"""),"Carver")</f>
        <v>Carver</v>
      </c>
      <c r="C116" s="188">
        <f t="shared" si="1"/>
        <v>2</v>
      </c>
      <c r="D116" s="20" t="s">
        <v>3104</v>
      </c>
      <c r="E116" s="20">
        <v>1.0</v>
      </c>
    </row>
    <row r="117">
      <c r="A117" s="183" t="str">
        <f>IFERROR(__xludf.DUMMYFUNCTION("""COMPUTED_VALUE"""),"Ivoryscar")</f>
        <v>Ivoryscar</v>
      </c>
      <c r="B117" s="188" t="str">
        <f>IFERROR(__xludf.DUMMYFUNCTION("""COMPUTED_VALUE"""),"Shattercrown")</f>
        <v>Shattercrown</v>
      </c>
      <c r="C117" s="188">
        <f t="shared" si="1"/>
        <v>1</v>
      </c>
      <c r="D117" s="20" t="s">
        <v>3105</v>
      </c>
      <c r="E117" s="20">
        <v>1.0</v>
      </c>
    </row>
    <row r="118">
      <c r="A118" s="183" t="str">
        <f>IFERROR(__xludf.DUMMYFUNCTION("""COMPUTED_VALUE"""),"Cursewing")</f>
        <v>Cursewing</v>
      </c>
      <c r="B118" s="188" t="str">
        <f>IFERROR(__xludf.DUMMYFUNCTION("""COMPUTED_VALUE"""),"Luminary")</f>
        <v>Luminary</v>
      </c>
      <c r="C118" s="188">
        <f t="shared" si="1"/>
        <v>1</v>
      </c>
      <c r="D118" s="20" t="s">
        <v>3106</v>
      </c>
      <c r="E118" s="20">
        <v>1.0</v>
      </c>
    </row>
    <row r="119">
      <c r="A119" s="183"/>
      <c r="B119" s="188" t="str">
        <f>IFERROR(__xludf.DUMMYFUNCTION("""COMPUTED_VALUE"""),"Shepard")</f>
        <v>Shepard</v>
      </c>
      <c r="C119" s="188">
        <f t="shared" si="1"/>
        <v>1</v>
      </c>
      <c r="D119" s="20" t="s">
        <v>3107</v>
      </c>
      <c r="E119" s="20">
        <v>1.0</v>
      </c>
    </row>
    <row r="120">
      <c r="A120" s="183"/>
      <c r="B120" s="188" t="str">
        <f>IFERROR(__xludf.DUMMYFUNCTION("""COMPUTED_VALUE"""),"Morning")</f>
        <v>Morning</v>
      </c>
      <c r="C120" s="188">
        <f t="shared" si="1"/>
        <v>1</v>
      </c>
      <c r="D120" s="20" t="s">
        <v>3108</v>
      </c>
      <c r="E120" s="20">
        <v>1.0</v>
      </c>
    </row>
    <row r="121">
      <c r="A121" s="183"/>
      <c r="B121" s="188" t="str">
        <f>IFERROR(__xludf.DUMMYFUNCTION("""COMPUTED_VALUE"""),"Dew")</f>
        <v>Dew</v>
      </c>
      <c r="C121" s="188">
        <f t="shared" si="1"/>
        <v>1</v>
      </c>
      <c r="D121" s="20" t="s">
        <v>3109</v>
      </c>
      <c r="E121" s="20">
        <v>1.0</v>
      </c>
    </row>
    <row r="122">
      <c r="A122" s="183" t="str">
        <f>IFERROR(__xludf.DUMMYFUNCTION("""COMPUTED_VALUE"""),"Ivoryscar")</f>
        <v>Ivoryscar</v>
      </c>
      <c r="B122" s="188" t="str">
        <f>IFERROR(__xludf.DUMMYFUNCTION("""COMPUTED_VALUE"""),"Arboreal")</f>
        <v>Arboreal</v>
      </c>
      <c r="C122" s="188">
        <f t="shared" si="1"/>
        <v>1</v>
      </c>
      <c r="D122" s="20" t="s">
        <v>3110</v>
      </c>
      <c r="E122" s="20">
        <v>1.0</v>
      </c>
    </row>
    <row r="123">
      <c r="A123" s="183" t="str">
        <f>IFERROR(__xludf.DUMMYFUNCTION("""COMPUTED_VALUE"""),"Magistrate")</f>
        <v>Magistrate</v>
      </c>
      <c r="B123" s="188" t="str">
        <f>IFERROR(__xludf.DUMMYFUNCTION("""COMPUTED_VALUE"""),"Messenger")</f>
        <v>Messenger</v>
      </c>
      <c r="C123" s="188">
        <f t="shared" si="1"/>
        <v>1</v>
      </c>
      <c r="D123" s="20" t="s">
        <v>3111</v>
      </c>
      <c r="E123" s="20">
        <v>1.0</v>
      </c>
    </row>
    <row r="124">
      <c r="A124" s="183"/>
      <c r="B124" s="188" t="str">
        <f>IFERROR(__xludf.DUMMYFUNCTION("""COMPUTED_VALUE"""),"Auric")</f>
        <v>Auric</v>
      </c>
      <c r="C124" s="188">
        <f t="shared" si="1"/>
        <v>1</v>
      </c>
      <c r="D124" s="20" t="s">
        <v>3112</v>
      </c>
      <c r="E124" s="20">
        <v>1.0</v>
      </c>
    </row>
    <row r="125">
      <c r="A125" s="183"/>
      <c r="B125" s="188" t="str">
        <f>IFERROR(__xludf.DUMMYFUNCTION("""COMPUTED_VALUE"""),"Ant")</f>
        <v>Ant</v>
      </c>
      <c r="C125" s="188">
        <f t="shared" si="1"/>
        <v>2</v>
      </c>
      <c r="D125" s="20" t="s">
        <v>3113</v>
      </c>
      <c r="E125" s="20">
        <v>1.0</v>
      </c>
    </row>
    <row r="126">
      <c r="A126" s="183"/>
      <c r="B126" s="188" t="str">
        <f>IFERROR(__xludf.DUMMYFUNCTION("""COMPUTED_VALUE"""),"Regent")</f>
        <v>Regent</v>
      </c>
      <c r="C126" s="188">
        <f t="shared" si="1"/>
        <v>1</v>
      </c>
      <c r="D126" s="20" t="s">
        <v>3114</v>
      </c>
      <c r="E126" s="20">
        <v>1.0</v>
      </c>
    </row>
    <row r="127">
      <c r="A127" s="183" t="str">
        <f>IFERROR(__xludf.DUMMYFUNCTION("""COMPUTED_VALUE"""),"Kylix")</f>
        <v>Kylix</v>
      </c>
      <c r="B127" s="188" t="str">
        <f>IFERROR(__xludf.DUMMYFUNCTION("""COMPUTED_VALUE"""),"Blessing")</f>
        <v>Blessing</v>
      </c>
      <c r="C127" s="188">
        <f t="shared" si="1"/>
        <v>1</v>
      </c>
      <c r="D127" s="20" t="s">
        <v>3115</v>
      </c>
      <c r="E127" s="20">
        <v>1.0</v>
      </c>
    </row>
    <row r="128">
      <c r="A128" s="183" t="str">
        <f>IFERROR(__xludf.DUMMYFUNCTION("""COMPUTED_VALUE"""),"of")</f>
        <v>of</v>
      </c>
      <c r="B128" s="188" t="str">
        <f>IFERROR(__xludf.DUMMYFUNCTION("""COMPUTED_VALUE"""),"Bestower")</f>
        <v>Bestower</v>
      </c>
      <c r="C128" s="188">
        <f t="shared" si="1"/>
        <v>1</v>
      </c>
      <c r="D128" s="20" t="s">
        <v>3116</v>
      </c>
      <c r="E128" s="20">
        <v>1.0</v>
      </c>
    </row>
    <row r="129">
      <c r="A129" s="183" t="str">
        <f>IFERROR(__xludf.DUMMYFUNCTION("""COMPUTED_VALUE"""),"Excess")</f>
        <v>Excess</v>
      </c>
      <c r="B129" s="188" t="str">
        <f>IFERROR(__xludf.DUMMYFUNCTION("""COMPUTED_VALUE"""),"Waypost")</f>
        <v>Waypost</v>
      </c>
      <c r="C129" s="188">
        <f t="shared" si="1"/>
        <v>1</v>
      </c>
      <c r="D129" s="20" t="s">
        <v>3117</v>
      </c>
      <c r="E129" s="20">
        <v>1.0</v>
      </c>
    </row>
    <row r="130">
      <c r="A130" s="183"/>
      <c r="B130" s="188" t="str">
        <f>IFERROR(__xludf.DUMMYFUNCTION("""COMPUTED_VALUE"""),"Crimson")</f>
        <v>Crimson</v>
      </c>
      <c r="C130" s="188">
        <f t="shared" si="1"/>
        <v>1</v>
      </c>
      <c r="D130" s="20" t="s">
        <v>3118</v>
      </c>
      <c r="E130" s="20">
        <v>1.0</v>
      </c>
    </row>
    <row r="131">
      <c r="A131" s="183"/>
      <c r="B131" s="188" t="str">
        <f>IFERROR(__xludf.DUMMYFUNCTION("""COMPUTED_VALUE"""),"Flamechick")</f>
        <v>Flamechick</v>
      </c>
      <c r="C131" s="188">
        <f t="shared" si="1"/>
        <v>1</v>
      </c>
      <c r="D131" s="20" t="s">
        <v>3119</v>
      </c>
      <c r="E131" s="20">
        <v>1.0</v>
      </c>
    </row>
    <row r="132">
      <c r="A132" s="183" t="str">
        <f>IFERROR(__xludf.DUMMYFUNCTION("""COMPUTED_VALUE"""),"Mystic")</f>
        <v>Mystic</v>
      </c>
      <c r="B132" s="188" t="str">
        <f>IFERROR(__xludf.DUMMYFUNCTION("""COMPUTED_VALUE"""),"Ascended")</f>
        <v>Ascended</v>
      </c>
      <c r="C132" s="188">
        <f t="shared" si="1"/>
        <v>1</v>
      </c>
      <c r="D132" s="20" t="s">
        <v>3120</v>
      </c>
      <c r="E132" s="20">
        <v>1.0</v>
      </c>
    </row>
    <row r="133">
      <c r="A133" s="183" t="str">
        <f>IFERROR(__xludf.DUMMYFUNCTION("""COMPUTED_VALUE"""),"Puzzle")</f>
        <v>Puzzle</v>
      </c>
      <c r="B133" s="188" t="str">
        <f>IFERROR(__xludf.DUMMYFUNCTION("""COMPUTED_VALUE"""),"One")</f>
        <v>One</v>
      </c>
      <c r="C133" s="188">
        <f t="shared" si="1"/>
        <v>2</v>
      </c>
      <c r="D133" s="20" t="s">
        <v>3121</v>
      </c>
      <c r="E133" s="20">
        <v>1.0</v>
      </c>
    </row>
    <row r="134">
      <c r="A134" s="183" t="str">
        <f>IFERROR(__xludf.DUMMYFUNCTION("""COMPUTED_VALUE"""),"Box")</f>
        <v>Box</v>
      </c>
      <c r="B134" s="188" t="str">
        <f>IFERROR(__xludf.DUMMYFUNCTION("""COMPUTED_VALUE"""),"Rubyskull")</f>
        <v>Rubyskull</v>
      </c>
      <c r="C134" s="188">
        <f t="shared" si="1"/>
        <v>1</v>
      </c>
      <c r="D134" s="20" t="s">
        <v>3122</v>
      </c>
      <c r="E134" s="20">
        <v>1.0</v>
      </c>
    </row>
    <row r="135">
      <c r="A135" s="183"/>
      <c r="B135" s="188" t="str">
        <f>IFERROR(__xludf.DUMMYFUNCTION("""COMPUTED_VALUE"""),"Blackwing")</f>
        <v>Blackwing</v>
      </c>
      <c r="C135" s="188">
        <f t="shared" si="1"/>
        <v>1</v>
      </c>
      <c r="D135" s="20" t="s">
        <v>3123</v>
      </c>
      <c r="E135" s="20">
        <v>1.0</v>
      </c>
    </row>
    <row r="136">
      <c r="A136" s="183"/>
      <c r="B136" s="188" t="str">
        <f>IFERROR(__xludf.DUMMYFUNCTION("""COMPUTED_VALUE"""),"Usurper")</f>
        <v>Usurper</v>
      </c>
      <c r="C136" s="188">
        <f t="shared" si="1"/>
        <v>1</v>
      </c>
      <c r="D136" s="20" t="s">
        <v>3124</v>
      </c>
      <c r="E136" s="20">
        <v>1.0</v>
      </c>
    </row>
    <row r="137">
      <c r="A137" s="183" t="str">
        <f>IFERROR(__xludf.DUMMYFUNCTION("""COMPUTED_VALUE"""),"Monolith")</f>
        <v>Monolith</v>
      </c>
      <c r="B137" s="188" t="str">
        <f>IFERROR(__xludf.DUMMYFUNCTION("""COMPUTED_VALUE"""),"Celestial")</f>
        <v>Celestial</v>
      </c>
      <c r="C137" s="188">
        <f t="shared" si="1"/>
        <v>1</v>
      </c>
      <c r="D137" s="20" t="s">
        <v>3125</v>
      </c>
      <c r="E137" s="20">
        <v>1.0</v>
      </c>
    </row>
    <row r="138">
      <c r="A138" s="183" t="str">
        <f>IFERROR(__xludf.DUMMYFUNCTION("""COMPUTED_VALUE"""),"of")</f>
        <v>of</v>
      </c>
      <c r="B138" s="188" t="str">
        <f>IFERROR(__xludf.DUMMYFUNCTION("""COMPUTED_VALUE"""),"Second")</f>
        <v>Second</v>
      </c>
      <c r="C138" s="188">
        <f t="shared" si="1"/>
        <v>1</v>
      </c>
      <c r="D138" s="20" t="s">
        <v>3126</v>
      </c>
      <c r="E138" s="20">
        <v>1.0</v>
      </c>
    </row>
    <row r="139">
      <c r="A139" s="183" t="str">
        <f>IFERROR(__xludf.DUMMYFUNCTION("""COMPUTED_VALUE"""),"Meditation")</f>
        <v>Meditation</v>
      </c>
      <c r="B139" s="188" t="str">
        <f>IFERROR(__xludf.DUMMYFUNCTION("""COMPUTED_VALUE"""),"Wing")</f>
        <v>Wing</v>
      </c>
      <c r="C139" s="188">
        <f t="shared" si="1"/>
        <v>1</v>
      </c>
      <c r="D139" s="20" t="s">
        <v>3127</v>
      </c>
      <c r="E139" s="20">
        <v>1.0</v>
      </c>
    </row>
    <row r="140">
      <c r="A140" s="183"/>
      <c r="B140" s="188" t="str">
        <f>IFERROR(__xludf.DUMMYFUNCTION("""COMPUTED_VALUE"""),"Fatebreaker")</f>
        <v>Fatebreaker</v>
      </c>
      <c r="C140" s="188">
        <f t="shared" si="1"/>
        <v>1</v>
      </c>
      <c r="D140" s="20" t="s">
        <v>3128</v>
      </c>
      <c r="E140" s="20">
        <v>1.0</v>
      </c>
    </row>
    <row r="141">
      <c r="A141" s="183"/>
      <c r="B141" s="188" t="str">
        <f>IFERROR(__xludf.DUMMYFUNCTION("""COMPUTED_VALUE"""),"Moon")</f>
        <v>Moon</v>
      </c>
      <c r="C141" s="188">
        <f t="shared" si="1"/>
        <v>2</v>
      </c>
      <c r="D141" s="20" t="s">
        <v>3129</v>
      </c>
      <c r="E141" s="20">
        <v>1.0</v>
      </c>
    </row>
    <row r="142">
      <c r="A142" s="183" t="str">
        <f>IFERROR(__xludf.DUMMYFUNCTION("""COMPUTED_VALUE"""),"Oasis")</f>
        <v>Oasis</v>
      </c>
      <c r="B142" s="188" t="str">
        <f>IFERROR(__xludf.DUMMYFUNCTION("""COMPUTED_VALUE"""),"Priestess")</f>
        <v>Priestess</v>
      </c>
      <c r="C142" s="188">
        <f t="shared" si="1"/>
        <v>1</v>
      </c>
      <c r="D142" s="20" t="s">
        <v>3130</v>
      </c>
      <c r="E142" s="20">
        <v>1.0</v>
      </c>
    </row>
    <row r="143">
      <c r="A143" s="183" t="str">
        <f>IFERROR(__xludf.DUMMYFUNCTION("""COMPUTED_VALUE"""),"Sprite")</f>
        <v>Sprite</v>
      </c>
      <c r="B143" s="188" t="str">
        <f>IFERROR(__xludf.DUMMYFUNCTION("""COMPUTED_VALUE"""),"Airstep")</f>
        <v>Airstep</v>
      </c>
      <c r="C143" s="188">
        <f t="shared" si="1"/>
        <v>1</v>
      </c>
      <c r="D143" s="20" t="s">
        <v>3131</v>
      </c>
      <c r="E143" s="20">
        <v>1.0</v>
      </c>
    </row>
    <row r="144">
      <c r="A144" s="183"/>
      <c r="B144" s="188" t="str">
        <f>IFERROR(__xludf.DUMMYFUNCTION("""COMPUTED_VALUE"""),"Sifu")</f>
        <v>Sifu</v>
      </c>
      <c r="C144" s="188">
        <f t="shared" si="1"/>
        <v>1</v>
      </c>
      <c r="D144" s="20" t="s">
        <v>3132</v>
      </c>
      <c r="E144" s="20">
        <v>1.0</v>
      </c>
    </row>
    <row r="145">
      <c r="A145" s="183"/>
      <c r="B145" s="188" t="str">
        <f>IFERROR(__xludf.DUMMYFUNCTION("""COMPUTED_VALUE"""),"Moonspear")</f>
        <v>Moonspear</v>
      </c>
      <c r="C145" s="188">
        <f t="shared" si="1"/>
        <v>4</v>
      </c>
      <c r="D145" s="20" t="s">
        <v>3133</v>
      </c>
      <c r="E145" s="20">
        <v>1.0</v>
      </c>
    </row>
    <row r="146">
      <c r="A146" s="183"/>
      <c r="B146" s="188" t="str">
        <f>IFERROR(__xludf.DUMMYFUNCTION("""COMPUTED_VALUE"""),"Paladin")</f>
        <v>Paladin</v>
      </c>
      <c r="C146" s="188">
        <f t="shared" si="1"/>
        <v>1</v>
      </c>
      <c r="D146" s="20" t="s">
        <v>213</v>
      </c>
      <c r="E146" s="20">
        <v>1.0</v>
      </c>
    </row>
    <row r="147">
      <c r="A147" s="183" t="str">
        <f>IFERROR(__xludf.DUMMYFUNCTION("""COMPUTED_VALUE"""),"Pharaoh's")</f>
        <v>Pharaoh's</v>
      </c>
      <c r="B147" s="188" t="str">
        <f>IFERROR(__xludf.DUMMYFUNCTION("""COMPUTED_VALUE"""),"Arcanum")</f>
        <v>Arcanum</v>
      </c>
      <c r="C147" s="188">
        <f t="shared" si="1"/>
        <v>1</v>
      </c>
      <c r="D147" s="20" t="s">
        <v>3134</v>
      </c>
      <c r="E147" s="20">
        <v>1.0</v>
      </c>
    </row>
    <row r="148">
      <c r="A148" s="183" t="str">
        <f>IFERROR(__xludf.DUMMYFUNCTION("""COMPUTED_VALUE"""),"Bodyguard")</f>
        <v>Bodyguard</v>
      </c>
      <c r="B148" s="188" t="str">
        <f>IFERROR(__xludf.DUMMYFUNCTION("""COMPUTED_VALUE"""),"Grandmaster")</f>
        <v>Grandmaster</v>
      </c>
      <c r="C148" s="188">
        <f t="shared" si="1"/>
        <v>1</v>
      </c>
      <c r="D148" s="20" t="s">
        <v>3135</v>
      </c>
      <c r="E148" s="20">
        <v>1.0</v>
      </c>
    </row>
    <row r="149">
      <c r="A149" s="183"/>
      <c r="B149" s="188" t="str">
        <f>IFERROR(__xludf.DUMMYFUNCTION("""COMPUTED_VALUE"""),"Auraborne")</f>
        <v>Auraborne</v>
      </c>
      <c r="C149" s="188">
        <f t="shared" si="1"/>
        <v>1</v>
      </c>
      <c r="D149" s="20" t="s">
        <v>3136</v>
      </c>
      <c r="E149" s="20">
        <v>1.0</v>
      </c>
    </row>
    <row r="150">
      <c r="A150" s="183"/>
      <c r="B150" s="188" t="str">
        <f>IFERROR(__xludf.DUMMYFUNCTION("""COMPUTED_VALUE"""),"Wyvern")</f>
        <v>Wyvern</v>
      </c>
      <c r="C150" s="188">
        <f t="shared" si="1"/>
        <v>2</v>
      </c>
      <c r="D150" s="20" t="s">
        <v>3137</v>
      </c>
      <c r="E150" s="20">
        <v>1.0</v>
      </c>
    </row>
    <row r="151">
      <c r="A151" s="183"/>
      <c r="B151" s="188" t="str">
        <f>IFERROR(__xludf.DUMMYFUNCTION("""COMPUTED_VALUE"""),"Blazecharm")</f>
        <v>Blazecharm</v>
      </c>
      <c r="C151" s="188">
        <f t="shared" si="1"/>
        <v>1</v>
      </c>
      <c r="D151" s="20" t="s">
        <v>3138</v>
      </c>
      <c r="E151" s="20">
        <v>1.0</v>
      </c>
    </row>
    <row r="152">
      <c r="A152" s="183" t="str">
        <f>IFERROR(__xludf.DUMMYFUNCTION("""COMPUTED_VALUE"""),"Scripture")</f>
        <v>Scripture</v>
      </c>
      <c r="B152" s="188" t="str">
        <f>IFERROR(__xludf.DUMMYFUNCTION("""COMPUTED_VALUE"""),"Kitsune")</f>
        <v>Kitsune</v>
      </c>
      <c r="C152" s="188">
        <f t="shared" si="1"/>
        <v>1</v>
      </c>
      <c r="D152" s="20" t="s">
        <v>232</v>
      </c>
      <c r="E152" s="20">
        <v>1.0</v>
      </c>
    </row>
    <row r="153">
      <c r="A153" s="183" t="str">
        <f>IFERROR(__xludf.DUMMYFUNCTION("""COMPUTED_VALUE"""),"Monkey")</f>
        <v>Monkey</v>
      </c>
      <c r="B153" s="188" t="str">
        <f>IFERROR(__xludf.DUMMYFUNCTION("""COMPUTED_VALUE"""),"Glowing")</f>
        <v>Glowing</v>
      </c>
      <c r="C153" s="188">
        <f t="shared" si="1"/>
        <v>1</v>
      </c>
      <c r="D153" s="20" t="s">
        <v>3139</v>
      </c>
      <c r="E153" s="20">
        <v>1.0</v>
      </c>
    </row>
    <row r="154">
      <c r="A154" s="183"/>
      <c r="B154" s="188" t="str">
        <f>IFERROR(__xludf.DUMMYFUNCTION("""COMPUTED_VALUE"""),"Gearhulk")</f>
        <v>Gearhulk</v>
      </c>
      <c r="C154" s="188">
        <f t="shared" si="1"/>
        <v>1</v>
      </c>
      <c r="D154" s="20" t="s">
        <v>3140</v>
      </c>
      <c r="E154" s="20">
        <v>1.0</v>
      </c>
    </row>
    <row r="155">
      <c r="A155" s="183"/>
      <c r="B155" s="188" t="str">
        <f>IFERROR(__xludf.DUMMYFUNCTION("""COMPUTED_VALUE"""),"Boiling")</f>
        <v>Boiling</v>
      </c>
      <c r="C155" s="188">
        <f t="shared" si="1"/>
        <v>1</v>
      </c>
      <c r="D155" s="20" t="s">
        <v>3141</v>
      </c>
      <c r="E155" s="20">
        <v>1.0</v>
      </c>
    </row>
    <row r="156">
      <c r="A156" s="183"/>
      <c r="B156" s="188" t="str">
        <f>IFERROR(__xludf.DUMMYFUNCTION("""COMPUTED_VALUE"""),"Blood")</f>
        <v>Blood</v>
      </c>
      <c r="C156" s="188">
        <f t="shared" si="1"/>
        <v>2</v>
      </c>
      <c r="D156" s="20" t="s">
        <v>3142</v>
      </c>
      <c r="E156" s="20">
        <v>1.0</v>
      </c>
    </row>
    <row r="157">
      <c r="A157" s="183" t="str">
        <f>IFERROR(__xludf.DUMMYFUNCTION("""COMPUTED_VALUE"""),"Pyramidion")</f>
        <v>Pyramidion</v>
      </c>
      <c r="B157" s="188" t="str">
        <f>IFERROR(__xludf.DUMMYFUNCTION("""COMPUTED_VALUE"""),"Berserker")</f>
        <v>Berserker</v>
      </c>
      <c r="C157" s="188">
        <f t="shared" si="1"/>
        <v>1</v>
      </c>
      <c r="D157" s="20" t="s">
        <v>3143</v>
      </c>
      <c r="E157" s="20">
        <v>1.0</v>
      </c>
    </row>
    <row r="158">
      <c r="A158" s="183"/>
      <c r="B158" s="188" t="str">
        <f>IFERROR(__xludf.DUMMYFUNCTION("""COMPUTED_VALUE"""),"Goat")</f>
        <v>Goat</v>
      </c>
      <c r="C158" s="188">
        <f t="shared" si="1"/>
        <v>1</v>
      </c>
      <c r="D158" s="20" t="s">
        <v>3144</v>
      </c>
      <c r="E158" s="20">
        <v>1.0</v>
      </c>
    </row>
    <row r="159">
      <c r="A159" s="183"/>
      <c r="B159" s="188" t="str">
        <f>IFERROR(__xludf.DUMMYFUNCTION("""COMPUTED_VALUE"""),"Oracle")</f>
        <v>Oracle</v>
      </c>
      <c r="C159" s="188">
        <f t="shared" si="1"/>
        <v>2</v>
      </c>
      <c r="D159" s="20" t="s">
        <v>3145</v>
      </c>
      <c r="E159" s="20">
        <v>1.0</v>
      </c>
    </row>
    <row r="160">
      <c r="A160" s="183"/>
      <c r="B160" s="188" t="str">
        <f>IFERROR(__xludf.DUMMYFUNCTION("""COMPUTED_VALUE"""),"Sagehorn")</f>
        <v>Sagehorn</v>
      </c>
      <c r="C160" s="188">
        <f t="shared" si="1"/>
        <v>1</v>
      </c>
      <c r="D160" s="20" t="s">
        <v>3146</v>
      </c>
      <c r="E160" s="20">
        <v>1.0</v>
      </c>
    </row>
    <row r="161">
      <c r="A161" s="183"/>
      <c r="B161" s="188" t="str">
        <f>IFERROR(__xludf.DUMMYFUNCTION("""COMPUTED_VALUE"""),"Sunblessed")</f>
        <v>Sunblessed</v>
      </c>
      <c r="C161" s="188">
        <f t="shared" si="1"/>
        <v>1</v>
      </c>
      <c r="D161" s="20" t="s">
        <v>3147</v>
      </c>
      <c r="E161" s="20">
        <v>1.0</v>
      </c>
    </row>
    <row r="162">
      <c r="A162" s="183" t="str">
        <f>IFERROR(__xludf.DUMMYFUNCTION("""COMPUTED_VALUE"""),"Sekhem")</f>
        <v>Sekhem</v>
      </c>
      <c r="B162" s="188" t="str">
        <f>IFERROR(__xludf.DUMMYFUNCTION("""COMPUTED_VALUE"""),"Crocodile")</f>
        <v>Crocodile</v>
      </c>
      <c r="C162" s="188">
        <f t="shared" si="1"/>
        <v>1</v>
      </c>
      <c r="D162" s="20" t="s">
        <v>3148</v>
      </c>
      <c r="E162" s="20">
        <v>1.0</v>
      </c>
    </row>
    <row r="163">
      <c r="A163" s="183" t="str">
        <f>IFERROR(__xludf.DUMMYFUNCTION("""COMPUTED_VALUE"""),"Chariot")</f>
        <v>Chariot</v>
      </c>
      <c r="B163" s="188" t="str">
        <f>IFERROR(__xludf.DUMMYFUNCTION("""COMPUTED_VALUE"""),"Kois")</f>
        <v>Kois</v>
      </c>
      <c r="C163" s="188">
        <f t="shared" si="1"/>
        <v>1</v>
      </c>
      <c r="D163" s="20" t="s">
        <v>3149</v>
      </c>
      <c r="E163" s="20">
        <v>1.0</v>
      </c>
    </row>
    <row r="164">
      <c r="A164" s="183"/>
      <c r="B164" s="188" t="str">
        <f>IFERROR(__xludf.DUMMYFUNCTION("""COMPUTED_VALUE"""),"Duality")</f>
        <v>Duality</v>
      </c>
      <c r="C164" s="188">
        <f t="shared" si="1"/>
        <v>1</v>
      </c>
      <c r="D164" s="20" t="s">
        <v>3150</v>
      </c>
      <c r="E164" s="20">
        <v>1.0</v>
      </c>
    </row>
    <row r="165">
      <c r="A165" s="183"/>
      <c r="B165" s="188" t="str">
        <f>IFERROR(__xludf.DUMMYFUNCTION("""COMPUTED_VALUE"""),"Eclipsion")</f>
        <v>Eclipsion</v>
      </c>
      <c r="C165" s="188">
        <f t="shared" si="1"/>
        <v>1</v>
      </c>
      <c r="D165" s="20" t="s">
        <v>3151</v>
      </c>
      <c r="E165" s="20">
        <v>1.0</v>
      </c>
    </row>
    <row r="166">
      <c r="A166" s="183"/>
      <c r="B166" s="188" t="str">
        <f>IFERROR(__xludf.DUMMYFUNCTION("""COMPUTED_VALUE"""),"Fallen")</f>
        <v>Fallen</v>
      </c>
      <c r="C166" s="188">
        <f t="shared" si="1"/>
        <v>1</v>
      </c>
      <c r="D166" s="20" t="s">
        <v>3152</v>
      </c>
      <c r="E166" s="20">
        <v>1.0</v>
      </c>
    </row>
    <row r="167">
      <c r="A167" s="183" t="str">
        <f>IFERROR(__xludf.DUMMYFUNCTION("""COMPUTED_VALUE"""),"Obsidian")</f>
        <v>Obsidian</v>
      </c>
      <c r="B167" s="188" t="str">
        <f>IFERROR(__xludf.DUMMYFUNCTION("""COMPUTED_VALUE"""),"Diamond")</f>
        <v>Diamond</v>
      </c>
      <c r="C167" s="188">
        <f t="shared" si="1"/>
        <v>1</v>
      </c>
      <c r="D167" s="20" t="s">
        <v>3153</v>
      </c>
      <c r="E167" s="20">
        <v>1.0</v>
      </c>
    </row>
    <row r="168">
      <c r="A168" s="183" t="str">
        <f>IFERROR(__xludf.DUMMYFUNCTION("""COMPUTED_VALUE"""),"Scarab")</f>
        <v>Scarab</v>
      </c>
      <c r="B168" s="188" t="str">
        <f>IFERROR(__xludf.DUMMYFUNCTION("""COMPUTED_VALUE"""),"Phantom")</f>
        <v>Phantom</v>
      </c>
      <c r="C168" s="188">
        <f t="shared" si="1"/>
        <v>1</v>
      </c>
      <c r="D168" s="20" t="s">
        <v>3154</v>
      </c>
      <c r="E168" s="20">
        <v>1.0</v>
      </c>
    </row>
    <row r="169">
      <c r="A169" s="183"/>
      <c r="B169" s="188" t="str">
        <f>IFERROR(__xludf.DUMMYFUNCTION("""COMPUTED_VALUE"""),"Draconic")</f>
        <v>Draconic</v>
      </c>
      <c r="C169" s="188">
        <f t="shared" si="1"/>
        <v>1</v>
      </c>
      <c r="D169" s="20" t="s">
        <v>3155</v>
      </c>
      <c r="E169" s="20">
        <v>1.0</v>
      </c>
    </row>
    <row r="170">
      <c r="A170" s="183"/>
      <c r="B170" s="188" t="str">
        <f>IFERROR(__xludf.DUMMYFUNCTION("""COMPUTED_VALUE"""),"Highpriest")</f>
        <v>Highpriest</v>
      </c>
      <c r="C170" s="188">
        <f t="shared" si="1"/>
        <v>1</v>
      </c>
      <c r="D170" s="20" t="s">
        <v>3156</v>
      </c>
      <c r="E170" s="20">
        <v>1.0</v>
      </c>
    </row>
    <row r="171">
      <c r="A171" s="183"/>
      <c r="B171" s="188" t="str">
        <f>IFERROR(__xludf.DUMMYFUNCTION("""COMPUTED_VALUE"""),"Cavern")</f>
        <v>Cavern</v>
      </c>
      <c r="C171" s="188">
        <f t="shared" si="1"/>
        <v>1</v>
      </c>
      <c r="D171" s="20" t="s">
        <v>3157</v>
      </c>
      <c r="E171" s="20">
        <v>1.0</v>
      </c>
    </row>
    <row r="172">
      <c r="A172" s="183" t="str">
        <f>IFERROR(__xludf.DUMMYFUNCTION("""COMPUTED_VALUE"""),"Solarsteel")</f>
        <v>Solarsteel</v>
      </c>
      <c r="B172" s="188" t="str">
        <f>IFERROR(__xludf.DUMMYFUNCTION("""COMPUTED_VALUE"""),"Lindwurm")</f>
        <v>Lindwurm</v>
      </c>
      <c r="C172" s="188">
        <f t="shared" si="1"/>
        <v>1</v>
      </c>
      <c r="D172" s="20" t="s">
        <v>3158</v>
      </c>
      <c r="E172" s="20">
        <v>1.0</v>
      </c>
    </row>
    <row r="173">
      <c r="A173" s="183" t="str">
        <f>IFERROR(__xludf.DUMMYFUNCTION("""COMPUTED_VALUE"""),"Prodigy")</f>
        <v>Prodigy</v>
      </c>
      <c r="B173" s="188" t="str">
        <f>IFERROR(__xludf.DUMMYFUNCTION("""COMPUTED_VALUE"""),"Cheerful")</f>
        <v>Cheerful</v>
      </c>
      <c r="C173" s="188">
        <f t="shared" si="1"/>
        <v>1</v>
      </c>
      <c r="D173" s="20" t="s">
        <v>3159</v>
      </c>
      <c r="E173" s="20">
        <v>1.0</v>
      </c>
    </row>
    <row r="174">
      <c r="A174" s="183"/>
      <c r="B174" s="188" t="str">
        <f>IFERROR(__xludf.DUMMYFUNCTION("""COMPUTED_VALUE"""),"Pixies")</f>
        <v>Pixies</v>
      </c>
      <c r="C174" s="188">
        <f t="shared" si="1"/>
        <v>1</v>
      </c>
      <c r="D174" s="20" t="s">
        <v>3160</v>
      </c>
      <c r="E174" s="20">
        <v>1.0</v>
      </c>
    </row>
    <row r="175">
      <c r="A175" s="183"/>
      <c r="B175" s="188" t="str">
        <f>IFERROR(__xludf.DUMMYFUNCTION("""COMPUTED_VALUE"""),"Cinderguard")</f>
        <v>Cinderguard</v>
      </c>
      <c r="C175" s="188">
        <f t="shared" si="1"/>
        <v>5</v>
      </c>
      <c r="D175" s="20" t="s">
        <v>3161</v>
      </c>
      <c r="E175" s="20">
        <v>1.0</v>
      </c>
    </row>
    <row r="176">
      <c r="A176" s="183"/>
      <c r="B176" s="188" t="str">
        <f>IFERROR(__xludf.DUMMYFUNCTION("""COMPUTED_VALUE"""),"Scribe")</f>
        <v>Scribe</v>
      </c>
      <c r="C176" s="188">
        <f t="shared" si="1"/>
        <v>1</v>
      </c>
      <c r="D176" s="20" t="s">
        <v>3162</v>
      </c>
      <c r="E176" s="20">
        <v>1.0</v>
      </c>
    </row>
    <row r="177">
      <c r="A177" s="183" t="str">
        <f>IFERROR(__xludf.DUMMYFUNCTION("""COMPUTED_VALUE"""),"Starforger")</f>
        <v>Starforger</v>
      </c>
      <c r="B177" s="188" t="str">
        <f>IFERROR(__xludf.DUMMYFUNCTION("""COMPUTED_VALUE"""),"Daredevil")</f>
        <v>Daredevil</v>
      </c>
      <c r="C177" s="188">
        <f t="shared" si="1"/>
        <v>1</v>
      </c>
      <c r="D177" s="20" t="s">
        <v>3163</v>
      </c>
      <c r="E177" s="20">
        <v>1.0</v>
      </c>
    </row>
    <row r="178">
      <c r="A178" s="183"/>
      <c r="B178" s="188" t="str">
        <f>IFERROR(__xludf.DUMMYFUNCTION("""COMPUTED_VALUE"""),"Duo")</f>
        <v>Duo</v>
      </c>
      <c r="C178" s="188">
        <f t="shared" si="1"/>
        <v>1</v>
      </c>
      <c r="D178" s="20" t="s">
        <v>3164</v>
      </c>
      <c r="E178" s="20">
        <v>1.0</v>
      </c>
    </row>
    <row r="179">
      <c r="A179" s="183"/>
      <c r="B179" s="188" t="str">
        <f>IFERROR(__xludf.DUMMYFUNCTION("""COMPUTED_VALUE"""),"Beetle")</f>
        <v>Beetle</v>
      </c>
      <c r="C179" s="188">
        <f t="shared" si="1"/>
        <v>3</v>
      </c>
      <c r="D179" s="20" t="s">
        <v>3165</v>
      </c>
      <c r="E179" s="20">
        <v>1.0</v>
      </c>
    </row>
    <row r="180">
      <c r="A180" s="183"/>
      <c r="B180" s="188" t="str">
        <f>IFERROR(__xludf.DUMMYFUNCTION("""COMPUTED_VALUE"""),"Ember")</f>
        <v>Ember</v>
      </c>
      <c r="C180" s="188">
        <f t="shared" si="1"/>
        <v>1</v>
      </c>
      <c r="D180" s="20" t="s">
        <v>328</v>
      </c>
      <c r="E180" s="20">
        <v>1.0</v>
      </c>
    </row>
    <row r="181">
      <c r="A181" s="183"/>
      <c r="B181" s="188" t="str">
        <f>IFERROR(__xludf.DUMMYFUNCTION("""COMPUTED_VALUE"""),"Whelp")</f>
        <v>Whelp</v>
      </c>
      <c r="C181" s="188">
        <f t="shared" si="1"/>
        <v>1</v>
      </c>
      <c r="D181" s="20" t="s">
        <v>3166</v>
      </c>
      <c r="E181" s="20">
        <v>1.0</v>
      </c>
    </row>
    <row r="182">
      <c r="A182" s="183" t="str">
        <f>IFERROR(__xludf.DUMMYFUNCTION("""COMPUTED_VALUE"""),"Swiftblade")</f>
        <v>Swiftblade</v>
      </c>
      <c r="B182" s="188" t="str">
        <f>IFERROR(__xludf.DUMMYFUNCTION("""COMPUTED_VALUE"""),"Floating")</f>
        <v>Floating</v>
      </c>
      <c r="C182" s="188">
        <f t="shared" si="1"/>
        <v>1</v>
      </c>
      <c r="D182" s="20" t="s">
        <v>3167</v>
      </c>
      <c r="E182" s="20">
        <v>1.0</v>
      </c>
    </row>
    <row r="183">
      <c r="A183" s="183" t="str">
        <f>IFERROR(__xludf.DUMMYFUNCTION("""COMPUTED_VALUE"""),"Revenger")</f>
        <v>Revenger</v>
      </c>
      <c r="B183" s="188" t="str">
        <f>IFERROR(__xludf.DUMMYFUNCTION("""COMPUTED_VALUE"""),"Djinn")</f>
        <v>Djinn</v>
      </c>
      <c r="C183" s="188">
        <f t="shared" si="1"/>
        <v>1</v>
      </c>
      <c r="D183" s="20" t="s">
        <v>3168</v>
      </c>
      <c r="E183" s="20">
        <v>1.0</v>
      </c>
    </row>
    <row r="184">
      <c r="A184" s="183"/>
      <c r="B184" s="188" t="str">
        <f>IFERROR(__xludf.DUMMYFUNCTION("""COMPUTED_VALUE"""),"Dewdrop")</f>
        <v>Dewdrop</v>
      </c>
      <c r="C184" s="188">
        <f t="shared" si="1"/>
        <v>1</v>
      </c>
      <c r="D184" s="20" t="s">
        <v>3169</v>
      </c>
      <c r="E184" s="20">
        <v>1.0</v>
      </c>
    </row>
    <row r="185">
      <c r="A185" s="183"/>
      <c r="B185" s="188" t="str">
        <f>IFERROR(__xludf.DUMMYFUNCTION("""COMPUTED_VALUE"""),"Dragon")</f>
        <v>Dragon</v>
      </c>
      <c r="C185" s="188">
        <f t="shared" si="1"/>
        <v>6</v>
      </c>
      <c r="D185" s="20" t="s">
        <v>3170</v>
      </c>
      <c r="E185" s="20">
        <v>1.0</v>
      </c>
    </row>
    <row r="186">
      <c r="A186" s="183"/>
      <c r="B186" s="188" t="str">
        <f>IFERROR(__xludf.DUMMYFUNCTION("""COMPUTED_VALUE"""),"Egg")</f>
        <v>Egg</v>
      </c>
      <c r="C186" s="188">
        <f t="shared" si="1"/>
        <v>1</v>
      </c>
      <c r="D186" s="20" t="s">
        <v>3171</v>
      </c>
      <c r="E186" s="20">
        <v>1.0</v>
      </c>
    </row>
    <row r="187">
      <c r="A187" s="183" t="str">
        <f>IFERROR(__xludf.DUMMYFUNCTION("""COMPUTED_VALUE"""),"The")</f>
        <v>The</v>
      </c>
      <c r="B187" s="188" t="str">
        <f>IFERROR(__xludf.DUMMYFUNCTION("""COMPUTED_VALUE"""),"Dustdance")</f>
        <v>Dustdance</v>
      </c>
      <c r="C187" s="188">
        <f t="shared" si="1"/>
        <v>1</v>
      </c>
      <c r="D187" s="20" t="s">
        <v>3172</v>
      </c>
      <c r="E187" s="20">
        <v>1.0</v>
      </c>
    </row>
    <row r="188">
      <c r="A188" s="183" t="str">
        <f>IFERROR(__xludf.DUMMYFUNCTION("""COMPUTED_VALUE"""),"Kitty")</f>
        <v>Kitty</v>
      </c>
      <c r="B188" s="188" t="str">
        <f>IFERROR(__xludf.DUMMYFUNCTION("""COMPUTED_VALUE"""),"Efreet")</f>
        <v>Efreet</v>
      </c>
      <c r="C188" s="188">
        <f t="shared" si="1"/>
        <v>1</v>
      </c>
      <c r="D188" s="20" t="s">
        <v>3173</v>
      </c>
      <c r="E188" s="20">
        <v>1.0</v>
      </c>
    </row>
    <row r="189">
      <c r="A189" s="183" t="str">
        <f>IFERROR(__xludf.DUMMYFUNCTION("""COMPUTED_VALUE"""),"of")</f>
        <v>of</v>
      </c>
      <c r="B189" s="188" t="str">
        <f>IFERROR(__xludf.DUMMYFUNCTION("""COMPUTED_VALUE"""),"Hermit")</f>
        <v>Hermit</v>
      </c>
      <c r="C189" s="188">
        <f t="shared" si="1"/>
        <v>3</v>
      </c>
      <c r="D189" s="20" t="s">
        <v>3174</v>
      </c>
      <c r="E189" s="20">
        <v>1.0</v>
      </c>
    </row>
    <row r="190">
      <c r="A190" s="183" t="str">
        <f>IFERROR(__xludf.DUMMYFUNCTION("""COMPUTED_VALUE"""),"Thamiel")</f>
        <v>Thamiel</v>
      </c>
      <c r="B190" s="188" t="str">
        <f>IFERROR(__xludf.DUMMYFUNCTION("""COMPUTED_VALUE"""),"Horizon")</f>
        <v>Horizon</v>
      </c>
      <c r="C190" s="188">
        <f t="shared" si="1"/>
        <v>1</v>
      </c>
      <c r="D190" s="20" t="s">
        <v>3175</v>
      </c>
      <c r="E190" s="20">
        <v>1.0</v>
      </c>
    </row>
    <row r="191">
      <c r="A191" s="183"/>
      <c r="B191" s="188" t="str">
        <f>IFERROR(__xludf.DUMMYFUNCTION("""COMPUTED_VALUE"""),"Roughlands")</f>
        <v>Roughlands</v>
      </c>
      <c r="C191" s="188">
        <f t="shared" si="1"/>
        <v>1</v>
      </c>
      <c r="D191" s="20" t="s">
        <v>3176</v>
      </c>
      <c r="E191" s="20">
        <v>1.0</v>
      </c>
    </row>
    <row r="192">
      <c r="A192" s="183" t="str">
        <f>IFERROR(__xludf.DUMMYFUNCTION("""COMPUTED_VALUE"""),"Thunderswarm")</f>
        <v>Thunderswarm</v>
      </c>
      <c r="B192" s="188" t="str">
        <f>IFERROR(__xludf.DUMMYFUNCTION("""COMPUTED_VALUE"""),"Scourge")</f>
        <v>Scourge</v>
      </c>
      <c r="C192" s="188">
        <f t="shared" si="1"/>
        <v>1</v>
      </c>
      <c r="D192" s="20" t="s">
        <v>3177</v>
      </c>
      <c r="E192" s="20">
        <v>1.0</v>
      </c>
    </row>
    <row r="193">
      <c r="A193" s="183" t="str">
        <f>IFERROR(__xludf.DUMMYFUNCTION("""COMPUTED_VALUE"""),"Skirmisher")</f>
        <v>Skirmisher</v>
      </c>
      <c r="B193" s="188" t="str">
        <f>IFERROR(__xludf.DUMMYFUNCTION("""COMPUTED_VALUE"""),"Mirrorworld")</f>
        <v>Mirrorworld</v>
      </c>
      <c r="C193" s="188">
        <f t="shared" si="1"/>
        <v>1</v>
      </c>
      <c r="D193" s="20" t="s">
        <v>3178</v>
      </c>
      <c r="E193" s="20">
        <v>1.0</v>
      </c>
    </row>
    <row r="194">
      <c r="A194" s="183"/>
      <c r="B194" s="188" t="str">
        <f>IFERROR(__xludf.DUMMYFUNCTION("""COMPUTED_VALUE"""),"Bloodseeker")</f>
        <v>Bloodseeker</v>
      </c>
      <c r="C194" s="188">
        <f t="shared" si="1"/>
        <v>1</v>
      </c>
      <c r="D194" s="20" t="s">
        <v>3179</v>
      </c>
      <c r="E194" s="20">
        <v>1.0</v>
      </c>
    </row>
    <row r="195">
      <c r="A195" s="183"/>
      <c r="B195" s="188" t="str">
        <f>IFERROR(__xludf.DUMMYFUNCTION("""COMPUTED_VALUE"""),"Mountain")</f>
        <v>Mountain</v>
      </c>
      <c r="C195" s="188">
        <f t="shared" si="1"/>
        <v>1</v>
      </c>
      <c r="D195" s="20" t="s">
        <v>3180</v>
      </c>
      <c r="E195" s="20">
        <v>1.0</v>
      </c>
    </row>
    <row r="196">
      <c r="A196" s="183"/>
      <c r="B196" s="188" t="str">
        <f>IFERROR(__xludf.DUMMYFUNCTION("""COMPUTED_VALUE"""),"Sage")</f>
        <v>Sage</v>
      </c>
      <c r="C196" s="188">
        <f t="shared" si="1"/>
        <v>1</v>
      </c>
      <c r="D196" s="20" t="s">
        <v>3181</v>
      </c>
      <c r="E196" s="20">
        <v>1.0</v>
      </c>
    </row>
    <row r="197">
      <c r="A197" s="183" t="str">
        <f>IFERROR(__xludf.DUMMYFUNCTION("""COMPUTED_VALUE"""),"Tranquil")</f>
        <v>Tranquil</v>
      </c>
      <c r="B197" s="188" t="str">
        <f>IFERROR(__xludf.DUMMYFUNCTION("""COMPUTED_VALUE"""),"Nimbus")</f>
        <v>Nimbus</v>
      </c>
      <c r="C197" s="188">
        <f t="shared" si="1"/>
        <v>1</v>
      </c>
      <c r="D197" s="20" t="s">
        <v>3182</v>
      </c>
      <c r="E197" s="20">
        <v>1.0</v>
      </c>
    </row>
    <row r="198">
      <c r="A198" s="183" t="str">
        <f>IFERROR(__xludf.DUMMYFUNCTION("""COMPUTED_VALUE"""),"Herd")</f>
        <v>Herd</v>
      </c>
      <c r="B198" s="188" t="str">
        <f>IFERROR(__xludf.DUMMYFUNCTION("""COMPUTED_VALUE"""),"Claw")</f>
        <v>Claw</v>
      </c>
      <c r="C198" s="188">
        <f t="shared" si="1"/>
        <v>2</v>
      </c>
      <c r="D198" s="20" t="s">
        <v>3183</v>
      </c>
      <c r="E198" s="20">
        <v>1.0</v>
      </c>
    </row>
    <row r="199">
      <c r="A199" s="183" t="str">
        <f>IFERROR(__xludf.DUMMYFUNCTION("""COMPUTED_VALUE"""),"Gem")</f>
        <v>Gem</v>
      </c>
      <c r="B199" s="188" t="str">
        <f>IFERROR(__xludf.DUMMYFUNCTION("""COMPUTED_VALUE"""),"Omen")</f>
        <v>Omen</v>
      </c>
      <c r="C199" s="188">
        <f t="shared" si="1"/>
        <v>1</v>
      </c>
      <c r="D199" s="20" t="s">
        <v>3184</v>
      </c>
      <c r="E199" s="20">
        <v>1.0</v>
      </c>
    </row>
    <row r="200">
      <c r="A200" s="183" t="str">
        <f>IFERROR(__xludf.DUMMYFUNCTION("""COMPUTED_VALUE"""),"Titan")</f>
        <v>Titan</v>
      </c>
      <c r="B200" s="188" t="str">
        <f>IFERROR(__xludf.DUMMYFUNCTION("""COMPUTED_VALUE"""),"Firefly")</f>
        <v>Firefly</v>
      </c>
      <c r="C200" s="188">
        <f t="shared" si="1"/>
        <v>1</v>
      </c>
      <c r="D200" s="20" t="s">
        <v>3185</v>
      </c>
      <c r="E200" s="20">
        <v>1.0</v>
      </c>
    </row>
    <row r="201">
      <c r="A201" s="183"/>
      <c r="B201" s="188" t="str">
        <f>IFERROR(__xludf.DUMMYFUNCTION("""COMPUTED_VALUE"""),"Pixie")</f>
        <v>Pixie</v>
      </c>
      <c r="C201" s="188">
        <f t="shared" si="1"/>
        <v>1</v>
      </c>
      <c r="D201" s="20" t="s">
        <v>3186</v>
      </c>
      <c r="E201" s="20">
        <v>1.0</v>
      </c>
    </row>
    <row r="202">
      <c r="A202" s="183" t="str">
        <f>IFERROR(__xludf.DUMMYFUNCTION("""COMPUTED_VALUE"""),"Towering")</f>
        <v>Towering</v>
      </c>
      <c r="B202" s="188" t="str">
        <f>IFERROR(__xludf.DUMMYFUNCTION("""COMPUTED_VALUE"""),"Summoner")</f>
        <v>Summoner</v>
      </c>
      <c r="C202" s="188">
        <f t="shared" si="1"/>
        <v>1</v>
      </c>
      <c r="D202" s="20" t="s">
        <v>3187</v>
      </c>
      <c r="E202" s="20">
        <v>1.0</v>
      </c>
    </row>
    <row r="203">
      <c r="A203" s="183" t="str">
        <f>IFERROR(__xludf.DUMMYFUNCTION("""COMPUTED_VALUE"""),"Obelisk")</f>
        <v>Obelisk</v>
      </c>
      <c r="B203" s="188" t="str">
        <f>IFERROR(__xludf.DUMMYFUNCTION("""COMPUTED_VALUE"""),"Pyretic")</f>
        <v>Pyretic</v>
      </c>
      <c r="C203" s="188">
        <f t="shared" si="1"/>
        <v>1</v>
      </c>
      <c r="D203" s="20" t="s">
        <v>3188</v>
      </c>
      <c r="E203" s="20">
        <v>1.0</v>
      </c>
    </row>
    <row r="204">
      <c r="A204" s="183" t="str">
        <f>IFERROR(__xludf.DUMMYFUNCTION("""COMPUTED_VALUE"""),"of")</f>
        <v>of</v>
      </c>
      <c r="B204" s="188" t="str">
        <f>IFERROR(__xludf.DUMMYFUNCTION("""COMPUTED_VALUE"""),"Pet")</f>
        <v>Pet</v>
      </c>
      <c r="C204" s="188">
        <f t="shared" si="1"/>
        <v>1</v>
      </c>
      <c r="D204" s="20" t="s">
        <v>3189</v>
      </c>
      <c r="E204" s="20">
        <v>1.0</v>
      </c>
    </row>
    <row r="205">
      <c r="A205" s="183" t="str">
        <f>IFERROR(__xludf.DUMMYFUNCTION("""COMPUTED_VALUE"""),"Xi")</f>
        <v>Xi</v>
      </c>
      <c r="B205" s="188" t="str">
        <f>IFERROR(__xludf.DUMMYFUNCTION("""COMPUTED_VALUE"""),"Shifting")</f>
        <v>Shifting</v>
      </c>
      <c r="C205" s="188">
        <f t="shared" si="1"/>
        <v>1</v>
      </c>
      <c r="D205" s="20" t="s">
        <v>3190</v>
      </c>
      <c r="E205" s="20">
        <v>1.0</v>
      </c>
    </row>
    <row r="206">
      <c r="A206" s="183"/>
      <c r="B206" s="188" t="str">
        <f>IFERROR(__xludf.DUMMYFUNCTION("""COMPUTED_VALUE"""),"Sands")</f>
        <v>Sands</v>
      </c>
      <c r="C206" s="188">
        <f t="shared" si="1"/>
        <v>1</v>
      </c>
      <c r="D206" s="20" t="s">
        <v>3191</v>
      </c>
      <c r="E206" s="20">
        <v>1.0</v>
      </c>
    </row>
    <row r="207">
      <c r="A207" s="183" t="str">
        <f>IFERROR(__xludf.DUMMYFUNCTION("""COMPUTED_VALUE"""),"Thunderswarm")</f>
        <v>Thunderswarm</v>
      </c>
      <c r="B207" s="188" t="str">
        <f>IFERROR(__xludf.DUMMYFUNCTION("""COMPUTED_VALUE"""),"Torii")</f>
        <v>Torii</v>
      </c>
      <c r="C207" s="188">
        <f t="shared" si="1"/>
        <v>1</v>
      </c>
      <c r="D207" s="20" t="s">
        <v>3192</v>
      </c>
      <c r="E207" s="20">
        <v>1.0</v>
      </c>
    </row>
    <row r="208">
      <c r="A208" s="183" t="str">
        <f>IFERROR(__xludf.DUMMYFUNCTION("""COMPUTED_VALUE"""),"Pegasus")</f>
        <v>Pegasus</v>
      </c>
      <c r="B208" s="188" t="str">
        <f>IFERROR(__xludf.DUMMYFUNCTION("""COMPUTED_VALUE"""),"Spirit")</f>
        <v>Spirit</v>
      </c>
      <c r="C208" s="188">
        <f t="shared" si="1"/>
        <v>1</v>
      </c>
      <c r="D208" s="20" t="s">
        <v>3193</v>
      </c>
      <c r="E208" s="20">
        <v>1.0</v>
      </c>
    </row>
    <row r="209">
      <c r="A209" s="183"/>
      <c r="B209" s="188" t="str">
        <f>IFERROR(__xludf.DUMMYFUNCTION("""COMPUTED_VALUE"""),"Red")</f>
        <v>Red</v>
      </c>
      <c r="C209" s="188">
        <f t="shared" si="1"/>
        <v>2</v>
      </c>
      <c r="D209" s="20" t="s">
        <v>3194</v>
      </c>
      <c r="E209" s="20">
        <v>1.0</v>
      </c>
    </row>
    <row r="210">
      <c r="A210" s="183"/>
      <c r="B210" s="188" t="str">
        <f>IFERROR(__xludf.DUMMYFUNCTION("""COMPUTED_VALUE"""),"Windkite")</f>
        <v>Windkite</v>
      </c>
      <c r="C210" s="188">
        <f t="shared" si="1"/>
        <v>1</v>
      </c>
      <c r="D210" s="20" t="s">
        <v>3195</v>
      </c>
      <c r="E210" s="20">
        <v>1.0</v>
      </c>
    </row>
    <row r="211">
      <c r="A211" s="183"/>
      <c r="B211" s="188" t="str">
        <f>IFERROR(__xludf.DUMMYFUNCTION("""COMPUTED_VALUE"""),"Acolyte")</f>
        <v>Acolyte</v>
      </c>
      <c r="C211" s="188">
        <f t="shared" si="1"/>
        <v>2</v>
      </c>
      <c r="D211" s="20" t="s">
        <v>3196</v>
      </c>
      <c r="E211" s="20">
        <v>1.0</v>
      </c>
    </row>
    <row r="212">
      <c r="A212" s="183" t="str">
        <f>IFERROR(__xludf.DUMMYFUNCTION("""COMPUTED_VALUE"""),"Winged")</f>
        <v>Winged</v>
      </c>
      <c r="B212" s="188" t="str">
        <f>IFERROR(__xludf.DUMMYFUNCTION("""COMPUTED_VALUE"""),"Sand")</f>
        <v>Sand</v>
      </c>
      <c r="C212" s="188">
        <f t="shared" si="1"/>
        <v>1</v>
      </c>
      <c r="D212" s="20" t="s">
        <v>3197</v>
      </c>
      <c r="E212" s="20">
        <v>1.0</v>
      </c>
    </row>
    <row r="213">
      <c r="A213" s="183" t="str">
        <f>IFERROR(__xludf.DUMMYFUNCTION("""COMPUTED_VALUE"""),"Ushabti")</f>
        <v>Ushabti</v>
      </c>
      <c r="B213" s="188" t="str">
        <f>IFERROR(__xludf.DUMMYFUNCTION("""COMPUTED_VALUE"""),"Witch")</f>
        <v>Witch</v>
      </c>
      <c r="C213" s="188">
        <f t="shared" si="1"/>
        <v>1</v>
      </c>
      <c r="D213" s="20" t="s">
        <v>3198</v>
      </c>
      <c r="E213" s="20">
        <v>1.0</v>
      </c>
    </row>
    <row r="214">
      <c r="A214" s="183"/>
      <c r="B214" s="188" t="str">
        <f>IFERROR(__xludf.DUMMYFUNCTION("""COMPUTED_VALUE"""),"Shardhorde")</f>
        <v>Shardhorde</v>
      </c>
      <c r="C214" s="188">
        <f t="shared" si="1"/>
        <v>3</v>
      </c>
      <c r="D214" s="20" t="s">
        <v>3199</v>
      </c>
      <c r="E214" s="20">
        <v>1.0</v>
      </c>
    </row>
    <row r="215">
      <c r="A215" s="183"/>
      <c r="B215" s="188" t="str">
        <f>IFERROR(__xludf.DUMMYFUNCTION("""COMPUTED_VALUE"""),"Galewhelp")</f>
        <v>Galewhelp</v>
      </c>
      <c r="C215" s="188">
        <f t="shared" si="1"/>
        <v>1</v>
      </c>
      <c r="D215" s="20" t="s">
        <v>3200</v>
      </c>
      <c r="E215" s="20">
        <v>1.0</v>
      </c>
    </row>
    <row r="216">
      <c r="A216" s="183"/>
      <c r="B216" s="188" t="str">
        <f>IFERROR(__xludf.DUMMYFUNCTION("""COMPUTED_VALUE"""),"Amberlock")</f>
        <v>Amberlock</v>
      </c>
      <c r="C216" s="188">
        <f t="shared" si="1"/>
        <v>1</v>
      </c>
      <c r="D216" s="20" t="s">
        <v>3201</v>
      </c>
      <c r="E216" s="20">
        <v>1.0</v>
      </c>
    </row>
    <row r="217">
      <c r="A217" s="183" t="str">
        <f>IFERROR(__xludf.DUMMYFUNCTION("""COMPUTED_VALUE"""),"Ghostfire")</f>
        <v>Ghostfire</v>
      </c>
      <c r="B217" s="188" t="str">
        <f>IFERROR(__xludf.DUMMYFUNCTION("""COMPUTED_VALUE"""),"Dragonling")</f>
        <v>Dragonling</v>
      </c>
      <c r="C217" s="188">
        <f t="shared" si="1"/>
        <v>1</v>
      </c>
      <c r="D217" s="20" t="s">
        <v>3202</v>
      </c>
      <c r="E217" s="20">
        <v>1.0</v>
      </c>
    </row>
    <row r="218">
      <c r="A218" s="183" t="str">
        <f>IFERROR(__xludf.DUMMYFUNCTION("""COMPUTED_VALUE"""),"Basilisk")</f>
        <v>Basilisk</v>
      </c>
      <c r="B218" s="188" t="str">
        <f>IFERROR(__xludf.DUMMYFUNCTION("""COMPUTED_VALUE"""),"Dragonfire")</f>
        <v>Dragonfire</v>
      </c>
      <c r="C218" s="188">
        <f t="shared" si="1"/>
        <v>1</v>
      </c>
      <c r="D218" s="20" t="s">
        <v>3203</v>
      </c>
      <c r="E218" s="20">
        <v>1.0</v>
      </c>
    </row>
    <row r="219">
      <c r="A219" s="183"/>
      <c r="B219" s="188" t="str">
        <f>IFERROR(__xludf.DUMMYFUNCTION("""COMPUTED_VALUE"""),"Warlock")</f>
        <v>Warlock</v>
      </c>
      <c r="C219" s="188">
        <f t="shared" si="1"/>
        <v>1</v>
      </c>
      <c r="D219" s="20" t="s">
        <v>3204</v>
      </c>
      <c r="E219" s="20">
        <v>1.0</v>
      </c>
    </row>
    <row r="220">
      <c r="A220" s="183"/>
      <c r="B220" s="188" t="str">
        <f>IFERROR(__xludf.DUMMYFUNCTION("""COMPUTED_VALUE"""),"Dragonwind")</f>
        <v>Dragonwind</v>
      </c>
      <c r="C220" s="188">
        <f t="shared" si="1"/>
        <v>1</v>
      </c>
      <c r="D220" s="20" t="s">
        <v>3205</v>
      </c>
      <c r="E220" s="20">
        <v>1.0</v>
      </c>
    </row>
    <row r="221">
      <c r="A221" s="183"/>
      <c r="B221" s="188" t="str">
        <f>IFERROR(__xludf.DUMMYFUNCTION("""COMPUTED_VALUE"""),"Harbinger")</f>
        <v>Harbinger</v>
      </c>
      <c r="C221" s="188">
        <f t="shared" si="1"/>
        <v>1</v>
      </c>
      <c r="D221" s="20" t="s">
        <v>3206</v>
      </c>
      <c r="E221" s="20">
        <v>1.0</v>
      </c>
    </row>
    <row r="222">
      <c r="A222" s="183" t="str">
        <f>IFERROR(__xludf.DUMMYFUNCTION("""COMPUTED_VALUE"""),"Yellow")</f>
        <v>Yellow</v>
      </c>
      <c r="B222" s="188" t="str">
        <f>IFERROR(__xludf.DUMMYFUNCTION("""COMPUTED_VALUE"""),"Sparkwielder")</f>
        <v>Sparkwielder</v>
      </c>
      <c r="C222" s="188">
        <f t="shared" si="1"/>
        <v>1</v>
      </c>
      <c r="D222" s="20" t="s">
        <v>3207</v>
      </c>
      <c r="E222" s="20">
        <v>1.0</v>
      </c>
    </row>
    <row r="223">
      <c r="A223" s="183" t="str">
        <f>IFERROR(__xludf.DUMMYFUNCTION("""COMPUTED_VALUE"""),"Crusader")</f>
        <v>Crusader</v>
      </c>
      <c r="B223" s="188" t="str">
        <f>IFERROR(__xludf.DUMMYFUNCTION("""COMPUTED_VALUE"""),"Gashopper")</f>
        <v>Gashopper</v>
      </c>
      <c r="C223" s="188">
        <f t="shared" si="1"/>
        <v>1</v>
      </c>
      <c r="D223" s="20" t="s">
        <v>3208</v>
      </c>
      <c r="E223" s="20">
        <v>1.0</v>
      </c>
    </row>
    <row r="224">
      <c r="A224" s="183"/>
      <c r="B224" s="188" t="str">
        <f>IFERROR(__xludf.DUMMYFUNCTION("""COMPUTED_VALUE"""),"Hailbringer")</f>
        <v>Hailbringer</v>
      </c>
      <c r="C224" s="188">
        <f t="shared" si="1"/>
        <v>1</v>
      </c>
      <c r="D224" s="20" t="s">
        <v>3209</v>
      </c>
      <c r="E224" s="20">
        <v>1.0</v>
      </c>
    </row>
    <row r="225">
      <c r="A225" s="183"/>
      <c r="B225" s="188" t="str">
        <f>IFERROR(__xludf.DUMMYFUNCTION("""COMPUTED_VALUE"""),"Stormlash")</f>
        <v>Stormlash</v>
      </c>
      <c r="C225" s="188">
        <f t="shared" si="1"/>
        <v>1</v>
      </c>
      <c r="D225" s="20" t="s">
        <v>3210</v>
      </c>
      <c r="E225" s="20">
        <v>1.0</v>
      </c>
    </row>
    <row r="226">
      <c r="A226" s="183"/>
      <c r="B226" s="188" t="str">
        <f>IFERROR(__xludf.DUMMYFUNCTION("""COMPUTED_VALUE"""),"Stormworn")</f>
        <v>Stormworn</v>
      </c>
      <c r="C226" s="188">
        <f t="shared" si="1"/>
        <v>1</v>
      </c>
      <c r="D226" s="20" t="s">
        <v>3211</v>
      </c>
      <c r="E226" s="20">
        <v>1.0</v>
      </c>
    </row>
    <row r="227">
      <c r="A227" s="183" t="str">
        <f>IFERROR(__xludf.DUMMYFUNCTION("""COMPUTED_VALUE"""),"Young")</f>
        <v>Young</v>
      </c>
      <c r="B227" s="188" t="str">
        <f>IFERROR(__xludf.DUMMYFUNCTION("""COMPUTED_VALUE"""),"Horn")</f>
        <v>Horn</v>
      </c>
      <c r="C227" s="188">
        <f t="shared" si="1"/>
        <v>1</v>
      </c>
      <c r="D227" s="20" t="s">
        <v>3212</v>
      </c>
      <c r="E227" s="20">
        <v>1.0</v>
      </c>
    </row>
    <row r="228">
      <c r="A228" s="183" t="str">
        <f>IFERROR(__xludf.DUMMYFUNCTION("""COMPUTED_VALUE"""),"Monk")</f>
        <v>Monk</v>
      </c>
      <c r="B228" s="188" t="str">
        <f>IFERROR(__xludf.DUMMYFUNCTION("""COMPUTED_VALUE"""),"Glinteye")</f>
        <v>Glinteye</v>
      </c>
      <c r="C228" s="188">
        <f t="shared" si="1"/>
        <v>1</v>
      </c>
      <c r="D228" s="20" t="s">
        <v>3213</v>
      </c>
      <c r="E228" s="20">
        <v>1.0</v>
      </c>
    </row>
    <row r="229">
      <c r="A229" s="183"/>
      <c r="B229" s="188" t="str">
        <f>IFERROR(__xludf.DUMMYFUNCTION("""COMPUTED_VALUE"""),"Hoarder")</f>
        <v>Hoarder</v>
      </c>
      <c r="C229" s="188">
        <f t="shared" si="1"/>
        <v>1</v>
      </c>
      <c r="D229" s="20" t="s">
        <v>3214</v>
      </c>
      <c r="E229" s="20">
        <v>1.0</v>
      </c>
    </row>
    <row r="230">
      <c r="A230" s="183"/>
      <c r="B230" s="188" t="str">
        <f>IFERROR(__xludf.DUMMYFUNCTION("""COMPUTED_VALUE"""),"Culling")</f>
        <v>Culling</v>
      </c>
      <c r="C230" s="188">
        <f t="shared" si="1"/>
        <v>1</v>
      </c>
      <c r="D230" s="20" t="s">
        <v>3215</v>
      </c>
      <c r="E230" s="20">
        <v>1.0</v>
      </c>
    </row>
    <row r="231">
      <c r="A231" s="183"/>
      <c r="B231" s="188" t="str">
        <f>IFERROR(__xludf.DUMMYFUNCTION("""COMPUTED_VALUE"""),"Thunderfox")</f>
        <v>Thunderfox</v>
      </c>
      <c r="C231" s="188">
        <f t="shared" si="1"/>
        <v>1</v>
      </c>
      <c r="D231" s="20" t="s">
        <v>3216</v>
      </c>
      <c r="E231" s="20">
        <v>1.0</v>
      </c>
    </row>
    <row r="232">
      <c r="A232" s="183" t="str">
        <f>IFERROR(__xludf.DUMMYFUNCTION("""COMPUTED_VALUE"""),"Cartouche")</f>
        <v>Cartouche</v>
      </c>
      <c r="B232" s="188" t="str">
        <f>IFERROR(__xludf.DUMMYFUNCTION("""COMPUTED_VALUE"""),"Raijin's")</f>
        <v>Raijin's</v>
      </c>
      <c r="C232" s="188">
        <f t="shared" si="1"/>
        <v>1</v>
      </c>
      <c r="D232" s="20" t="s">
        <v>3217</v>
      </c>
      <c r="E232" s="20">
        <v>1.0</v>
      </c>
    </row>
    <row r="233">
      <c r="A233" s="183" t="str">
        <f>IFERROR(__xludf.DUMMYFUNCTION("""COMPUTED_VALUE"""),"Luster")</f>
        <v>Luster</v>
      </c>
      <c r="B233" s="188" t="str">
        <f>IFERROR(__xludf.DUMMYFUNCTION("""COMPUTED_VALUE"""),"Familiar")</f>
        <v>Familiar</v>
      </c>
      <c r="C233" s="188">
        <f t="shared" si="1"/>
        <v>2</v>
      </c>
      <c r="D233" s="20" t="s">
        <v>3218</v>
      </c>
      <c r="E233" s="20">
        <v>1.0</v>
      </c>
    </row>
    <row r="234">
      <c r="A234" s="183"/>
      <c r="B234" s="188" t="str">
        <f>IFERROR(__xludf.DUMMYFUNCTION("""COMPUTED_VALUE"""),"Twin")</f>
        <v>Twin</v>
      </c>
      <c r="C234" s="188">
        <f t="shared" si="1"/>
        <v>2</v>
      </c>
      <c r="D234" s="20" t="s">
        <v>3219</v>
      </c>
      <c r="E234" s="20">
        <v>1.0</v>
      </c>
    </row>
    <row r="235">
      <c r="A235" s="183"/>
      <c r="B235" s="188" t="str">
        <f>IFERROR(__xludf.DUMMYFUNCTION("""COMPUTED_VALUE"""),"Thundertail")</f>
        <v>Thundertail</v>
      </c>
      <c r="C235" s="188">
        <f t="shared" si="1"/>
        <v>1</v>
      </c>
      <c r="D235" s="20" t="s">
        <v>3220</v>
      </c>
      <c r="E235" s="20">
        <v>1.0</v>
      </c>
    </row>
    <row r="236">
      <c r="A236" s="183"/>
      <c r="B236" s="188" t="str">
        <f>IFERROR(__xludf.DUMMYFUNCTION("""COMPUTED_VALUE"""),"Vengeful")</f>
        <v>Vengeful</v>
      </c>
      <c r="C236" s="188">
        <f t="shared" si="1"/>
        <v>1</v>
      </c>
      <c r="D236" s="20" t="s">
        <v>3221</v>
      </c>
      <c r="E236" s="20">
        <v>1.0</v>
      </c>
    </row>
    <row r="237">
      <c r="A237" s="183" t="str">
        <f>IFERROR(__xludf.DUMMYFUNCTION("""COMPUTED_VALUE"""),"Golden")</f>
        <v>Golden</v>
      </c>
      <c r="B237" s="188" t="str">
        <f>IFERROR(__xludf.DUMMYFUNCTION("""COMPUTED_VALUE"""),"Gust")</f>
        <v>Gust</v>
      </c>
      <c r="C237" s="188">
        <f t="shared" si="1"/>
        <v>1</v>
      </c>
      <c r="D237" s="20" t="s">
        <v>3222</v>
      </c>
      <c r="E237" s="20">
        <v>1.0</v>
      </c>
    </row>
    <row r="238">
      <c r="A238" s="183" t="str">
        <f>IFERROR(__xludf.DUMMYFUNCTION("""COMPUTED_VALUE"""),"Phoenix")</f>
        <v>Phoenix</v>
      </c>
      <c r="B238" s="188" t="str">
        <f>IFERROR(__xludf.DUMMYFUNCTION("""COMPUTED_VALUE"""),"Runecursed")</f>
        <v>Runecursed</v>
      </c>
      <c r="C238" s="188">
        <f t="shared" si="1"/>
        <v>1</v>
      </c>
      <c r="D238" s="20" t="s">
        <v>3223</v>
      </c>
      <c r="E238" s="20">
        <v>1.0</v>
      </c>
    </row>
    <row r="239">
      <c r="A239" s="183"/>
      <c r="B239" s="188" t="str">
        <f>IFERROR(__xludf.DUMMYFUNCTION("""COMPUTED_VALUE"""),"Skulloath")</f>
        <v>Skulloath</v>
      </c>
      <c r="C239" s="188">
        <f t="shared" si="1"/>
        <v>2</v>
      </c>
      <c r="D239" s="20" t="s">
        <v>3224</v>
      </c>
      <c r="E239" s="20">
        <v>1.0</v>
      </c>
    </row>
    <row r="240">
      <c r="A240" s="183"/>
      <c r="B240" s="188" t="str">
        <f>IFERROR(__xludf.DUMMYFUNCTION("""COMPUTED_VALUE"""),"Lootclaimer")</f>
        <v>Lootclaimer</v>
      </c>
      <c r="C240" s="188">
        <f t="shared" si="1"/>
        <v>1</v>
      </c>
      <c r="D240" s="20" t="s">
        <v>3225</v>
      </c>
      <c r="E240" s="20">
        <v>1.0</v>
      </c>
    </row>
    <row r="241">
      <c r="A241" s="183"/>
      <c r="B241" s="188" t="str">
        <f>IFERROR(__xludf.DUMMYFUNCTION("""COMPUTED_VALUE"""),"Spell")</f>
        <v>Spell</v>
      </c>
      <c r="C241" s="188">
        <f t="shared" si="1"/>
        <v>1</v>
      </c>
      <c r="D241" s="20" t="s">
        <v>3226</v>
      </c>
      <c r="E241" s="20">
        <v>1.0</v>
      </c>
    </row>
    <row r="242">
      <c r="A242" s="183" t="str">
        <f>IFERROR(__xludf.DUMMYFUNCTION("""COMPUTED_VALUE"""),"Hailstorm")</f>
        <v>Hailstorm</v>
      </c>
      <c r="B242" s="188" t="str">
        <f>IFERROR(__xludf.DUMMYFUNCTION("""COMPUTED_VALUE"""),"Cat")</f>
        <v>Cat</v>
      </c>
      <c r="C242" s="188">
        <f t="shared" si="1"/>
        <v>1</v>
      </c>
      <c r="D242" s="20" t="s">
        <v>3227</v>
      </c>
      <c r="E242" s="20">
        <v>1.0</v>
      </c>
    </row>
    <row r="243">
      <c r="A243" s="183" t="str">
        <f>IFERROR(__xludf.DUMMYFUNCTION("""COMPUTED_VALUE"""),"Seraph")</f>
        <v>Seraph</v>
      </c>
      <c r="B243" s="188" t="str">
        <f>IFERROR(__xludf.DUMMYFUNCTION("""COMPUTED_VALUE"""),"Vermillion")</f>
        <v>Vermillion</v>
      </c>
      <c r="C243" s="188">
        <f t="shared" si="1"/>
        <v>1</v>
      </c>
      <c r="D243" s="20" t="s">
        <v>3228</v>
      </c>
      <c r="E243" s="20">
        <v>1.0</v>
      </c>
    </row>
    <row r="244">
      <c r="A244" s="183"/>
      <c r="B244" s="188" t="str">
        <f>IFERROR(__xludf.DUMMYFUNCTION("""COMPUTED_VALUE"""),"Firebird")</f>
        <v>Firebird</v>
      </c>
      <c r="C244" s="188">
        <f t="shared" si="1"/>
        <v>1</v>
      </c>
      <c r="D244" s="20" t="s">
        <v>3229</v>
      </c>
      <c r="E244" s="20">
        <v>1.0</v>
      </c>
    </row>
    <row r="245">
      <c r="A245" s="183"/>
      <c r="B245" s="188" t="str">
        <f>IFERROR(__xludf.DUMMYFUNCTION("""COMPUTED_VALUE"""),"Oasisdweller")</f>
        <v>Oasisdweller</v>
      </c>
      <c r="C245" s="188">
        <f t="shared" si="1"/>
        <v>1</v>
      </c>
      <c r="D245" s="20" t="s">
        <v>3230</v>
      </c>
      <c r="E245" s="20">
        <v>1.0</v>
      </c>
    </row>
    <row r="246">
      <c r="A246" s="183"/>
      <c r="B246" s="188" t="str">
        <f>IFERROR(__xludf.DUMMYFUNCTION("""COMPUTED_VALUE"""),"Portalrunner")</f>
        <v>Portalrunner</v>
      </c>
      <c r="C246" s="188">
        <f t="shared" si="1"/>
        <v>1</v>
      </c>
      <c r="D246" s="20" t="s">
        <v>3231</v>
      </c>
      <c r="E246" s="20">
        <v>1.0</v>
      </c>
    </row>
    <row r="247">
      <c r="A247" s="183" t="str">
        <f>IFERROR(__xludf.DUMMYFUNCTION("""COMPUTED_VALUE"""),"Scittering")</f>
        <v>Scittering</v>
      </c>
      <c r="B247" s="188" t="str">
        <f>IFERROR(__xludf.DUMMYFUNCTION("""COMPUTED_VALUE"""),"Irregulars")</f>
        <v>Irregulars</v>
      </c>
      <c r="C247" s="188">
        <f t="shared" si="1"/>
        <v>1</v>
      </c>
      <c r="D247" s="20" t="s">
        <v>3232</v>
      </c>
      <c r="E247" s="20">
        <v>1.0</v>
      </c>
    </row>
    <row r="248">
      <c r="A248" s="183" t="str">
        <f>IFERROR(__xludf.DUMMYFUNCTION("""COMPUTED_VALUE"""),"Scorpion")</f>
        <v>Scorpion</v>
      </c>
      <c r="B248" s="188" t="str">
        <f>IFERROR(__xludf.DUMMYFUNCTION("""COMPUTED_VALUE"""),"Steelclaw")</f>
        <v>Steelclaw</v>
      </c>
      <c r="C248" s="188">
        <f t="shared" si="1"/>
        <v>1</v>
      </c>
      <c r="D248" s="20" t="s">
        <v>3233</v>
      </c>
      <c r="E248" s="20">
        <v>1.0</v>
      </c>
    </row>
    <row r="249">
      <c r="A249" s="183"/>
      <c r="B249" s="188" t="str">
        <f>IFERROR(__xludf.DUMMYFUNCTION("""COMPUTED_VALUE"""),"Veterans")</f>
        <v>Veterans</v>
      </c>
      <c r="C249" s="188">
        <f t="shared" si="1"/>
        <v>1</v>
      </c>
      <c r="D249" s="20" t="s">
        <v>3234</v>
      </c>
      <c r="E249" s="20">
        <v>1.0</v>
      </c>
    </row>
    <row r="250">
      <c r="A250" s="183"/>
      <c r="B250" s="188" t="str">
        <f>IFERROR(__xludf.DUMMYFUNCTION("""COMPUTED_VALUE"""),"Crazed")</f>
        <v>Crazed</v>
      </c>
      <c r="C250" s="188">
        <f t="shared" si="1"/>
        <v>2</v>
      </c>
      <c r="D250" s="20" t="s">
        <v>3235</v>
      </c>
      <c r="E250" s="20">
        <v>1.0</v>
      </c>
    </row>
    <row r="251">
      <c r="A251" s="183"/>
      <c r="B251" s="188" t="str">
        <f>IFERROR(__xludf.DUMMYFUNCTION("""COMPUTED_VALUE"""),"Galeweaver")</f>
        <v>Galeweaver</v>
      </c>
      <c r="C251" s="188">
        <f t="shared" si="1"/>
        <v>1</v>
      </c>
      <c r="D251" s="20" t="s">
        <v>3236</v>
      </c>
      <c r="E251" s="20">
        <v>1.0</v>
      </c>
    </row>
    <row r="252">
      <c r="A252" s="183" t="str">
        <f>IFERROR(__xludf.DUMMYFUNCTION("""COMPUTED_VALUE"""),"Wrath")</f>
        <v>Wrath</v>
      </c>
      <c r="B252" s="188" t="str">
        <f>IFERROR(__xludf.DUMMYFUNCTION("""COMPUTED_VALUE"""),"Lurking")</f>
        <v>Lurking</v>
      </c>
      <c r="C252" s="188">
        <f t="shared" si="1"/>
        <v>1</v>
      </c>
      <c r="D252" s="20" t="s">
        <v>3237</v>
      </c>
      <c r="E252" s="20">
        <v>1.0</v>
      </c>
    </row>
    <row r="253">
      <c r="A253" s="183" t="str">
        <f>IFERROR(__xludf.DUMMYFUNCTION("""COMPUTED_VALUE"""),"of")</f>
        <v>of</v>
      </c>
      <c r="B253" s="188" t="str">
        <f>IFERROR(__xludf.DUMMYFUNCTION("""COMPUTED_VALUE"""),"Canopystomper")</f>
        <v>Canopystomper</v>
      </c>
      <c r="C253" s="188">
        <f t="shared" si="1"/>
        <v>1</v>
      </c>
      <c r="D253" s="20" t="s">
        <v>3238</v>
      </c>
      <c r="E253" s="20">
        <v>1.0</v>
      </c>
    </row>
    <row r="254">
      <c r="A254" s="183" t="str">
        <f>IFERROR(__xludf.DUMMYFUNCTION("""COMPUTED_VALUE"""),"the")</f>
        <v>the</v>
      </c>
      <c r="B254" s="188" t="str">
        <f>IFERROR(__xludf.DUMMYFUNCTION("""COMPUTED_VALUE"""),"Resourceful")</f>
        <v>Resourceful</v>
      </c>
      <c r="C254" s="188">
        <f t="shared" si="1"/>
        <v>1</v>
      </c>
      <c r="D254" s="20" t="s">
        <v>3239</v>
      </c>
      <c r="E254" s="20">
        <v>1.0</v>
      </c>
    </row>
    <row r="255">
      <c r="A255" s="183" t="str">
        <f>IFERROR(__xludf.DUMMYFUNCTION("""COMPUTED_VALUE"""),"Pharaoh")</f>
        <v>Pharaoh</v>
      </c>
      <c r="B255" s="188" t="str">
        <f>IFERROR(__xludf.DUMMYFUNCTION("""COMPUTED_VALUE"""),"Poacher")</f>
        <v>Poacher</v>
      </c>
      <c r="C255" s="188">
        <f t="shared" si="1"/>
        <v>1</v>
      </c>
      <c r="D255" s="20" t="s">
        <v>3240</v>
      </c>
      <c r="E255" s="20">
        <v>1.0</v>
      </c>
    </row>
    <row r="256">
      <c r="A256" s="183"/>
      <c r="B256" s="188" t="str">
        <f>IFERROR(__xludf.DUMMYFUNCTION("""COMPUTED_VALUE"""),"Infernoblight")</f>
        <v>Infernoblight</v>
      </c>
      <c r="C256" s="188">
        <f t="shared" si="1"/>
        <v>1</v>
      </c>
      <c r="D256" s="20" t="s">
        <v>3241</v>
      </c>
      <c r="E256" s="20">
        <v>1.0</v>
      </c>
    </row>
    <row r="257">
      <c r="A257" s="183" t="str">
        <f>IFERROR(__xludf.DUMMYFUNCTION("""COMPUTED_VALUE"""),"Bringer")</f>
        <v>Bringer</v>
      </c>
      <c r="B257" s="188" t="str">
        <f>IFERROR(__xludf.DUMMYFUNCTION("""COMPUTED_VALUE"""),"Skyshrieker")</f>
        <v>Skyshrieker</v>
      </c>
      <c r="C257" s="188">
        <f t="shared" si="1"/>
        <v>1</v>
      </c>
      <c r="D257" s="20" t="s">
        <v>3242</v>
      </c>
      <c r="E257" s="20">
        <v>1.0</v>
      </c>
    </row>
    <row r="258">
      <c r="A258" s="183" t="str">
        <f>IFERROR(__xludf.DUMMYFUNCTION("""COMPUTED_VALUE"""),"of")</f>
        <v>of</v>
      </c>
      <c r="B258" s="188" t="str">
        <f>IFERROR(__xludf.DUMMYFUNCTION("""COMPUTED_VALUE"""),"Mistborn")</f>
        <v>Mistborn</v>
      </c>
      <c r="C258" s="188">
        <f t="shared" si="1"/>
        <v>1</v>
      </c>
      <c r="D258" s="20" t="s">
        <v>3243</v>
      </c>
      <c r="E258" s="20">
        <v>1.0</v>
      </c>
    </row>
    <row r="259">
      <c r="A259" s="183" t="str">
        <f>IFERROR(__xludf.DUMMYFUNCTION("""COMPUTED_VALUE"""),"Good")</f>
        <v>Good</v>
      </c>
      <c r="B259" s="188" t="str">
        <f>IFERROR(__xludf.DUMMYFUNCTION("""COMPUTED_VALUE"""),"Serpent")</f>
        <v>Serpent</v>
      </c>
      <c r="C259" s="188">
        <f t="shared" si="1"/>
        <v>1</v>
      </c>
      <c r="D259" s="20" t="s">
        <v>3244</v>
      </c>
      <c r="E259" s="20">
        <v>1.0</v>
      </c>
    </row>
    <row r="260">
      <c r="A260" s="183" t="str">
        <f>IFERROR(__xludf.DUMMYFUNCTION("""COMPUTED_VALUE"""),"News")</f>
        <v>News</v>
      </c>
      <c r="B260" s="188" t="str">
        <f>IFERROR(__xludf.DUMMYFUNCTION("""COMPUTED_VALUE"""),"Bad")</f>
        <v>Bad</v>
      </c>
      <c r="C260" s="188">
        <f t="shared" si="1"/>
        <v>1</v>
      </c>
      <c r="D260" s="20" t="s">
        <v>3245</v>
      </c>
      <c r="E260" s="20">
        <v>1.0</v>
      </c>
    </row>
    <row r="261">
      <c r="A261" s="183"/>
      <c r="B261" s="188" t="str">
        <f>IFERROR(__xludf.DUMMYFUNCTION("""COMPUTED_VALUE"""),"Omens")</f>
        <v>Omens</v>
      </c>
      <c r="C261" s="188">
        <f t="shared" si="1"/>
        <v>1</v>
      </c>
      <c r="D261" s="20" t="s">
        <v>410</v>
      </c>
      <c r="E261" s="20">
        <v>1.0</v>
      </c>
    </row>
    <row r="262">
      <c r="A262" s="183" t="str">
        <f>IFERROR(__xludf.DUMMYFUNCTION("""COMPUTED_VALUE"""),"Thunderswarm")</f>
        <v>Thunderswarm</v>
      </c>
      <c r="B262" s="188" t="str">
        <f>IFERROR(__xludf.DUMMYFUNCTION("""COMPUTED_VALUE"""),"Gaunt")</f>
        <v>Gaunt</v>
      </c>
      <c r="C262" s="188">
        <f t="shared" si="1"/>
        <v>1</v>
      </c>
      <c r="D262" s="20" t="s">
        <v>3246</v>
      </c>
      <c r="E262" s="20">
        <v>1.0</v>
      </c>
    </row>
    <row r="263">
      <c r="A263" s="183" t="str">
        <f>IFERROR(__xludf.DUMMYFUNCTION("""COMPUTED_VALUE"""),"Lightning")</f>
        <v>Lightning</v>
      </c>
      <c r="B263" s="188" t="str">
        <f>IFERROR(__xludf.DUMMYFUNCTION("""COMPUTED_VALUE"""),"Visitation")</f>
        <v>Visitation</v>
      </c>
      <c r="C263" s="188">
        <f t="shared" si="1"/>
        <v>1</v>
      </c>
      <c r="D263" s="20" t="s">
        <v>3247</v>
      </c>
      <c r="E263" s="20">
        <v>1.0</v>
      </c>
    </row>
    <row r="264">
      <c r="A264" s="183" t="str">
        <f>IFERROR(__xludf.DUMMYFUNCTION("""COMPUTED_VALUE"""),"Rider")</f>
        <v>Rider</v>
      </c>
      <c r="B264" s="188" t="str">
        <f>IFERROR(__xludf.DUMMYFUNCTION("""COMPUTED_VALUE"""),"Manticore")</f>
        <v>Manticore</v>
      </c>
      <c r="C264" s="188">
        <f t="shared" si="1"/>
        <v>1</v>
      </c>
      <c r="D264" s="20" t="s">
        <v>3248</v>
      </c>
      <c r="E264" s="20">
        <v>1.0</v>
      </c>
    </row>
    <row r="265">
      <c r="A265" s="183"/>
      <c r="B265" s="188" t="str">
        <f>IFERROR(__xludf.DUMMYFUNCTION("""COMPUTED_VALUE"""),"Featherfrost")</f>
        <v>Featherfrost</v>
      </c>
      <c r="C265" s="188">
        <f t="shared" si="1"/>
        <v>1</v>
      </c>
      <c r="D265" s="20" t="s">
        <v>3249</v>
      </c>
      <c r="E265" s="20">
        <v>1.0</v>
      </c>
    </row>
    <row r="266">
      <c r="A266" s="183"/>
      <c r="B266" s="188" t="str">
        <f>IFERROR(__xludf.DUMMYFUNCTION("""COMPUTED_VALUE"""),"Harpy")</f>
        <v>Harpy</v>
      </c>
      <c r="C266" s="188">
        <f t="shared" si="1"/>
        <v>1</v>
      </c>
      <c r="D266" s="20" t="s">
        <v>3250</v>
      </c>
      <c r="E266" s="20">
        <v>1.0</v>
      </c>
    </row>
    <row r="267">
      <c r="A267" s="183" t="str">
        <f>IFERROR(__xludf.DUMMYFUNCTION("""COMPUTED_VALUE"""),"Desertwind")</f>
        <v>Desertwind</v>
      </c>
      <c r="B267" s="188" t="str">
        <f>IFERROR(__xludf.DUMMYFUNCTION("""COMPUTED_VALUE"""),"Raging")</f>
        <v>Raging</v>
      </c>
      <c r="C267" s="188">
        <f t="shared" si="1"/>
        <v>1</v>
      </c>
      <c r="D267" s="20" t="s">
        <v>3251</v>
      </c>
      <c r="E267" s="20">
        <v>1.0</v>
      </c>
    </row>
    <row r="268">
      <c r="A268" s="183" t="str">
        <f>IFERROR(__xludf.DUMMYFUNCTION("""COMPUTED_VALUE"""),"Relic")</f>
        <v>Relic</v>
      </c>
      <c r="B268" s="188" t="str">
        <f>IFERROR(__xludf.DUMMYFUNCTION("""COMPUTED_VALUE"""),"Minotaur")</f>
        <v>Minotaur</v>
      </c>
      <c r="C268" s="188">
        <f t="shared" si="1"/>
        <v>1</v>
      </c>
      <c r="D268" s="20" t="s">
        <v>3252</v>
      </c>
      <c r="E268" s="20">
        <v>1.0</v>
      </c>
    </row>
    <row r="269">
      <c r="A269" s="183" t="str">
        <f>IFERROR(__xludf.DUMMYFUNCTION("""COMPUTED_VALUE"""),"Hunter")</f>
        <v>Hunter</v>
      </c>
      <c r="B269" s="188" t="str">
        <f>IFERROR(__xludf.DUMMYFUNCTION("""COMPUTED_VALUE"""),"Raijin")</f>
        <v>Raijin</v>
      </c>
      <c r="C269" s="188">
        <f t="shared" si="1"/>
        <v>1</v>
      </c>
      <c r="D269" s="20" t="s">
        <v>3253</v>
      </c>
      <c r="E269" s="20">
        <v>1.0</v>
      </c>
    </row>
    <row r="270">
      <c r="A270" s="183"/>
      <c r="B270" s="188" t="str">
        <f>IFERROR(__xludf.DUMMYFUNCTION("""COMPUTED_VALUE"""),"Venomshade")</f>
        <v>Venomshade</v>
      </c>
      <c r="C270" s="188">
        <f t="shared" si="1"/>
        <v>1</v>
      </c>
      <c r="D270" s="20" t="s">
        <v>3254</v>
      </c>
      <c r="E270" s="20">
        <v>1.0</v>
      </c>
    </row>
    <row r="271">
      <c r="A271" s="183"/>
      <c r="B271" s="188" t="str">
        <f>IFERROR(__xludf.DUMMYFUNCTION("""COMPUTED_VALUE"""),"Lamia")</f>
        <v>Lamia</v>
      </c>
      <c r="C271" s="188">
        <f t="shared" si="1"/>
        <v>1</v>
      </c>
      <c r="D271" s="20" t="s">
        <v>3255</v>
      </c>
      <c r="E271" s="20">
        <v>1.0</v>
      </c>
    </row>
    <row r="272">
      <c r="A272" s="183" t="str">
        <f>IFERROR(__xludf.DUMMYFUNCTION("""COMPUTED_VALUE"""),"Exemplar")</f>
        <v>Exemplar</v>
      </c>
      <c r="B272" s="188" t="str">
        <f>IFERROR(__xludf.DUMMYFUNCTION("""COMPUTED_VALUE"""),"Volcano")</f>
        <v>Volcano</v>
      </c>
      <c r="C272" s="188">
        <f t="shared" si="1"/>
        <v>1</v>
      </c>
      <c r="D272" s="20" t="s">
        <v>773</v>
      </c>
      <c r="E272" s="20">
        <v>1.0</v>
      </c>
    </row>
    <row r="273">
      <c r="A273" s="183" t="str">
        <f>IFERROR(__xludf.DUMMYFUNCTION("""COMPUTED_VALUE"""),"of")</f>
        <v>of</v>
      </c>
      <c r="B273" s="188" t="str">
        <f>IFERROR(__xludf.DUMMYFUNCTION("""COMPUTED_VALUE"""),"Embodiment")</f>
        <v>Embodiment</v>
      </c>
      <c r="C273" s="188">
        <f t="shared" si="1"/>
        <v>1</v>
      </c>
      <c r="D273" s="20" t="s">
        <v>775</v>
      </c>
      <c r="E273" s="20">
        <v>1.0</v>
      </c>
    </row>
    <row r="274">
      <c r="A274" s="183" t="str">
        <f>IFERROR(__xludf.DUMMYFUNCTION("""COMPUTED_VALUE"""),"Lunar")</f>
        <v>Lunar</v>
      </c>
      <c r="B274" s="188" t="str">
        <f>IFERROR(__xludf.DUMMYFUNCTION("""COMPUTED_VALUE"""),"Leviathan")</f>
        <v>Leviathan</v>
      </c>
      <c r="C274" s="188">
        <f t="shared" si="1"/>
        <v>1</v>
      </c>
      <c r="D274" s="20" t="s">
        <v>789</v>
      </c>
      <c r="E274" s="20">
        <v>1.0</v>
      </c>
    </row>
    <row r="275">
      <c r="A275" s="183" t="str">
        <f>IFERROR(__xludf.DUMMYFUNCTION("""COMPUTED_VALUE"""),"Gleam")</f>
        <v>Gleam</v>
      </c>
      <c r="B275" s="188" t="str">
        <f>IFERROR(__xludf.DUMMYFUNCTION("""COMPUTED_VALUE"""),"Tectonic")</f>
        <v>Tectonic</v>
      </c>
      <c r="C275" s="188">
        <f t="shared" si="1"/>
        <v>1</v>
      </c>
      <c r="D275" s="20" t="s">
        <v>792</v>
      </c>
      <c r="E275" s="20">
        <v>1.0</v>
      </c>
    </row>
    <row r="276">
      <c r="A276" s="183"/>
      <c r="B276" s="188" t="str">
        <f>IFERROR(__xludf.DUMMYFUNCTION("""COMPUTED_VALUE"""),"Shifter")</f>
        <v>Shifter</v>
      </c>
      <c r="C276" s="188">
        <f t="shared" si="1"/>
        <v>1</v>
      </c>
      <c r="D276" s="20" t="s">
        <v>3256</v>
      </c>
      <c r="E276" s="20">
        <v>1.0</v>
      </c>
    </row>
    <row r="277">
      <c r="A277" s="183" t="str">
        <f>IFERROR(__xludf.DUMMYFUNCTION("""COMPUTED_VALUE"""),"Pomegrake")</f>
        <v>Pomegrake</v>
      </c>
      <c r="B277" s="188" t="str">
        <f>IFERROR(__xludf.DUMMYFUNCTION("""COMPUTED_VALUE"""),"Bastion")</f>
        <v>Bastion</v>
      </c>
      <c r="C277" s="188">
        <f t="shared" si="1"/>
        <v>1</v>
      </c>
      <c r="D277" s="20" t="s">
        <v>3257</v>
      </c>
      <c r="E277" s="20">
        <v>1.0</v>
      </c>
    </row>
    <row r="278">
      <c r="A278" s="183"/>
      <c r="B278" s="188" t="str">
        <f>IFERROR(__xludf.DUMMYFUNCTION("""COMPUTED_VALUE"""),"Architect")</f>
        <v>Architect</v>
      </c>
      <c r="C278" s="188">
        <f t="shared" si="1"/>
        <v>1</v>
      </c>
      <c r="D278" s="20" t="s">
        <v>3258</v>
      </c>
      <c r="E278" s="20">
        <v>1.0</v>
      </c>
    </row>
    <row r="279">
      <c r="A279" s="183"/>
      <c r="B279" s="188" t="str">
        <f>IFERROR(__xludf.DUMMYFUNCTION("""COMPUTED_VALUE"""),"Sovereign")</f>
        <v>Sovereign</v>
      </c>
      <c r="C279" s="188">
        <f t="shared" si="1"/>
        <v>3</v>
      </c>
      <c r="D279" s="20" t="s">
        <v>3259</v>
      </c>
      <c r="E279" s="20">
        <v>1.0</v>
      </c>
    </row>
    <row r="280">
      <c r="A280" s="183"/>
      <c r="B280" s="188" t="str">
        <f>IFERROR(__xludf.DUMMYFUNCTION("""COMPUTED_VALUE"""),"Spellwyrm")</f>
        <v>Spellwyrm</v>
      </c>
      <c r="C280" s="188">
        <f t="shared" si="1"/>
        <v>1</v>
      </c>
      <c r="D280" s="20" t="s">
        <v>3260</v>
      </c>
      <c r="E280" s="20">
        <v>1.0</v>
      </c>
    </row>
    <row r="281">
      <c r="A281" s="183"/>
      <c r="B281" s="188" t="str">
        <f>IFERROR(__xludf.DUMMYFUNCTION("""COMPUTED_VALUE"""),"Crownfire")</f>
        <v>Crownfire</v>
      </c>
      <c r="C281" s="188">
        <f t="shared" si="1"/>
        <v>1</v>
      </c>
      <c r="D281" s="20" t="s">
        <v>816</v>
      </c>
      <c r="E281" s="20">
        <v>1.0</v>
      </c>
    </row>
    <row r="282">
      <c r="A282" s="183" t="str">
        <f>IFERROR(__xludf.DUMMYFUNCTION("""COMPUTED_VALUE"""),"The")</f>
        <v>The</v>
      </c>
      <c r="B282" s="188" t="str">
        <f>IFERROR(__xludf.DUMMYFUNCTION("""COMPUTED_VALUE"""),"Empress")</f>
        <v>Empress</v>
      </c>
      <c r="C282" s="188">
        <f t="shared" si="1"/>
        <v>1</v>
      </c>
      <c r="D282" s="20" t="s">
        <v>3261</v>
      </c>
      <c r="E282" s="20">
        <v>1.0</v>
      </c>
    </row>
    <row r="283">
      <c r="A283" s="183" t="str">
        <f>IFERROR(__xludf.DUMMYFUNCTION("""COMPUTED_VALUE"""),"Embalmer")</f>
        <v>Embalmer</v>
      </c>
      <c r="B283" s="188" t="str">
        <f>IFERROR(__xludf.DUMMYFUNCTION("""COMPUTED_VALUE"""),"Blue")</f>
        <v>Blue</v>
      </c>
      <c r="C283" s="188">
        <f t="shared" si="1"/>
        <v>2</v>
      </c>
      <c r="D283" s="20" t="s">
        <v>3262</v>
      </c>
      <c r="E283" s="20">
        <v>1.0</v>
      </c>
    </row>
    <row r="284">
      <c r="A284" s="183"/>
      <c r="B284" s="188" t="str">
        <f>IFERROR(__xludf.DUMMYFUNCTION("""COMPUTED_VALUE"""),"Venom-Dew")</f>
        <v>Venom-Dew</v>
      </c>
      <c r="C284" s="188">
        <f t="shared" si="1"/>
        <v>1</v>
      </c>
      <c r="D284" s="20" t="s">
        <v>3263</v>
      </c>
      <c r="E284" s="20">
        <v>1.0</v>
      </c>
    </row>
    <row r="285">
      <c r="A285" s="183"/>
      <c r="B285" s="188" t="str">
        <f>IFERROR(__xludf.DUMMYFUNCTION("""COMPUTED_VALUE"""),"Golemsaurus")</f>
        <v>Golemsaurus</v>
      </c>
      <c r="C285" s="188">
        <f t="shared" si="1"/>
        <v>1</v>
      </c>
      <c r="D285" s="20" t="s">
        <v>3264</v>
      </c>
      <c r="E285" s="20">
        <v>1.0</v>
      </c>
    </row>
    <row r="286">
      <c r="A286" s="183"/>
      <c r="B286" s="188" t="str">
        <f>IFERROR(__xludf.DUMMYFUNCTION("""COMPUTED_VALUE"""),"Slumbering")</f>
        <v>Slumbering</v>
      </c>
      <c r="C286" s="188">
        <f t="shared" si="1"/>
        <v>2</v>
      </c>
      <c r="D286" s="20" t="s">
        <v>3265</v>
      </c>
      <c r="E286" s="20">
        <v>1.0</v>
      </c>
    </row>
    <row r="287">
      <c r="A287" s="183" t="str">
        <f>IFERROR(__xludf.DUMMYFUNCTION("""COMPUTED_VALUE"""),"Ushabti")</f>
        <v>Ushabti</v>
      </c>
      <c r="B287" s="188" t="str">
        <f>IFERROR(__xludf.DUMMYFUNCTION("""COMPUTED_VALUE"""),"Cavedrake")</f>
        <v>Cavedrake</v>
      </c>
      <c r="C287" s="188">
        <f t="shared" si="1"/>
        <v>1</v>
      </c>
      <c r="D287" s="20" t="s">
        <v>3266</v>
      </c>
      <c r="E287" s="20">
        <v>1.0</v>
      </c>
    </row>
    <row r="288">
      <c r="A288" s="183" t="str">
        <f>IFERROR(__xludf.DUMMYFUNCTION("""COMPUTED_VALUE"""),"Carver")</f>
        <v>Carver</v>
      </c>
      <c r="B288" s="188" t="str">
        <f>IFERROR(__xludf.DUMMYFUNCTION("""COMPUTED_VALUE"""),"Eagle")</f>
        <v>Eagle</v>
      </c>
      <c r="C288" s="188">
        <f t="shared" si="1"/>
        <v>1</v>
      </c>
      <c r="D288" s="20" t="s">
        <v>3267</v>
      </c>
      <c r="E288" s="20">
        <v>1.0</v>
      </c>
    </row>
    <row r="289">
      <c r="A289" s="183"/>
      <c r="B289" s="188" t="str">
        <f>IFERROR(__xludf.DUMMYFUNCTION("""COMPUTED_VALUE"""),"Legion")</f>
        <v>Legion</v>
      </c>
      <c r="C289" s="188">
        <f t="shared" si="1"/>
        <v>2</v>
      </c>
      <c r="D289" s="20" t="s">
        <v>3268</v>
      </c>
      <c r="E289" s="20">
        <v>1.0</v>
      </c>
    </row>
    <row r="290">
      <c r="A290" s="183"/>
      <c r="B290" s="188" t="str">
        <f>IFERROR(__xludf.DUMMYFUNCTION("""COMPUTED_VALUE"""),"Starfall")</f>
        <v>Starfall</v>
      </c>
      <c r="C290" s="188">
        <f t="shared" si="1"/>
        <v>1</v>
      </c>
      <c r="D290" s="20" t="s">
        <v>3269</v>
      </c>
      <c r="E290" s="20">
        <v>1.0</v>
      </c>
    </row>
    <row r="291">
      <c r="A291" s="183"/>
      <c r="B291" s="188" t="str">
        <f>IFERROR(__xludf.DUMMYFUNCTION("""COMPUTED_VALUE"""),"Shaman")</f>
        <v>Shaman</v>
      </c>
      <c r="C291" s="188">
        <f t="shared" si="1"/>
        <v>2</v>
      </c>
      <c r="D291" s="20" t="s">
        <v>3270</v>
      </c>
      <c r="E291" s="20">
        <v>1.0</v>
      </c>
    </row>
    <row r="292">
      <c r="A292" s="183" t="str">
        <f>IFERROR(__xludf.DUMMYFUNCTION("""COMPUTED_VALUE"""),"Shattercrown")</f>
        <v>Shattercrown</v>
      </c>
      <c r="B292" s="188" t="str">
        <f>IFERROR(__xludf.DUMMYFUNCTION("""COMPUTED_VALUE"""),"Merchant")</f>
        <v>Merchant</v>
      </c>
      <c r="C292" s="188">
        <f t="shared" si="1"/>
        <v>1</v>
      </c>
      <c r="D292" s="20" t="s">
        <v>881</v>
      </c>
      <c r="E292" s="20">
        <v>1.0</v>
      </c>
    </row>
    <row r="293">
      <c r="A293" s="183" t="str">
        <f>IFERROR(__xludf.DUMMYFUNCTION("""COMPUTED_VALUE"""),"Luminary")</f>
        <v>Luminary</v>
      </c>
      <c r="B293" s="188" t="str">
        <f>IFERROR(__xludf.DUMMYFUNCTION("""COMPUTED_VALUE"""),"Gladehost")</f>
        <v>Gladehost</v>
      </c>
      <c r="C293" s="188">
        <f t="shared" si="1"/>
        <v>2</v>
      </c>
      <c r="D293" s="20" t="s">
        <v>894</v>
      </c>
      <c r="E293" s="20">
        <v>1.0</v>
      </c>
    </row>
    <row r="294">
      <c r="A294" s="183"/>
      <c r="B294" s="188" t="str">
        <f>IFERROR(__xludf.DUMMYFUNCTION("""COMPUTED_VALUE"""),"Shotmaster")</f>
        <v>Shotmaster</v>
      </c>
      <c r="C294" s="188">
        <f t="shared" si="1"/>
        <v>1</v>
      </c>
      <c r="D294" s="20" t="s">
        <v>3271</v>
      </c>
      <c r="E294" s="20">
        <v>1.0</v>
      </c>
    </row>
    <row r="295">
      <c r="A295" s="183"/>
      <c r="B295" s="188" t="str">
        <f>IFERROR(__xludf.DUMMYFUNCTION("""COMPUTED_VALUE"""),"Flamebearer")</f>
        <v>Flamebearer</v>
      </c>
      <c r="C295" s="188">
        <f t="shared" si="1"/>
        <v>1</v>
      </c>
      <c r="D295" s="20" t="s">
        <v>3272</v>
      </c>
      <c r="E295" s="20">
        <v>1.0</v>
      </c>
    </row>
    <row r="296">
      <c r="A296" s="183"/>
      <c r="B296" s="188" t="str">
        <f>IFERROR(__xludf.DUMMYFUNCTION("""COMPUTED_VALUE"""),"Tidecrasher")</f>
        <v>Tidecrasher</v>
      </c>
      <c r="C296" s="188">
        <f t="shared" si="1"/>
        <v>1</v>
      </c>
      <c r="D296" s="20" t="s">
        <v>3273</v>
      </c>
      <c r="E296" s="20">
        <v>1.0</v>
      </c>
    </row>
    <row r="297">
      <c r="A297" s="183" t="str">
        <f>IFERROR(__xludf.DUMMYFUNCTION("""COMPUTED_VALUE"""),"Shepard")</f>
        <v>Shepard</v>
      </c>
      <c r="B297" s="188" t="str">
        <f>IFERROR(__xludf.DUMMYFUNCTION("""COMPUTED_VALUE"""),"Imperial")</f>
        <v>Imperial</v>
      </c>
      <c r="C297" s="188">
        <f t="shared" si="1"/>
        <v>1</v>
      </c>
      <c r="D297" s="20" t="s">
        <v>923</v>
      </c>
      <c r="E297" s="20">
        <v>1.0</v>
      </c>
    </row>
    <row r="298">
      <c r="A298" s="183" t="str">
        <f>IFERROR(__xludf.DUMMYFUNCTION("""COMPUTED_VALUE"""),"of")</f>
        <v>of</v>
      </c>
      <c r="B298" s="188" t="str">
        <f>IFERROR(__xludf.DUMMYFUNCTION("""COMPUTED_VALUE"""),"Tyrant")</f>
        <v>Tyrant</v>
      </c>
      <c r="C298" s="188">
        <f t="shared" si="1"/>
        <v>1</v>
      </c>
      <c r="D298" s="20" t="s">
        <v>3274</v>
      </c>
      <c r="E298" s="20">
        <v>1.0</v>
      </c>
    </row>
    <row r="299">
      <c r="A299" s="183" t="str">
        <f>IFERROR(__xludf.DUMMYFUNCTION("""COMPUTED_VALUE"""),"the")</f>
        <v>the</v>
      </c>
      <c r="B299" s="188" t="str">
        <f>IFERROR(__xludf.DUMMYFUNCTION("""COMPUTED_VALUE"""),"Eons-old")</f>
        <v>Eons-old</v>
      </c>
      <c r="C299" s="188">
        <f t="shared" si="1"/>
        <v>1</v>
      </c>
      <c r="D299" s="20" t="s">
        <v>3275</v>
      </c>
      <c r="E299" s="20">
        <v>1.0</v>
      </c>
    </row>
    <row r="300">
      <c r="A300" s="183" t="str">
        <f>IFERROR(__xludf.DUMMYFUNCTION("""COMPUTED_VALUE"""),"Morning")</f>
        <v>Morning</v>
      </c>
      <c r="B300" s="188" t="str">
        <f>IFERROR(__xludf.DUMMYFUNCTION("""COMPUTED_VALUE"""),"Crystalfang")</f>
        <v>Crystalfang</v>
      </c>
      <c r="C300" s="188">
        <f t="shared" si="1"/>
        <v>1</v>
      </c>
      <c r="D300" s="20" t="s">
        <v>3276</v>
      </c>
      <c r="E300" s="20">
        <v>1.0</v>
      </c>
    </row>
    <row r="301">
      <c r="A301" s="183" t="str">
        <f>IFERROR(__xludf.DUMMYFUNCTION("""COMPUTED_VALUE"""),"Dew")</f>
        <v>Dew</v>
      </c>
      <c r="B301" s="188" t="str">
        <f>IFERROR(__xludf.DUMMYFUNCTION("""COMPUTED_VALUE"""),"Makeshift")</f>
        <v>Makeshift</v>
      </c>
      <c r="C301" s="188">
        <f t="shared" si="1"/>
        <v>1</v>
      </c>
      <c r="D301" s="20" t="s">
        <v>3277</v>
      </c>
      <c r="E301" s="20">
        <v>1.0</v>
      </c>
    </row>
    <row r="302">
      <c r="A302" s="183" t="str">
        <f>IFERROR(__xludf.DUMMYFUNCTION("""COMPUTED_VALUE"""),"Arboreal")</f>
        <v>Arboreal</v>
      </c>
      <c r="B302" s="188" t="str">
        <f>IFERROR(__xludf.DUMMYFUNCTION("""COMPUTED_VALUE"""),"Militia")</f>
        <v>Militia</v>
      </c>
      <c r="C302" s="188">
        <f t="shared" si="1"/>
        <v>1</v>
      </c>
      <c r="D302" s="20" t="s">
        <v>945</v>
      </c>
      <c r="E302" s="20">
        <v>1.0</v>
      </c>
    </row>
    <row r="303">
      <c r="A303" s="183" t="str">
        <f>IFERROR(__xludf.DUMMYFUNCTION("""COMPUTED_VALUE"""),"Messenger")</f>
        <v>Messenger</v>
      </c>
      <c r="B303" s="188" t="str">
        <f>IFERROR(__xludf.DUMMYFUNCTION("""COMPUTED_VALUE"""),"Strategist")</f>
        <v>Strategist</v>
      </c>
      <c r="C303" s="188">
        <f t="shared" si="1"/>
        <v>1</v>
      </c>
      <c r="D303" s="20" t="s">
        <v>3278</v>
      </c>
      <c r="E303" s="20">
        <v>1.0</v>
      </c>
    </row>
    <row r="304">
      <c r="A304" s="183"/>
      <c r="B304" s="188" t="str">
        <f>IFERROR(__xludf.DUMMYFUNCTION("""COMPUTED_VALUE"""),"Wraithknight")</f>
        <v>Wraithknight</v>
      </c>
      <c r="C304" s="188">
        <f t="shared" si="1"/>
        <v>1</v>
      </c>
      <c r="D304" s="20" t="s">
        <v>3279</v>
      </c>
      <c r="E304" s="20">
        <v>1.0</v>
      </c>
    </row>
    <row r="305">
      <c r="A305" s="183"/>
      <c r="B305" s="188" t="str">
        <f>IFERROR(__xludf.DUMMYFUNCTION("""COMPUTED_VALUE"""),"Mountblade")</f>
        <v>Mountblade</v>
      </c>
      <c r="C305" s="188">
        <f t="shared" si="1"/>
        <v>1</v>
      </c>
      <c r="D305" s="20" t="s">
        <v>3280</v>
      </c>
      <c r="E305" s="20">
        <v>1.0</v>
      </c>
    </row>
    <row r="306">
      <c r="A306" s="183"/>
      <c r="B306" s="188" t="str">
        <f>IFERROR(__xludf.DUMMYFUNCTION("""COMPUTED_VALUE"""),"Squire")</f>
        <v>Squire</v>
      </c>
      <c r="C306" s="188">
        <f t="shared" si="1"/>
        <v>1</v>
      </c>
      <c r="D306" s="20" t="s">
        <v>3281</v>
      </c>
      <c r="E306" s="20">
        <v>1.0</v>
      </c>
    </row>
    <row r="307">
      <c r="A307" s="183" t="str">
        <f>IFERROR(__xludf.DUMMYFUNCTION("""COMPUTED_VALUE"""),"Auric")</f>
        <v>Auric</v>
      </c>
      <c r="B307" s="188" t="str">
        <f>IFERROR(__xludf.DUMMYFUNCTION("""COMPUTED_VALUE"""),"Pyroclastic")</f>
        <v>Pyroclastic</v>
      </c>
      <c r="C307" s="188">
        <f t="shared" si="1"/>
        <v>1</v>
      </c>
      <c r="D307" s="20" t="s">
        <v>3282</v>
      </c>
      <c r="E307" s="20">
        <v>1.0</v>
      </c>
    </row>
    <row r="308">
      <c r="A308" s="183" t="str">
        <f>IFERROR(__xludf.DUMMYFUNCTION("""COMPUTED_VALUE"""),"Ant")</f>
        <v>Ant</v>
      </c>
      <c r="B308" s="188" t="str">
        <f>IFERROR(__xludf.DUMMYFUNCTION("""COMPUTED_VALUE"""),"Zombie")</f>
        <v>Zombie</v>
      </c>
      <c r="C308" s="188">
        <f t="shared" si="1"/>
        <v>1</v>
      </c>
      <c r="D308" s="20" t="s">
        <v>3283</v>
      </c>
      <c r="E308" s="20">
        <v>1.0</v>
      </c>
    </row>
    <row r="309">
      <c r="A309" s="183" t="str">
        <f>IFERROR(__xludf.DUMMYFUNCTION("""COMPUTED_VALUE"""),"Regent")</f>
        <v>Regent</v>
      </c>
      <c r="B309" s="188" t="str">
        <f>IFERROR(__xludf.DUMMYFUNCTION("""COMPUTED_VALUE"""),"Old")</f>
        <v>Old</v>
      </c>
      <c r="C309" s="188">
        <f t="shared" si="1"/>
        <v>2</v>
      </c>
      <c r="D309" s="20" t="s">
        <v>3284</v>
      </c>
      <c r="E309" s="20">
        <v>1.0</v>
      </c>
    </row>
    <row r="310">
      <c r="A310" s="183"/>
      <c r="B310" s="188" t="str">
        <f>IFERROR(__xludf.DUMMYFUNCTION("""COMPUTED_VALUE"""),"Fisherman")</f>
        <v>Fisherman</v>
      </c>
      <c r="C310" s="188">
        <f t="shared" si="1"/>
        <v>1</v>
      </c>
      <c r="D310" s="20" t="s">
        <v>3285</v>
      </c>
      <c r="E310" s="20">
        <v>1.0</v>
      </c>
    </row>
    <row r="311">
      <c r="A311" s="183"/>
      <c r="B311" s="188" t="str">
        <f>IFERROR(__xludf.DUMMYFUNCTION("""COMPUTED_VALUE"""),"Wasteland")</f>
        <v>Wasteland</v>
      </c>
      <c r="C311" s="188">
        <f t="shared" si="1"/>
        <v>2</v>
      </c>
      <c r="D311" s="20" t="s">
        <v>3286</v>
      </c>
      <c r="E311" s="20">
        <v>1.0</v>
      </c>
    </row>
    <row r="312">
      <c r="A312" s="183" t="str">
        <f>IFERROR(__xludf.DUMMYFUNCTION("""COMPUTED_VALUE"""),"Blessing")</f>
        <v>Blessing</v>
      </c>
      <c r="B312" s="188" t="str">
        <f>IFERROR(__xludf.DUMMYFUNCTION("""COMPUTED_VALUE"""),"Overlord")</f>
        <v>Overlord</v>
      </c>
      <c r="C312" s="188">
        <f t="shared" si="1"/>
        <v>2</v>
      </c>
      <c r="D312" s="20" t="s">
        <v>3287</v>
      </c>
      <c r="E312" s="20">
        <v>1.0</v>
      </c>
    </row>
    <row r="313">
      <c r="A313" s="183" t="str">
        <f>IFERROR(__xludf.DUMMYFUNCTION("""COMPUTED_VALUE"""),"Bestower")</f>
        <v>Bestower</v>
      </c>
      <c r="B313" s="188" t="str">
        <f>IFERROR(__xludf.DUMMYFUNCTION("""COMPUTED_VALUE"""),"Pinwheel")</f>
        <v>Pinwheel</v>
      </c>
      <c r="C313" s="188">
        <f t="shared" si="1"/>
        <v>1</v>
      </c>
      <c r="D313" s="20" t="s">
        <v>3288</v>
      </c>
      <c r="E313" s="20">
        <v>1.0</v>
      </c>
    </row>
    <row r="314">
      <c r="A314" s="183"/>
      <c r="B314" s="188" t="str">
        <f>IFERROR(__xludf.DUMMYFUNCTION("""COMPUTED_VALUE"""),"Illusionist")</f>
        <v>Illusionist</v>
      </c>
      <c r="C314" s="188">
        <f t="shared" si="1"/>
        <v>1</v>
      </c>
      <c r="D314" s="20" t="s">
        <v>3289</v>
      </c>
      <c r="E314" s="20">
        <v>1.0</v>
      </c>
    </row>
    <row r="315">
      <c r="A315" s="183"/>
      <c r="B315" s="188" t="str">
        <f>IFERROR(__xludf.DUMMYFUNCTION("""COMPUTED_VALUE"""),"Marauder")</f>
        <v>Marauder</v>
      </c>
      <c r="C315" s="188">
        <f t="shared" si="1"/>
        <v>1</v>
      </c>
      <c r="D315" s="20" t="s">
        <v>1001</v>
      </c>
      <c r="E315" s="20">
        <v>1.0</v>
      </c>
    </row>
    <row r="316">
      <c r="A316" s="183"/>
      <c r="B316" s="188" t="str">
        <f>IFERROR(__xludf.DUMMYFUNCTION("""COMPUTED_VALUE"""),"Alchemist's")</f>
        <v>Alchemist's</v>
      </c>
      <c r="C316" s="188">
        <f t="shared" si="1"/>
        <v>1</v>
      </c>
      <c r="D316" s="20" t="s">
        <v>3290</v>
      </c>
      <c r="E316" s="20">
        <v>1.0</v>
      </c>
    </row>
    <row r="317">
      <c r="A317" s="183" t="str">
        <f>IFERROR(__xludf.DUMMYFUNCTION("""COMPUTED_VALUE"""),"Obelisk")</f>
        <v>Obelisk</v>
      </c>
      <c r="B317" s="188" t="str">
        <f>IFERROR(__xludf.DUMMYFUNCTION("""COMPUTED_VALUE"""),"Incense")</f>
        <v>Incense</v>
      </c>
      <c r="C317" s="188">
        <f t="shared" si="1"/>
        <v>1</v>
      </c>
      <c r="D317" s="20" t="s">
        <v>3291</v>
      </c>
      <c r="E317" s="20">
        <v>1.0</v>
      </c>
    </row>
    <row r="318">
      <c r="A318" s="183" t="str">
        <f>IFERROR(__xludf.DUMMYFUNCTION("""COMPUTED_VALUE"""),"Waypost")</f>
        <v>Waypost</v>
      </c>
      <c r="B318" s="188" t="str">
        <f>IFERROR(__xludf.DUMMYFUNCTION("""COMPUTED_VALUE"""),"Quadriga")</f>
        <v>Quadriga</v>
      </c>
      <c r="C318" s="188">
        <f t="shared" si="1"/>
        <v>1</v>
      </c>
      <c r="D318" s="20" t="s">
        <v>3292</v>
      </c>
      <c r="E318" s="20">
        <v>1.0</v>
      </c>
    </row>
    <row r="319">
      <c r="A319" s="183"/>
      <c r="B319" s="188" t="str">
        <f>IFERROR(__xludf.DUMMYFUNCTION("""COMPUTED_VALUE"""),"Triumph")</f>
        <v>Triumph</v>
      </c>
      <c r="C319" s="188">
        <f t="shared" si="1"/>
        <v>1</v>
      </c>
      <c r="D319" s="20" t="s">
        <v>3293</v>
      </c>
      <c r="E319" s="20">
        <v>1.0</v>
      </c>
    </row>
    <row r="320">
      <c r="A320" s="183"/>
      <c r="B320" s="188" t="str">
        <f>IFERROR(__xludf.DUMMYFUNCTION("""COMPUTED_VALUE"""),"Ambrosia")</f>
        <v>Ambrosia</v>
      </c>
      <c r="C320" s="188">
        <f t="shared" si="1"/>
        <v>1</v>
      </c>
      <c r="D320" s="20" t="s">
        <v>3294</v>
      </c>
      <c r="E320" s="20">
        <v>1.0</v>
      </c>
    </row>
    <row r="321">
      <c r="A321" s="183"/>
      <c r="B321" s="188" t="str">
        <f>IFERROR(__xludf.DUMMYFUNCTION("""COMPUTED_VALUE"""),"Bee")</f>
        <v>Bee</v>
      </c>
      <c r="C321" s="188">
        <f t="shared" si="1"/>
        <v>1</v>
      </c>
      <c r="D321" s="20" t="s">
        <v>3295</v>
      </c>
      <c r="E321" s="20">
        <v>1.0</v>
      </c>
    </row>
    <row r="322">
      <c r="A322" s="183" t="str">
        <f>IFERROR(__xludf.DUMMYFUNCTION("""COMPUTED_VALUE"""),"Crimson")</f>
        <v>Crimson</v>
      </c>
      <c r="B322" s="188" t="str">
        <f>IFERROR(__xludf.DUMMYFUNCTION("""COMPUTED_VALUE"""),"Recruiting")</f>
        <v>Recruiting</v>
      </c>
      <c r="C322" s="188">
        <f t="shared" si="1"/>
        <v>1</v>
      </c>
      <c r="D322" s="20" t="s">
        <v>3296</v>
      </c>
      <c r="E322" s="20">
        <v>1.0</v>
      </c>
    </row>
    <row r="323">
      <c r="A323" s="183" t="str">
        <f>IFERROR(__xludf.DUMMYFUNCTION("""COMPUTED_VALUE"""),"Flamechick")</f>
        <v>Flamechick</v>
      </c>
      <c r="B323" s="188" t="str">
        <f>IFERROR(__xludf.DUMMYFUNCTION("""COMPUTED_VALUE"""),"Officer")</f>
        <v>Officer</v>
      </c>
      <c r="C323" s="188">
        <f t="shared" si="1"/>
        <v>1</v>
      </c>
      <c r="D323" s="20" t="s">
        <v>3297</v>
      </c>
      <c r="E323" s="20">
        <v>1.0</v>
      </c>
    </row>
    <row r="324">
      <c r="A324" s="183"/>
      <c r="B324" s="188" t="str">
        <f>IFERROR(__xludf.DUMMYFUNCTION("""COMPUTED_VALUE"""),"Remnant")</f>
        <v>Remnant</v>
      </c>
      <c r="C324" s="188">
        <f t="shared" si="1"/>
        <v>1</v>
      </c>
      <c r="D324" s="20" t="s">
        <v>3298</v>
      </c>
      <c r="E324" s="20">
        <v>1.0</v>
      </c>
    </row>
    <row r="325">
      <c r="A325" s="183"/>
      <c r="B325" s="188" t="str">
        <f>IFERROR(__xludf.DUMMYFUNCTION("""COMPUTED_VALUE"""),"Quiet")</f>
        <v>Quiet</v>
      </c>
      <c r="C325" s="188">
        <f t="shared" si="1"/>
        <v>1</v>
      </c>
      <c r="D325" s="20" t="s">
        <v>3299</v>
      </c>
      <c r="E325" s="20">
        <v>1.0</v>
      </c>
    </row>
    <row r="326">
      <c r="A326" s="183"/>
      <c r="B326" s="188" t="str">
        <f>IFERROR(__xludf.DUMMYFUNCTION("""COMPUTED_VALUE"""),"Springs")</f>
        <v>Springs</v>
      </c>
      <c r="C326" s="188">
        <f t="shared" si="1"/>
        <v>2</v>
      </c>
      <c r="D326" s="20" t="s">
        <v>3300</v>
      </c>
      <c r="E326" s="20">
        <v>1.0</v>
      </c>
    </row>
    <row r="327">
      <c r="A327" s="183" t="str">
        <f>IFERROR(__xludf.DUMMYFUNCTION("""COMPUTED_VALUE"""),"The")</f>
        <v>The</v>
      </c>
      <c r="B327" s="188" t="str">
        <f>IFERROR(__xludf.DUMMYFUNCTION("""COMPUTED_VALUE"""),"Sandring")</f>
        <v>Sandring</v>
      </c>
      <c r="C327" s="188">
        <f t="shared" si="1"/>
        <v>1</v>
      </c>
      <c r="D327" s="20" t="s">
        <v>3301</v>
      </c>
      <c r="E327" s="20">
        <v>1.0</v>
      </c>
    </row>
    <row r="328">
      <c r="A328" s="183" t="str">
        <f>IFERROR(__xludf.DUMMYFUNCTION("""COMPUTED_VALUE"""),"Ascended")</f>
        <v>Ascended</v>
      </c>
      <c r="B328" s="188" t="str">
        <f>IFERROR(__xludf.DUMMYFUNCTION("""COMPUTED_VALUE"""),"Pridemane")</f>
        <v>Pridemane</v>
      </c>
      <c r="C328" s="188">
        <f t="shared" si="1"/>
        <v>1</v>
      </c>
      <c r="D328" s="20" t="s">
        <v>1089</v>
      </c>
      <c r="E328" s="20">
        <v>1.0</v>
      </c>
    </row>
    <row r="329">
      <c r="A329" s="183" t="str">
        <f>IFERROR(__xludf.DUMMYFUNCTION("""COMPUTED_VALUE"""),"One")</f>
        <v>One</v>
      </c>
      <c r="B329" s="188" t="str">
        <f>IFERROR(__xludf.DUMMYFUNCTION("""COMPUTED_VALUE"""),"Filthy")</f>
        <v>Filthy</v>
      </c>
      <c r="C329" s="188">
        <f t="shared" si="1"/>
        <v>1</v>
      </c>
      <c r="D329" s="20" t="s">
        <v>1099</v>
      </c>
      <c r="E329" s="20">
        <v>1.0</v>
      </c>
    </row>
    <row r="330">
      <c r="A330" s="183"/>
      <c r="B330" s="188" t="str">
        <f>IFERROR(__xludf.DUMMYFUNCTION("""COMPUTED_VALUE"""),"Peasant")</f>
        <v>Peasant</v>
      </c>
      <c r="C330" s="188">
        <f t="shared" si="1"/>
        <v>1</v>
      </c>
      <c r="D330" s="20" t="s">
        <v>3302</v>
      </c>
      <c r="E330" s="20">
        <v>1.0</v>
      </c>
    </row>
    <row r="331">
      <c r="A331" s="183"/>
      <c r="B331" s="188" t="str">
        <f>IFERROR(__xludf.DUMMYFUNCTION("""COMPUTED_VALUE"""),"Scapegoat")</f>
        <v>Scapegoat</v>
      </c>
      <c r="C331" s="188">
        <f t="shared" si="1"/>
        <v>1</v>
      </c>
      <c r="D331" s="20" t="s">
        <v>3303</v>
      </c>
      <c r="E331" s="20">
        <v>1.0</v>
      </c>
    </row>
    <row r="332">
      <c r="A332" s="183" t="str">
        <f>IFERROR(__xludf.DUMMYFUNCTION("""COMPUTED_VALUE"""),"Tranquil")</f>
        <v>Tranquil</v>
      </c>
      <c r="B332" s="188" t="str">
        <f>IFERROR(__xludf.DUMMYFUNCTION("""COMPUTED_VALUE"""),"Ironstride")</f>
        <v>Ironstride</v>
      </c>
      <c r="C332" s="188">
        <f t="shared" si="1"/>
        <v>1</v>
      </c>
      <c r="D332" s="20" t="s">
        <v>3304</v>
      </c>
      <c r="E332" s="20">
        <v>1.0</v>
      </c>
    </row>
    <row r="333">
      <c r="A333" s="183" t="str">
        <f>IFERROR(__xludf.DUMMYFUNCTION("""COMPUTED_VALUE"""),"Herd")</f>
        <v>Herd</v>
      </c>
      <c r="B333" s="188" t="str">
        <f>IFERROR(__xludf.DUMMYFUNCTION("""COMPUTED_VALUE"""),"Courser")</f>
        <v>Courser</v>
      </c>
      <c r="C333" s="188">
        <f t="shared" si="1"/>
        <v>1</v>
      </c>
      <c r="D333" s="20" t="s">
        <v>3305</v>
      </c>
      <c r="E333" s="20">
        <v>1.0</v>
      </c>
    </row>
    <row r="334">
      <c r="A334" s="183" t="str">
        <f>IFERROR(__xludf.DUMMYFUNCTION("""COMPUTED_VALUE"""),"Rubyskull")</f>
        <v>Rubyskull</v>
      </c>
      <c r="B334" s="188" t="str">
        <f>IFERROR(__xludf.DUMMYFUNCTION("""COMPUTED_VALUE"""),"Pocket")</f>
        <v>Pocket</v>
      </c>
      <c r="C334" s="188">
        <f t="shared" si="1"/>
        <v>1</v>
      </c>
      <c r="D334" s="20" t="s">
        <v>3306</v>
      </c>
      <c r="E334" s="20">
        <v>1.0</v>
      </c>
    </row>
    <row r="335">
      <c r="A335" s="183"/>
      <c r="B335" s="188" t="str">
        <f>IFERROR(__xludf.DUMMYFUNCTION("""COMPUTED_VALUE"""),"Prime")</f>
        <v>Prime</v>
      </c>
      <c r="C335" s="188">
        <f t="shared" si="1"/>
        <v>1</v>
      </c>
      <c r="D335" s="20" t="s">
        <v>3307</v>
      </c>
      <c r="E335" s="20">
        <v>1.0</v>
      </c>
    </row>
    <row r="336">
      <c r="A336" s="183"/>
      <c r="B336" s="188" t="str">
        <f>IFERROR(__xludf.DUMMYFUNCTION("""COMPUTED_VALUE"""),"Golem")</f>
        <v>Golem</v>
      </c>
      <c r="C336" s="188">
        <f t="shared" si="1"/>
        <v>2</v>
      </c>
      <c r="D336" s="20" t="s">
        <v>1172</v>
      </c>
      <c r="E336" s="20">
        <v>1.0</v>
      </c>
    </row>
    <row r="337">
      <c r="A337" s="183" t="str">
        <f>IFERROR(__xludf.DUMMYFUNCTION("""COMPUTED_VALUE"""),"Blackwing")</f>
        <v>Blackwing</v>
      </c>
      <c r="B337" s="188" t="str">
        <f>IFERROR(__xludf.DUMMYFUNCTION("""COMPUTED_VALUE"""),"Siegebreaker")</f>
        <v>Siegebreaker</v>
      </c>
      <c r="C337" s="188">
        <f t="shared" si="1"/>
        <v>1</v>
      </c>
      <c r="D337" s="20" t="s">
        <v>3308</v>
      </c>
      <c r="E337" s="20">
        <v>1.0</v>
      </c>
    </row>
    <row r="338">
      <c r="A338" s="183" t="str">
        <f>IFERROR(__xludf.DUMMYFUNCTION("""COMPUTED_VALUE"""),"Usurper")</f>
        <v>Usurper</v>
      </c>
      <c r="B338" s="188" t="str">
        <f>IFERROR(__xludf.DUMMYFUNCTION("""COMPUTED_VALUE"""),"Surly")</f>
        <v>Surly</v>
      </c>
      <c r="C338" s="188">
        <f t="shared" si="1"/>
        <v>1</v>
      </c>
      <c r="D338" s="20" t="s">
        <v>3309</v>
      </c>
      <c r="E338" s="20">
        <v>1.0</v>
      </c>
    </row>
    <row r="339">
      <c r="A339" s="183"/>
      <c r="B339" s="188" t="str">
        <f>IFERROR(__xludf.DUMMYFUNCTION("""COMPUTED_VALUE"""),"Donkey")</f>
        <v>Donkey</v>
      </c>
      <c r="C339" s="188">
        <f t="shared" si="1"/>
        <v>1</v>
      </c>
      <c r="D339" s="20" t="s">
        <v>3310</v>
      </c>
      <c r="E339" s="20">
        <v>1.0</v>
      </c>
    </row>
    <row r="340">
      <c r="A340" s="183"/>
      <c r="B340" s="188" t="str">
        <f>IFERROR(__xludf.DUMMYFUNCTION("""COMPUTED_VALUE"""),"Grand")</f>
        <v>Grand</v>
      </c>
      <c r="C340" s="188">
        <f t="shared" si="1"/>
        <v>1</v>
      </c>
      <c r="D340" s="20" t="s">
        <v>3311</v>
      </c>
      <c r="E340" s="20">
        <v>1.0</v>
      </c>
    </row>
    <row r="341">
      <c r="A341" s="183"/>
      <c r="B341" s="188" t="str">
        <f>IFERROR(__xludf.DUMMYFUNCTION("""COMPUTED_VALUE"""),"Ruiner")</f>
        <v>Ruiner</v>
      </c>
      <c r="C341" s="188">
        <f t="shared" si="1"/>
        <v>1</v>
      </c>
      <c r="D341" s="20" t="s">
        <v>3312</v>
      </c>
      <c r="E341" s="20">
        <v>1.0</v>
      </c>
    </row>
    <row r="342">
      <c r="A342" s="183" t="str">
        <f>IFERROR(__xludf.DUMMYFUNCTION("""COMPUTED_VALUE"""),"Thunderswarm")</f>
        <v>Thunderswarm</v>
      </c>
      <c r="B342" s="188" t="str">
        <f>IFERROR(__xludf.DUMMYFUNCTION("""COMPUTED_VALUE"""),"Snow")</f>
        <v>Snow</v>
      </c>
      <c r="C342" s="188">
        <f t="shared" si="1"/>
        <v>1</v>
      </c>
      <c r="D342" s="20" t="s">
        <v>3313</v>
      </c>
      <c r="E342" s="20">
        <v>1.0</v>
      </c>
    </row>
    <row r="343">
      <c r="A343" s="183" t="str">
        <f>IFERROR(__xludf.DUMMYFUNCTION("""COMPUTED_VALUE"""),"Celestial")</f>
        <v>Celestial</v>
      </c>
      <c r="B343" s="188" t="str">
        <f>IFERROR(__xludf.DUMMYFUNCTION("""COMPUTED_VALUE"""),"Crane")</f>
        <v>Crane</v>
      </c>
      <c r="C343" s="188">
        <f t="shared" si="1"/>
        <v>1</v>
      </c>
      <c r="D343" s="20" t="s">
        <v>3314</v>
      </c>
      <c r="E343" s="20">
        <v>1.0</v>
      </c>
    </row>
    <row r="344">
      <c r="A344" s="183"/>
      <c r="B344" s="188" t="str">
        <f>IFERROR(__xludf.DUMMYFUNCTION("""COMPUTED_VALUE"""),"Trading")</f>
        <v>Trading</v>
      </c>
      <c r="C344" s="188">
        <f t="shared" si="1"/>
        <v>1</v>
      </c>
      <c r="D344" s="20" t="s">
        <v>3315</v>
      </c>
      <c r="E344" s="20">
        <v>1.0</v>
      </c>
    </row>
    <row r="345">
      <c r="A345" s="183"/>
      <c r="B345" s="188" t="str">
        <f>IFERROR(__xludf.DUMMYFUNCTION("""COMPUTED_VALUE"""),"Post")</f>
        <v>Post</v>
      </c>
      <c r="C345" s="188">
        <f t="shared" si="1"/>
        <v>1</v>
      </c>
      <c r="D345" s="20" t="s">
        <v>3316</v>
      </c>
      <c r="E345" s="20">
        <v>1.0</v>
      </c>
    </row>
    <row r="346">
      <c r="A346" s="183"/>
      <c r="B346" s="188" t="str">
        <f>IFERROR(__xludf.DUMMYFUNCTION("""COMPUTED_VALUE"""),"Camel")</f>
        <v>Camel</v>
      </c>
      <c r="C346" s="188">
        <f t="shared" si="1"/>
        <v>2</v>
      </c>
      <c r="D346" s="20" t="s">
        <v>3317</v>
      </c>
      <c r="E346" s="20">
        <v>1.0</v>
      </c>
    </row>
    <row r="347">
      <c r="A347" s="183" t="str">
        <f>IFERROR(__xludf.DUMMYFUNCTION("""COMPUTED_VALUE"""),"The")</f>
        <v>The</v>
      </c>
      <c r="B347" s="188" t="str">
        <f>IFERROR(__xludf.DUMMYFUNCTION("""COMPUTED_VALUE"""),"Stormforged")</f>
        <v>Stormforged</v>
      </c>
      <c r="C347" s="188">
        <f t="shared" si="1"/>
        <v>1</v>
      </c>
      <c r="D347" s="20" t="s">
        <v>3318</v>
      </c>
      <c r="E347" s="20">
        <v>1.0</v>
      </c>
    </row>
    <row r="348">
      <c r="A348" s="183" t="str">
        <f>IFERROR(__xludf.DUMMYFUNCTION("""COMPUTED_VALUE"""),"Second")</f>
        <v>Second</v>
      </c>
      <c r="B348" s="188" t="str">
        <f>IFERROR(__xludf.DUMMYFUNCTION("""COMPUTED_VALUE"""),"Recruit")</f>
        <v>Recruit</v>
      </c>
      <c r="C348" s="188">
        <f t="shared" si="1"/>
        <v>1</v>
      </c>
      <c r="D348" s="20" t="s">
        <v>3319</v>
      </c>
      <c r="E348" s="20">
        <v>1.0</v>
      </c>
    </row>
    <row r="349">
      <c r="A349" s="183" t="str">
        <f>IFERROR(__xludf.DUMMYFUNCTION("""COMPUTED_VALUE"""),"Wing")</f>
        <v>Wing</v>
      </c>
      <c r="B349" s="188" t="str">
        <f>IFERROR(__xludf.DUMMYFUNCTION("""COMPUTED_VALUE"""),"Supply")</f>
        <v>Supply</v>
      </c>
      <c r="C349" s="188">
        <f t="shared" si="1"/>
        <v>1</v>
      </c>
      <c r="D349" s="20" t="s">
        <v>3320</v>
      </c>
      <c r="E349" s="20">
        <v>1.0</v>
      </c>
    </row>
    <row r="350">
      <c r="A350" s="183"/>
      <c r="B350" s="188" t="str">
        <f>IFERROR(__xludf.DUMMYFUNCTION("""COMPUTED_VALUE"""),"Trusty")</f>
        <v>Trusty</v>
      </c>
      <c r="C350" s="188">
        <f t="shared" si="1"/>
        <v>1</v>
      </c>
      <c r="D350" s="20" t="s">
        <v>3321</v>
      </c>
      <c r="E350" s="20">
        <v>1.0</v>
      </c>
    </row>
    <row r="351">
      <c r="A351" s="183"/>
      <c r="B351" s="188" t="str">
        <f>IFERROR(__xludf.DUMMYFUNCTION("""COMPUTED_VALUE"""),"Companion")</f>
        <v>Companion</v>
      </c>
      <c r="C351" s="188">
        <f t="shared" si="1"/>
        <v>1</v>
      </c>
      <c r="D351" s="20" t="s">
        <v>3322</v>
      </c>
      <c r="E351" s="20">
        <v>1.0</v>
      </c>
    </row>
    <row r="352">
      <c r="A352" s="183" t="str">
        <f>IFERROR(__xludf.DUMMYFUNCTION("""COMPUTED_VALUE"""),"Ivoryscar")</f>
        <v>Ivoryscar</v>
      </c>
      <c r="B352" s="188" t="str">
        <f>IFERROR(__xludf.DUMMYFUNCTION("""COMPUTED_VALUE"""),"Bloodfleet")</f>
        <v>Bloodfleet</v>
      </c>
      <c r="C352" s="188">
        <f t="shared" si="1"/>
        <v>2</v>
      </c>
      <c r="D352" s="20" t="s">
        <v>3323</v>
      </c>
      <c r="E352" s="20">
        <v>1.0</v>
      </c>
    </row>
    <row r="353">
      <c r="A353" s="183" t="str">
        <f>IFERROR(__xludf.DUMMYFUNCTION("""COMPUTED_VALUE"""),"Fatebreaker")</f>
        <v>Fatebreaker</v>
      </c>
      <c r="B353" s="188" t="str">
        <f>IFERROR(__xludf.DUMMYFUNCTION("""COMPUTED_VALUE"""),"Raider")</f>
        <v>Raider</v>
      </c>
      <c r="C353" s="188">
        <f t="shared" si="1"/>
        <v>2</v>
      </c>
      <c r="D353" s="20" t="s">
        <v>3324</v>
      </c>
      <c r="E353" s="20">
        <v>1.0</v>
      </c>
    </row>
    <row r="354">
      <c r="A354" s="183"/>
      <c r="B354" s="188" t="str">
        <f>IFERROR(__xludf.DUMMYFUNCTION("""COMPUTED_VALUE"""),"Caring")</f>
        <v>Caring</v>
      </c>
      <c r="C354" s="188">
        <f t="shared" si="1"/>
        <v>2</v>
      </c>
      <c r="D354" s="20" t="s">
        <v>3325</v>
      </c>
      <c r="E354" s="20">
        <v>1.0</v>
      </c>
    </row>
    <row r="355">
      <c r="A355" s="183"/>
      <c r="B355" s="188" t="str">
        <f>IFERROR(__xludf.DUMMYFUNCTION("""COMPUTED_VALUE"""),"Mother")</f>
        <v>Mother</v>
      </c>
      <c r="C355" s="188">
        <f t="shared" si="1"/>
        <v>1</v>
      </c>
      <c r="D355" s="20" t="s">
        <v>3326</v>
      </c>
      <c r="E355" s="20">
        <v>1.0</v>
      </c>
    </row>
    <row r="356">
      <c r="A356" s="183"/>
      <c r="B356" s="188" t="str">
        <f>IFERROR(__xludf.DUMMYFUNCTION("""COMPUTED_VALUE"""),"Wayward")</f>
        <v>Wayward</v>
      </c>
      <c r="C356" s="188">
        <f t="shared" si="1"/>
        <v>1</v>
      </c>
      <c r="D356" s="20" t="s">
        <v>3327</v>
      </c>
      <c r="E356" s="20">
        <v>1.0</v>
      </c>
    </row>
    <row r="357">
      <c r="A357" s="183" t="str">
        <f>IFERROR(__xludf.DUMMYFUNCTION("""COMPUTED_VALUE"""),"Moon")</f>
        <v>Moon</v>
      </c>
      <c r="B357" s="188" t="str">
        <f>IFERROR(__xludf.DUMMYFUNCTION("""COMPUTED_VALUE"""),"Battle")</f>
        <v>Battle</v>
      </c>
      <c r="C357" s="188">
        <f t="shared" si="1"/>
        <v>1</v>
      </c>
      <c r="D357" s="20" t="s">
        <v>3328</v>
      </c>
      <c r="E357" s="20">
        <v>1.0</v>
      </c>
    </row>
    <row r="358">
      <c r="A358" s="183" t="str">
        <f>IFERROR(__xludf.DUMMYFUNCTION("""COMPUTED_VALUE"""),"Priestess")</f>
        <v>Priestess</v>
      </c>
      <c r="B358" s="188" t="str">
        <f>IFERROR(__xludf.DUMMYFUNCTION("""COMPUTED_VALUE"""),"Dreadnought")</f>
        <v>Dreadnought</v>
      </c>
      <c r="C358" s="188">
        <f t="shared" si="1"/>
        <v>1</v>
      </c>
      <c r="D358" s="20" t="s">
        <v>3329</v>
      </c>
      <c r="E358" s="20">
        <v>1.0</v>
      </c>
    </row>
    <row r="359">
      <c r="A359" s="183"/>
      <c r="B359" s="188" t="str">
        <f>IFERROR(__xludf.DUMMYFUNCTION("""COMPUTED_VALUE"""),"Dojo")</f>
        <v>Dojo</v>
      </c>
      <c r="C359" s="188">
        <f t="shared" si="1"/>
        <v>1</v>
      </c>
      <c r="D359" s="20" t="s">
        <v>3330</v>
      </c>
      <c r="E359" s="20">
        <v>1.0</v>
      </c>
    </row>
    <row r="360">
      <c r="A360" s="183"/>
      <c r="B360" s="188" t="str">
        <f>IFERROR(__xludf.DUMMYFUNCTION("""COMPUTED_VALUE"""),"Drill")</f>
        <v>Drill</v>
      </c>
      <c r="C360" s="188">
        <f t="shared" si="1"/>
        <v>1</v>
      </c>
      <c r="D360" s="20" t="s">
        <v>3331</v>
      </c>
      <c r="E360" s="20">
        <v>1.0</v>
      </c>
    </row>
    <row r="361">
      <c r="A361" s="183"/>
      <c r="B361" s="188" t="str">
        <f>IFERROR(__xludf.DUMMYFUNCTION("""COMPUTED_VALUE"""),"Instructor")</f>
        <v>Instructor</v>
      </c>
      <c r="C361" s="188">
        <f t="shared" si="1"/>
        <v>1</v>
      </c>
      <c r="D361" s="20" t="s">
        <v>3332</v>
      </c>
      <c r="E361" s="20">
        <v>1.0</v>
      </c>
    </row>
    <row r="362">
      <c r="A362" s="183" t="str">
        <f>IFERROR(__xludf.DUMMYFUNCTION("""COMPUTED_VALUE"""),"Airstep")</f>
        <v>Airstep</v>
      </c>
      <c r="B362" s="188" t="str">
        <f>IFERROR(__xludf.DUMMYFUNCTION("""COMPUTED_VALUE"""),"Rune")</f>
        <v>Rune</v>
      </c>
      <c r="C362" s="188">
        <f t="shared" si="1"/>
        <v>1</v>
      </c>
      <c r="D362" s="20" t="s">
        <v>3333</v>
      </c>
      <c r="E362" s="20">
        <v>1.0</v>
      </c>
    </row>
    <row r="363">
      <c r="A363" s="183" t="str">
        <f>IFERROR(__xludf.DUMMYFUNCTION("""COMPUTED_VALUE"""),"Sifu")</f>
        <v>Sifu</v>
      </c>
      <c r="B363" s="188" t="str">
        <f>IFERROR(__xludf.DUMMYFUNCTION("""COMPUTED_VALUE"""),"Whisperer")</f>
        <v>Whisperer</v>
      </c>
      <c r="C363" s="188">
        <f t="shared" si="1"/>
        <v>1</v>
      </c>
      <c r="D363" s="20" t="s">
        <v>3334</v>
      </c>
      <c r="E363" s="20">
        <v>1.0</v>
      </c>
    </row>
    <row r="364">
      <c r="A364" s="183"/>
      <c r="B364" s="188" t="str">
        <f>IFERROR(__xludf.DUMMYFUNCTION("""COMPUTED_VALUE"""),"Ironclad")</f>
        <v>Ironclad</v>
      </c>
      <c r="C364" s="188">
        <f t="shared" si="1"/>
        <v>1</v>
      </c>
      <c r="D364" s="20" t="s">
        <v>3335</v>
      </c>
      <c r="E364" s="20">
        <v>1.0</v>
      </c>
    </row>
    <row r="365">
      <c r="A365" s="183"/>
      <c r="B365" s="188" t="str">
        <f>IFERROR(__xludf.DUMMYFUNCTION("""COMPUTED_VALUE"""),"Jailwalker")</f>
        <v>Jailwalker</v>
      </c>
      <c r="C365" s="188">
        <f t="shared" si="1"/>
        <v>1</v>
      </c>
      <c r="D365" s="20" t="s">
        <v>3336</v>
      </c>
      <c r="E365" s="20">
        <v>1.0</v>
      </c>
    </row>
    <row r="366">
      <c r="A366" s="183"/>
      <c r="B366" s="188" t="str">
        <f>IFERROR(__xludf.DUMMYFUNCTION("""COMPUTED_VALUE"""),"Holy")</f>
        <v>Holy</v>
      </c>
      <c r="C366" s="188">
        <f t="shared" si="1"/>
        <v>1</v>
      </c>
      <c r="D366" s="20" t="s">
        <v>3337</v>
      </c>
      <c r="E366" s="20">
        <v>1.0</v>
      </c>
    </row>
    <row r="367">
      <c r="A367" s="183" t="str">
        <f>IFERROR(__xludf.DUMMYFUNCTION("""COMPUTED_VALUE"""),"Moonspear")</f>
        <v>Moonspear</v>
      </c>
      <c r="B367" s="188" t="str">
        <f>IFERROR(__xludf.DUMMYFUNCTION("""COMPUTED_VALUE"""),"Chicken")</f>
        <v>Chicken</v>
      </c>
      <c r="C367" s="188">
        <f t="shared" si="1"/>
        <v>1</v>
      </c>
      <c r="D367" s="20" t="s">
        <v>1316</v>
      </c>
      <c r="E367" s="20">
        <v>1.0</v>
      </c>
    </row>
    <row r="368">
      <c r="A368" s="183" t="str">
        <f>IFERROR(__xludf.DUMMYFUNCTION("""COMPUTED_VALUE"""),"Paladin")</f>
        <v>Paladin</v>
      </c>
      <c r="B368" s="188" t="str">
        <f>IFERROR(__xludf.DUMMYFUNCTION("""COMPUTED_VALUE"""),"Life")</f>
        <v>Life</v>
      </c>
      <c r="C368" s="188">
        <f t="shared" si="1"/>
        <v>1</v>
      </c>
      <c r="D368" s="20" t="s">
        <v>3338</v>
      </c>
      <c r="E368" s="20">
        <v>1.0</v>
      </c>
    </row>
    <row r="369">
      <c r="A369" s="183"/>
      <c r="B369" s="188" t="str">
        <f>IFERROR(__xludf.DUMMYFUNCTION("""COMPUTED_VALUE"""),"Tree")</f>
        <v>Tree</v>
      </c>
      <c r="C369" s="188">
        <f t="shared" si="1"/>
        <v>2</v>
      </c>
      <c r="D369" s="20" t="s">
        <v>3339</v>
      </c>
      <c r="E369" s="20">
        <v>1.0</v>
      </c>
    </row>
    <row r="370">
      <c r="A370" s="183"/>
      <c r="B370" s="188" t="str">
        <f>IFERROR(__xludf.DUMMYFUNCTION("""COMPUTED_VALUE"""),"Rampart")</f>
        <v>Rampart</v>
      </c>
      <c r="C370" s="188">
        <f t="shared" si="1"/>
        <v>1</v>
      </c>
      <c r="D370" s="20" t="s">
        <v>3340</v>
      </c>
      <c r="E370" s="20">
        <v>1.0</v>
      </c>
    </row>
    <row r="371">
      <c r="A371" s="183"/>
      <c r="B371" s="188" t="str">
        <f>IFERROR(__xludf.DUMMYFUNCTION("""COMPUTED_VALUE"""),"Shellback")</f>
        <v>Shellback</v>
      </c>
      <c r="C371" s="188">
        <f t="shared" si="1"/>
        <v>1</v>
      </c>
      <c r="D371" s="20" t="s">
        <v>3341</v>
      </c>
      <c r="E371" s="20">
        <v>1.0</v>
      </c>
    </row>
    <row r="372">
      <c r="A372" s="183" t="str">
        <f>IFERROR(__xludf.DUMMYFUNCTION("""COMPUTED_VALUE"""),"Arcanum")</f>
        <v>Arcanum</v>
      </c>
      <c r="B372" s="188" t="str">
        <f>IFERROR(__xludf.DUMMYFUNCTION("""COMPUTED_VALUE"""),"Zodiac")</f>
        <v>Zodiac</v>
      </c>
      <c r="C372" s="188">
        <f t="shared" si="1"/>
        <v>1</v>
      </c>
      <c r="D372" s="20" t="s">
        <v>1350</v>
      </c>
      <c r="E372" s="20">
        <v>1.0</v>
      </c>
    </row>
    <row r="373">
      <c r="A373" s="183" t="str">
        <f>IFERROR(__xludf.DUMMYFUNCTION("""COMPUTED_VALUE"""),"Grandmaster")</f>
        <v>Grandmaster</v>
      </c>
      <c r="B373" s="188" t="str">
        <f>IFERROR(__xludf.DUMMYFUNCTION("""COMPUTED_VALUE"""),"Samurai")</f>
        <v>Samurai</v>
      </c>
      <c r="C373" s="188">
        <f t="shared" si="1"/>
        <v>1</v>
      </c>
      <c r="D373" s="20" t="s">
        <v>3342</v>
      </c>
      <c r="E373" s="20">
        <v>1.0</v>
      </c>
    </row>
    <row r="374">
      <c r="A374" s="183"/>
      <c r="B374" s="188" t="str">
        <f>IFERROR(__xludf.DUMMYFUNCTION("""COMPUTED_VALUE"""),"Scalehide")</f>
        <v>Scalehide</v>
      </c>
      <c r="C374" s="188">
        <f t="shared" si="1"/>
        <v>1</v>
      </c>
      <c r="D374" s="20" t="s">
        <v>3343</v>
      </c>
      <c r="E374" s="20">
        <v>1.0</v>
      </c>
    </row>
    <row r="375">
      <c r="A375" s="183"/>
      <c r="B375" s="188" t="str">
        <f>IFERROR(__xludf.DUMMYFUNCTION("""COMPUTED_VALUE"""),"Trapper")</f>
        <v>Trapper</v>
      </c>
      <c r="C375" s="188">
        <f t="shared" si="1"/>
        <v>1</v>
      </c>
      <c r="D375" s="20" t="s">
        <v>3344</v>
      </c>
      <c r="E375" s="20">
        <v>1.0</v>
      </c>
    </row>
    <row r="376">
      <c r="A376" s="183"/>
      <c r="B376" s="188" t="str">
        <f>IFERROR(__xludf.DUMMYFUNCTION("""COMPUTED_VALUE"""),"Crescent")</f>
        <v>Crescent</v>
      </c>
      <c r="C376" s="188">
        <f t="shared" si="1"/>
        <v>1</v>
      </c>
      <c r="D376" s="20" t="s">
        <v>3345</v>
      </c>
      <c r="E376" s="20">
        <v>1.0</v>
      </c>
    </row>
    <row r="377">
      <c r="A377" s="183" t="str">
        <f>IFERROR(__xludf.DUMMYFUNCTION("""COMPUTED_VALUE"""),"Auraborne")</f>
        <v>Auraborne</v>
      </c>
      <c r="B377" s="188" t="str">
        <f>IFERROR(__xludf.DUMMYFUNCTION("""COMPUTED_VALUE"""),"Trapmaster")</f>
        <v>Trapmaster</v>
      </c>
      <c r="C377" s="188">
        <f t="shared" si="1"/>
        <v>1</v>
      </c>
      <c r="D377" s="20" t="s">
        <v>3346</v>
      </c>
      <c r="E377" s="20">
        <v>1.0</v>
      </c>
    </row>
    <row r="378">
      <c r="A378" s="183" t="str">
        <f>IFERROR(__xludf.DUMMYFUNCTION("""COMPUTED_VALUE"""),"Wyvern")</f>
        <v>Wyvern</v>
      </c>
      <c r="B378" s="188" t="str">
        <f>IFERROR(__xludf.DUMMYFUNCTION("""COMPUTED_VALUE"""),"Gemcrazed")</f>
        <v>Gemcrazed</v>
      </c>
      <c r="C378" s="188">
        <f t="shared" si="1"/>
        <v>1</v>
      </c>
      <c r="D378" s="20" t="s">
        <v>3347</v>
      </c>
      <c r="E378" s="20">
        <v>1.0</v>
      </c>
    </row>
    <row r="379">
      <c r="A379" s="183"/>
      <c r="B379" s="188" t="str">
        <f>IFERROR(__xludf.DUMMYFUNCTION("""COMPUTED_VALUE"""),"Clown")</f>
        <v>Clown</v>
      </c>
      <c r="C379" s="188">
        <f t="shared" si="1"/>
        <v>1</v>
      </c>
      <c r="D379" s="20" t="s">
        <v>3348</v>
      </c>
      <c r="E379" s="20">
        <v>1.0</v>
      </c>
    </row>
    <row r="380">
      <c r="A380" s="183"/>
      <c r="B380" s="188" t="str">
        <f>IFERROR(__xludf.DUMMYFUNCTION("""COMPUTED_VALUE"""),"Augur")</f>
        <v>Augur</v>
      </c>
      <c r="C380" s="188">
        <f t="shared" si="1"/>
        <v>1</v>
      </c>
      <c r="D380" s="20" t="s">
        <v>3349</v>
      </c>
      <c r="E380" s="20">
        <v>1.0</v>
      </c>
    </row>
    <row r="381">
      <c r="A381" s="183"/>
      <c r="B381" s="188" t="str">
        <f>IFERROR(__xludf.DUMMYFUNCTION("""COMPUTED_VALUE"""),"Sanguine")</f>
        <v>Sanguine</v>
      </c>
      <c r="C381" s="188">
        <f t="shared" si="1"/>
        <v>2</v>
      </c>
      <c r="D381" s="20" t="s">
        <v>3350</v>
      </c>
      <c r="E381" s="20">
        <v>1.0</v>
      </c>
    </row>
    <row r="382">
      <c r="A382" s="183" t="str">
        <f>IFERROR(__xludf.DUMMYFUNCTION("""COMPUTED_VALUE"""),"Blazecharm")</f>
        <v>Blazecharm</v>
      </c>
      <c r="B382" s="188" t="str">
        <f>IFERROR(__xludf.DUMMYFUNCTION("""COMPUTED_VALUE"""),"Student")</f>
        <v>Student</v>
      </c>
      <c r="C382" s="188">
        <f t="shared" si="1"/>
        <v>1</v>
      </c>
      <c r="D382" s="20" t="s">
        <v>3351</v>
      </c>
      <c r="E382" s="20">
        <v>1.0</v>
      </c>
    </row>
    <row r="383">
      <c r="A383" s="183" t="str">
        <f>IFERROR(__xludf.DUMMYFUNCTION("""COMPUTED_VALUE"""),"Kitsune")</f>
        <v>Kitsune</v>
      </c>
      <c r="B383" s="188" t="str">
        <f>IFERROR(__xludf.DUMMYFUNCTION("""COMPUTED_VALUE"""),"Shade")</f>
        <v>Shade</v>
      </c>
      <c r="C383" s="188">
        <f t="shared" si="1"/>
        <v>1</v>
      </c>
      <c r="D383" s="20" t="s">
        <v>3352</v>
      </c>
      <c r="E383" s="20">
        <v>1.0</v>
      </c>
    </row>
    <row r="384">
      <c r="A384" s="183"/>
      <c r="B384" s="188" t="str">
        <f>IFERROR(__xludf.DUMMYFUNCTION("""COMPUTED_VALUE"""),"in")</f>
        <v>in</v>
      </c>
      <c r="C384" s="188">
        <f t="shared" si="1"/>
        <v>1</v>
      </c>
      <c r="D384" s="20" t="s">
        <v>3353</v>
      </c>
      <c r="E384" s="20">
        <v>1.0</v>
      </c>
    </row>
    <row r="385">
      <c r="A385" s="183"/>
      <c r="B385" s="188" t="str">
        <f>IFERROR(__xludf.DUMMYFUNCTION("""COMPUTED_VALUE"""),"Alley")</f>
        <v>Alley</v>
      </c>
      <c r="C385" s="188">
        <f t="shared" si="1"/>
        <v>1</v>
      </c>
      <c r="D385" s="20" t="s">
        <v>3354</v>
      </c>
      <c r="E385" s="20">
        <v>1.0</v>
      </c>
    </row>
    <row r="386">
      <c r="A386" s="183"/>
      <c r="B386" s="188" t="str">
        <f>IFERROR(__xludf.DUMMYFUNCTION("""COMPUTED_VALUE"""),"Vindictive")</f>
        <v>Vindictive</v>
      </c>
      <c r="C386" s="188">
        <f t="shared" si="1"/>
        <v>1</v>
      </c>
      <c r="D386" s="20" t="s">
        <v>3355</v>
      </c>
      <c r="E386" s="20">
        <v>1.0</v>
      </c>
    </row>
    <row r="387">
      <c r="A387" s="183" t="str">
        <f>IFERROR(__xludf.DUMMYFUNCTION("""COMPUTED_VALUE"""),"Glowing")</f>
        <v>Glowing</v>
      </c>
      <c r="B387" s="188" t="str">
        <f>IFERROR(__xludf.DUMMYFUNCTION("""COMPUTED_VALUE"""),"Forsaken")</f>
        <v>Forsaken</v>
      </c>
      <c r="C387" s="188">
        <f t="shared" si="1"/>
        <v>5</v>
      </c>
      <c r="D387" s="20" t="s">
        <v>3356</v>
      </c>
      <c r="E387" s="20">
        <v>1.0</v>
      </c>
    </row>
    <row r="388">
      <c r="A388" s="183" t="str">
        <f>IFERROR(__xludf.DUMMYFUNCTION("""COMPUTED_VALUE"""),"Gearhulk")</f>
        <v>Gearhulk</v>
      </c>
      <c r="B388" s="188" t="str">
        <f>IFERROR(__xludf.DUMMYFUNCTION("""COMPUTED_VALUE"""),"Willing")</f>
        <v>Willing</v>
      </c>
      <c r="C388" s="188">
        <f t="shared" si="1"/>
        <v>1</v>
      </c>
      <c r="D388" s="20" t="s">
        <v>3357</v>
      </c>
      <c r="E388" s="20">
        <v>1.0</v>
      </c>
    </row>
    <row r="389">
      <c r="A389" s="183"/>
      <c r="B389" s="188" t="str">
        <f>IFERROR(__xludf.DUMMYFUNCTION("""COMPUTED_VALUE"""),"Sacrifice")</f>
        <v>Sacrifice</v>
      </c>
      <c r="C389" s="188">
        <f t="shared" si="1"/>
        <v>1</v>
      </c>
      <c r="D389" s="20" t="s">
        <v>3358</v>
      </c>
      <c r="E389" s="20">
        <v>1.0</v>
      </c>
    </row>
    <row r="390">
      <c r="A390" s="183"/>
      <c r="B390" s="188" t="str">
        <f>IFERROR(__xludf.DUMMYFUNCTION("""COMPUTED_VALUE"""),"Harpooneer")</f>
        <v>Harpooneer</v>
      </c>
      <c r="C390" s="188">
        <f t="shared" si="1"/>
        <v>1</v>
      </c>
      <c r="D390" s="20" t="s">
        <v>3359</v>
      </c>
      <c r="E390" s="20">
        <v>1.0</v>
      </c>
    </row>
    <row r="391">
      <c r="A391" s="183"/>
      <c r="B391" s="188" t="str">
        <f>IFERROR(__xludf.DUMMYFUNCTION("""COMPUTED_VALUE"""),"Gold")</f>
        <v>Gold</v>
      </c>
      <c r="C391" s="188">
        <f t="shared" si="1"/>
        <v>1</v>
      </c>
      <c r="D391" s="20" t="s">
        <v>3360</v>
      </c>
      <c r="E391" s="20">
        <v>1.0</v>
      </c>
    </row>
    <row r="392">
      <c r="A392" s="183" t="str">
        <f>IFERROR(__xludf.DUMMYFUNCTION("""COMPUTED_VALUE"""),"Boiling")</f>
        <v>Boiling</v>
      </c>
      <c r="B392" s="188" t="str">
        <f>IFERROR(__xludf.DUMMYFUNCTION("""COMPUTED_VALUE"""),"Colibri")</f>
        <v>Colibri</v>
      </c>
      <c r="C392" s="188">
        <f t="shared" si="1"/>
        <v>1</v>
      </c>
      <c r="D392" s="20" t="s">
        <v>3361</v>
      </c>
      <c r="E392" s="20">
        <v>1.0</v>
      </c>
    </row>
    <row r="393">
      <c r="A393" s="183" t="str">
        <f>IFERROR(__xludf.DUMMYFUNCTION("""COMPUTED_VALUE"""),"Blood")</f>
        <v>Blood</v>
      </c>
      <c r="B393" s="188" t="str">
        <f>IFERROR(__xludf.DUMMYFUNCTION("""COMPUTED_VALUE"""),"Greedy")</f>
        <v>Greedy</v>
      </c>
      <c r="C393" s="188">
        <f t="shared" si="1"/>
        <v>1</v>
      </c>
      <c r="D393" s="20" t="s">
        <v>3362</v>
      </c>
      <c r="E393" s="20">
        <v>1.0</v>
      </c>
    </row>
    <row r="394">
      <c r="A394" s="183" t="str">
        <f>IFERROR(__xludf.DUMMYFUNCTION("""COMPUTED_VALUE"""),"Berserker")</f>
        <v>Berserker</v>
      </c>
      <c r="B394" s="188" t="str">
        <f>IFERROR(__xludf.DUMMYFUNCTION("""COMPUTED_VALUE"""),"Senator")</f>
        <v>Senator</v>
      </c>
      <c r="C394" s="188">
        <f t="shared" si="1"/>
        <v>1</v>
      </c>
      <c r="D394" s="20" t="s">
        <v>3363</v>
      </c>
      <c r="E394" s="20">
        <v>1.0</v>
      </c>
    </row>
    <row r="395">
      <c r="A395" s="183"/>
      <c r="B395" s="188" t="str">
        <f>IFERROR(__xludf.DUMMYFUNCTION("""COMPUTED_VALUE"""),"Armordillo")</f>
        <v>Armordillo</v>
      </c>
      <c r="C395" s="188">
        <f t="shared" si="1"/>
        <v>1</v>
      </c>
      <c r="D395" s="20" t="s">
        <v>3364</v>
      </c>
      <c r="E395" s="20">
        <v>1.0</v>
      </c>
    </row>
    <row r="396">
      <c r="A396" s="183"/>
      <c r="B396" s="188" t="str">
        <f>IFERROR(__xludf.DUMMYFUNCTION("""COMPUTED_VALUE"""),"Paragon")</f>
        <v>Paragon</v>
      </c>
      <c r="C396" s="188">
        <f t="shared" si="1"/>
        <v>1</v>
      </c>
      <c r="D396" s="20" t="s">
        <v>3365</v>
      </c>
      <c r="E396" s="20">
        <v>1.0</v>
      </c>
    </row>
    <row r="397">
      <c r="A397" s="183" t="str">
        <f>IFERROR(__xludf.DUMMYFUNCTION("""COMPUTED_VALUE"""),"Goat")</f>
        <v>Goat</v>
      </c>
      <c r="B397" s="188" t="str">
        <f>IFERROR(__xludf.DUMMYFUNCTION("""COMPUTED_VALUE"""),"Conquest")</f>
        <v>Conquest</v>
      </c>
      <c r="C397" s="188">
        <f t="shared" si="1"/>
        <v>1</v>
      </c>
      <c r="D397" s="20" t="s">
        <v>3366</v>
      </c>
      <c r="E397" s="20">
        <v>1.0</v>
      </c>
    </row>
    <row r="398">
      <c r="A398" s="183" t="str">
        <f>IFERROR(__xludf.DUMMYFUNCTION("""COMPUTED_VALUE"""),"Oracle")</f>
        <v>Oracle</v>
      </c>
      <c r="B398" s="188" t="str">
        <f>IFERROR(__xludf.DUMMYFUNCTION("""COMPUTED_VALUE"""),"Tilling")</f>
        <v>Tilling</v>
      </c>
      <c r="C398" s="188">
        <f t="shared" si="1"/>
        <v>1</v>
      </c>
      <c r="D398" s="20" t="s">
        <v>3367</v>
      </c>
      <c r="E398" s="20">
        <v>1.0</v>
      </c>
    </row>
    <row r="399">
      <c r="A399" s="183"/>
      <c r="B399" s="188" t="str">
        <f>IFERROR(__xludf.DUMMYFUNCTION("""COMPUTED_VALUE"""),"Yoke")</f>
        <v>Yoke</v>
      </c>
      <c r="C399" s="188">
        <f t="shared" si="1"/>
        <v>1</v>
      </c>
      <c r="D399" s="20" t="s">
        <v>3368</v>
      </c>
      <c r="E399" s="20">
        <v>1.0</v>
      </c>
    </row>
    <row r="400">
      <c r="A400" s="183"/>
      <c r="B400" s="188" t="str">
        <f>IFERROR(__xludf.DUMMYFUNCTION("""COMPUTED_VALUE"""),"Beast")</f>
        <v>Beast</v>
      </c>
      <c r="C400" s="188">
        <f t="shared" si="1"/>
        <v>1</v>
      </c>
      <c r="D400" s="20" t="s">
        <v>3369</v>
      </c>
      <c r="E400" s="20">
        <v>1.0</v>
      </c>
    </row>
    <row r="401">
      <c r="A401" s="183"/>
      <c r="B401" s="188" t="str">
        <f>IFERROR(__xludf.DUMMYFUNCTION("""COMPUTED_VALUE"""),"Blossombeast")</f>
        <v>Blossombeast</v>
      </c>
      <c r="C401" s="188">
        <f t="shared" si="1"/>
        <v>1</v>
      </c>
      <c r="D401" s="20" t="s">
        <v>3370</v>
      </c>
      <c r="E401" s="20">
        <v>1.0</v>
      </c>
    </row>
    <row r="402">
      <c r="A402" s="183" t="str">
        <f>IFERROR(__xludf.DUMMYFUNCTION("""COMPUTED_VALUE"""),"Tranquil")</f>
        <v>Tranquil</v>
      </c>
      <c r="B402" s="188" t="str">
        <f>IFERROR(__xludf.DUMMYFUNCTION("""COMPUTED_VALUE"""),"Bug")</f>
        <v>Bug</v>
      </c>
      <c r="C402" s="188">
        <f t="shared" si="1"/>
        <v>2</v>
      </c>
      <c r="D402" s="20" t="s">
        <v>3371</v>
      </c>
      <c r="E402" s="20">
        <v>1.0</v>
      </c>
    </row>
    <row r="403">
      <c r="A403" s="183" t="str">
        <f>IFERROR(__xludf.DUMMYFUNCTION("""COMPUTED_VALUE"""),"Herd")</f>
        <v>Herd</v>
      </c>
      <c r="B403" s="188" t="str">
        <f>IFERROR(__xludf.DUMMYFUNCTION("""COMPUTED_VALUE"""),"Curator")</f>
        <v>Curator</v>
      </c>
      <c r="C403" s="188">
        <f t="shared" si="1"/>
        <v>1</v>
      </c>
      <c r="D403" s="20" t="s">
        <v>3372</v>
      </c>
      <c r="E403" s="20">
        <v>1.0</v>
      </c>
    </row>
    <row r="404">
      <c r="A404" s="183" t="str">
        <f>IFERROR(__xludf.DUMMYFUNCTION("""COMPUTED_VALUE"""),"Sagehorn")</f>
        <v>Sagehorn</v>
      </c>
      <c r="B404" s="188" t="str">
        <f>IFERROR(__xludf.DUMMYFUNCTION("""COMPUTED_VALUE"""),"Buzzing")</f>
        <v>Buzzing</v>
      </c>
      <c r="C404" s="188">
        <f t="shared" si="1"/>
        <v>1</v>
      </c>
      <c r="D404" s="20" t="s">
        <v>3373</v>
      </c>
      <c r="E404" s="20">
        <v>1.0</v>
      </c>
    </row>
    <row r="405">
      <c r="A405" s="183"/>
      <c r="B405" s="188" t="str">
        <f>IFERROR(__xludf.DUMMYFUNCTION("""COMPUTED_VALUE"""),"Hivetitan")</f>
        <v>Hivetitan</v>
      </c>
      <c r="C405" s="188">
        <f t="shared" si="1"/>
        <v>1</v>
      </c>
      <c r="D405" s="20" t="s">
        <v>3374</v>
      </c>
      <c r="E405" s="20">
        <v>1.0</v>
      </c>
    </row>
    <row r="406">
      <c r="A406" s="183"/>
      <c r="B406" s="188" t="str">
        <f>IFERROR(__xludf.DUMMYFUNCTION("""COMPUTED_VALUE"""),"Caleidoscope")</f>
        <v>Caleidoscope</v>
      </c>
      <c r="C406" s="188">
        <f t="shared" si="1"/>
        <v>1</v>
      </c>
      <c r="D406" s="20" t="s">
        <v>3375</v>
      </c>
      <c r="E406" s="20">
        <v>1.0</v>
      </c>
    </row>
    <row r="407">
      <c r="A407" s="183" t="str">
        <f>IFERROR(__xludf.DUMMYFUNCTION("""COMPUTED_VALUE"""),"Sunblessed")</f>
        <v>Sunblessed</v>
      </c>
      <c r="B407" s="188" t="str">
        <f>IFERROR(__xludf.DUMMYFUNCTION("""COMPUTED_VALUE"""),"Spider")</f>
        <v>Spider</v>
      </c>
      <c r="C407" s="188">
        <f t="shared" si="1"/>
        <v>1</v>
      </c>
      <c r="D407" s="20" t="s">
        <v>1490</v>
      </c>
      <c r="E407" s="20">
        <v>1.0</v>
      </c>
    </row>
    <row r="408">
      <c r="A408" s="183" t="str">
        <f>IFERROR(__xludf.DUMMYFUNCTION("""COMPUTED_VALUE"""),"Crocodile")</f>
        <v>Crocodile</v>
      </c>
      <c r="B408" s="188" t="str">
        <f>IFERROR(__xludf.DUMMYFUNCTION("""COMPUTED_VALUE"""),"Emberblade")</f>
        <v>Emberblade</v>
      </c>
      <c r="C408" s="188">
        <f t="shared" si="1"/>
        <v>1</v>
      </c>
      <c r="D408" s="20" t="s">
        <v>3376</v>
      </c>
      <c r="E408" s="20">
        <v>1.0</v>
      </c>
    </row>
    <row r="409">
      <c r="A409" s="183"/>
      <c r="B409" s="188" t="str">
        <f>IFERROR(__xludf.DUMMYFUNCTION("""COMPUTED_VALUE"""),"Senatorial")</f>
        <v>Senatorial</v>
      </c>
      <c r="C409" s="188">
        <f t="shared" si="1"/>
        <v>1</v>
      </c>
      <c r="D409" s="20" t="s">
        <v>3377</v>
      </c>
      <c r="E409" s="20">
        <v>1.0</v>
      </c>
    </row>
    <row r="410">
      <c r="A410" s="183"/>
      <c r="B410" s="188" t="str">
        <f>IFERROR(__xludf.DUMMYFUNCTION("""COMPUTED_VALUE"""),"Phalanx")</f>
        <v>Phalanx</v>
      </c>
      <c r="C410" s="188">
        <f t="shared" si="1"/>
        <v>1</v>
      </c>
      <c r="D410" s="20" t="s">
        <v>3378</v>
      </c>
      <c r="E410" s="20">
        <v>1.0</v>
      </c>
    </row>
    <row r="411">
      <c r="A411" s="183"/>
      <c r="B411" s="188" t="str">
        <f>IFERROR(__xludf.DUMMYFUNCTION("""COMPUTED_VALUE"""),"Ferromancer")</f>
        <v>Ferromancer</v>
      </c>
      <c r="C411" s="188">
        <f t="shared" si="1"/>
        <v>1</v>
      </c>
      <c r="D411" s="20" t="s">
        <v>3379</v>
      </c>
      <c r="E411" s="20">
        <v>1.0</v>
      </c>
    </row>
    <row r="412">
      <c r="A412" s="183" t="str">
        <f>IFERROR(__xludf.DUMMYFUNCTION("""COMPUTED_VALUE"""),"Kois")</f>
        <v>Kois</v>
      </c>
      <c r="B412" s="188" t="str">
        <f>IFERROR(__xludf.DUMMYFUNCTION("""COMPUTED_VALUE"""),"Frontier")</f>
        <v>Frontier</v>
      </c>
      <c r="C412" s="188">
        <f t="shared" si="1"/>
        <v>1</v>
      </c>
      <c r="D412" s="20" t="s">
        <v>3380</v>
      </c>
      <c r="E412" s="20">
        <v>1.0</v>
      </c>
    </row>
    <row r="413">
      <c r="A413" s="183" t="str">
        <f>IFERROR(__xludf.DUMMYFUNCTION("""COMPUTED_VALUE"""),"of")</f>
        <v>of</v>
      </c>
      <c r="B413" s="188" t="str">
        <f>IFERROR(__xludf.DUMMYFUNCTION("""COMPUTED_VALUE"""),"Centurion")</f>
        <v>Centurion</v>
      </c>
      <c r="C413" s="188">
        <f t="shared" si="1"/>
        <v>1</v>
      </c>
      <c r="D413" s="20" t="s">
        <v>3381</v>
      </c>
      <c r="E413" s="20">
        <v>1.0</v>
      </c>
    </row>
    <row r="414">
      <c r="A414" s="183" t="str">
        <f>IFERROR(__xludf.DUMMYFUNCTION("""COMPUTED_VALUE"""),"Duality")</f>
        <v>Duality</v>
      </c>
      <c r="B414" s="188" t="str">
        <f>IFERROR(__xludf.DUMMYFUNCTION("""COMPUTED_VALUE"""),"Saboteur")</f>
        <v>Saboteur</v>
      </c>
      <c r="C414" s="188">
        <f t="shared" si="1"/>
        <v>1</v>
      </c>
      <c r="D414" s="20" t="s">
        <v>3382</v>
      </c>
      <c r="E414" s="20">
        <v>1.0</v>
      </c>
    </row>
    <row r="415">
      <c r="A415" s="183"/>
      <c r="B415" s="188" t="str">
        <f>IFERROR(__xludf.DUMMYFUNCTION("""COMPUTED_VALUE"""),"Rustblood")</f>
        <v>Rustblood</v>
      </c>
      <c r="C415" s="188">
        <f t="shared" si="1"/>
        <v>1</v>
      </c>
      <c r="D415" s="20" t="s">
        <v>3383</v>
      </c>
      <c r="E415" s="20">
        <v>1.0</v>
      </c>
    </row>
    <row r="416">
      <c r="A416" s="183"/>
      <c r="B416" s="188" t="str">
        <f>IFERROR(__xludf.DUMMYFUNCTION("""COMPUTED_VALUE"""),"Fairgrove")</f>
        <v>Fairgrove</v>
      </c>
      <c r="C416" s="188">
        <f t="shared" si="1"/>
        <v>1</v>
      </c>
      <c r="D416" s="20" t="s">
        <v>3384</v>
      </c>
      <c r="E416" s="20">
        <v>1.0</v>
      </c>
    </row>
    <row r="417">
      <c r="A417" s="183" t="str">
        <f>IFERROR(__xludf.DUMMYFUNCTION("""COMPUTED_VALUE"""),"Ivoryscar")</f>
        <v>Ivoryscar</v>
      </c>
      <c r="B417" s="188" t="str">
        <f>IFERROR(__xludf.DUMMYFUNCTION("""COMPUTED_VALUE"""),"Dryad")</f>
        <v>Dryad</v>
      </c>
      <c r="C417" s="188">
        <f t="shared" si="1"/>
        <v>1</v>
      </c>
      <c r="D417" s="20" t="s">
        <v>3385</v>
      </c>
      <c r="E417" s="20">
        <v>1.0</v>
      </c>
    </row>
    <row r="418">
      <c r="A418" s="183" t="str">
        <f>IFERROR(__xludf.DUMMYFUNCTION("""COMPUTED_VALUE"""),"Eclipsion")</f>
        <v>Eclipsion</v>
      </c>
      <c r="B418" s="188" t="str">
        <f>IFERROR(__xludf.DUMMYFUNCTION("""COMPUTED_VALUE"""),"Fairy")</f>
        <v>Fairy</v>
      </c>
      <c r="C418" s="188">
        <f t="shared" si="1"/>
        <v>1</v>
      </c>
      <c r="D418" s="20" t="s">
        <v>3386</v>
      </c>
      <c r="E418" s="20">
        <v>1.0</v>
      </c>
    </row>
    <row r="419">
      <c r="A419" s="183"/>
      <c r="B419" s="188" t="str">
        <f>IFERROR(__xludf.DUMMYFUNCTION("""COMPUTED_VALUE"""),"Fountain")</f>
        <v>Fountain</v>
      </c>
      <c r="C419" s="188">
        <f t="shared" si="1"/>
        <v>1</v>
      </c>
      <c r="D419" s="20" t="s">
        <v>3387</v>
      </c>
      <c r="E419" s="20">
        <v>1.0</v>
      </c>
    </row>
    <row r="420">
      <c r="A420" s="183"/>
      <c r="B420" s="188" t="str">
        <f>IFERROR(__xludf.DUMMYFUNCTION("""COMPUTED_VALUE"""),"Harvest")</f>
        <v>Harvest</v>
      </c>
      <c r="C420" s="188">
        <f t="shared" si="1"/>
        <v>1</v>
      </c>
      <c r="D420" s="20" t="s">
        <v>3388</v>
      </c>
      <c r="E420" s="20">
        <v>1.0</v>
      </c>
    </row>
    <row r="421">
      <c r="A421" s="183"/>
      <c r="B421" s="188" t="str">
        <f>IFERROR(__xludf.DUMMYFUNCTION("""COMPUTED_VALUE"""),"Sanctifier")</f>
        <v>Sanctifier</v>
      </c>
      <c r="C421" s="188">
        <f t="shared" si="1"/>
        <v>1</v>
      </c>
      <c r="D421" s="20" t="s">
        <v>3389</v>
      </c>
      <c r="E421" s="20">
        <v>1.0</v>
      </c>
    </row>
    <row r="422">
      <c r="A422" s="183" t="str">
        <f>IFERROR(__xludf.DUMMYFUNCTION("""COMPUTED_VALUE"""),"Fallen")</f>
        <v>Fallen</v>
      </c>
      <c r="B422" s="188" t="str">
        <f>IFERROR(__xludf.DUMMYFUNCTION("""COMPUTED_VALUE"""),"Goliath")</f>
        <v>Goliath</v>
      </c>
      <c r="C422" s="188">
        <f t="shared" si="1"/>
        <v>1</v>
      </c>
      <c r="D422" s="20" t="s">
        <v>3390</v>
      </c>
      <c r="E422" s="20">
        <v>1.0</v>
      </c>
    </row>
    <row r="423">
      <c r="A423" s="183" t="str">
        <f>IFERROR(__xludf.DUMMYFUNCTION("""COMPUTED_VALUE"""),"Angel")</f>
        <v>Angel</v>
      </c>
      <c r="B423" s="188" t="str">
        <f>IFERROR(__xludf.DUMMYFUNCTION("""COMPUTED_VALUE"""),"Green")</f>
        <v>Green</v>
      </c>
      <c r="C423" s="188">
        <f t="shared" si="1"/>
        <v>2</v>
      </c>
      <c r="D423" s="20" t="s">
        <v>1561</v>
      </c>
      <c r="E423" s="20">
        <v>1.0</v>
      </c>
    </row>
    <row r="424">
      <c r="A424" s="183"/>
      <c r="B424" s="188" t="str">
        <f>IFERROR(__xludf.DUMMYFUNCTION("""COMPUTED_VALUE"""),"Grizzly")</f>
        <v>Grizzly</v>
      </c>
      <c r="C424" s="188">
        <f t="shared" si="1"/>
        <v>1</v>
      </c>
      <c r="D424" s="20" t="s">
        <v>3391</v>
      </c>
      <c r="E424" s="20">
        <v>1.0</v>
      </c>
    </row>
    <row r="425">
      <c r="A425" s="183"/>
      <c r="B425" s="188" t="str">
        <f>IFERROR(__xludf.DUMMYFUNCTION("""COMPUTED_VALUE"""),"Trap")</f>
        <v>Trap</v>
      </c>
      <c r="C425" s="188">
        <f t="shared" si="1"/>
        <v>1</v>
      </c>
      <c r="D425" s="20" t="s">
        <v>3392</v>
      </c>
      <c r="E425" s="20">
        <v>1.0</v>
      </c>
    </row>
    <row r="426">
      <c r="A426" s="183"/>
      <c r="B426" s="188" t="str">
        <f>IFERROR(__xludf.DUMMYFUNCTION("""COMPUTED_VALUE"""),"Volatile")</f>
        <v>Volatile</v>
      </c>
      <c r="C426" s="188">
        <f t="shared" si="1"/>
        <v>1</v>
      </c>
      <c r="D426" s="20" t="s">
        <v>3393</v>
      </c>
      <c r="E426" s="20">
        <v>1.0</v>
      </c>
    </row>
    <row r="427">
      <c r="A427" s="183" t="str">
        <f>IFERROR(__xludf.DUMMYFUNCTION("""COMPUTED_VALUE"""),"Diamond")</f>
        <v>Diamond</v>
      </c>
      <c r="B427" s="188" t="str">
        <f>IFERROR(__xludf.DUMMYFUNCTION("""COMPUTED_VALUE"""),"Battlemage")</f>
        <v>Battlemage</v>
      </c>
      <c r="C427" s="188">
        <f t="shared" si="1"/>
        <v>1</v>
      </c>
      <c r="D427" s="20" t="s">
        <v>3394</v>
      </c>
      <c r="E427" s="20">
        <v>1.0</v>
      </c>
    </row>
    <row r="428">
      <c r="A428" s="183" t="str">
        <f>IFERROR(__xludf.DUMMYFUNCTION("""COMPUTED_VALUE"""),"Phantom")</f>
        <v>Phantom</v>
      </c>
      <c r="B428" s="188" t="str">
        <f>IFERROR(__xludf.DUMMYFUNCTION("""COMPUTED_VALUE"""),"Ordinary")</f>
        <v>Ordinary</v>
      </c>
      <c r="C428" s="188">
        <f t="shared" si="1"/>
        <v>1</v>
      </c>
      <c r="D428" s="20" t="s">
        <v>3395</v>
      </c>
      <c r="E428" s="20">
        <v>1.0</v>
      </c>
    </row>
    <row r="429">
      <c r="A429" s="183"/>
      <c r="B429" s="188" t="str">
        <f>IFERROR(__xludf.DUMMYFUNCTION("""COMPUTED_VALUE"""),"Flower")</f>
        <v>Flower</v>
      </c>
      <c r="C429" s="188">
        <f t="shared" si="1"/>
        <v>1</v>
      </c>
      <c r="D429" s="20" t="s">
        <v>1584</v>
      </c>
      <c r="E429" s="20">
        <v>1.0</v>
      </c>
    </row>
    <row r="430">
      <c r="A430" s="183"/>
      <c r="B430" s="188" t="str">
        <f>IFERROR(__xludf.DUMMYFUNCTION("""COMPUTED_VALUE"""),"Pot")</f>
        <v>Pot</v>
      </c>
      <c r="C430" s="188">
        <f t="shared" si="1"/>
        <v>1</v>
      </c>
      <c r="D430" s="20" t="s">
        <v>3396</v>
      </c>
      <c r="E430" s="20">
        <v>1.0</v>
      </c>
    </row>
    <row r="431">
      <c r="A431" s="183"/>
      <c r="B431" s="188" t="str">
        <f>IFERROR(__xludf.DUMMYFUNCTION("""COMPUTED_VALUE"""),"Ancient")</f>
        <v>Ancient</v>
      </c>
      <c r="C431" s="188">
        <f t="shared" si="1"/>
        <v>3</v>
      </c>
      <c r="D431" s="20" t="s">
        <v>3397</v>
      </c>
      <c r="E431" s="20">
        <v>1.0</v>
      </c>
    </row>
    <row r="432">
      <c r="A432" s="183" t="str">
        <f>IFERROR(__xludf.DUMMYFUNCTION("""COMPUTED_VALUE"""),"Draconic")</f>
        <v>Draconic</v>
      </c>
      <c r="B432" s="188" t="str">
        <f>IFERROR(__xludf.DUMMYFUNCTION("""COMPUTED_VALUE"""),"Scholar")</f>
        <v>Scholar</v>
      </c>
      <c r="C432" s="188">
        <f t="shared" si="1"/>
        <v>1</v>
      </c>
      <c r="D432" s="20" t="s">
        <v>3398</v>
      </c>
      <c r="E432" s="20">
        <v>1.0</v>
      </c>
    </row>
    <row r="433">
      <c r="A433" s="183" t="str">
        <f>IFERROR(__xludf.DUMMYFUNCTION("""COMPUTED_VALUE"""),"Highpriest")</f>
        <v>Highpriest</v>
      </c>
      <c r="B433" s="188" t="str">
        <f>IFERROR(__xludf.DUMMYFUNCTION("""COMPUTED_VALUE"""),"Little")</f>
        <v>Little</v>
      </c>
      <c r="C433" s="188">
        <f t="shared" si="1"/>
        <v>1</v>
      </c>
      <c r="D433" s="20" t="s">
        <v>3399</v>
      </c>
      <c r="E433" s="20">
        <v>1.0</v>
      </c>
    </row>
    <row r="434">
      <c r="A434" s="183"/>
      <c r="B434" s="188" t="str">
        <f>IFERROR(__xludf.DUMMYFUNCTION("""COMPUTED_VALUE"""),"Lamb")</f>
        <v>Lamb</v>
      </c>
      <c r="C434" s="188">
        <f t="shared" si="1"/>
        <v>1</v>
      </c>
      <c r="D434" s="20" t="s">
        <v>3400</v>
      </c>
      <c r="E434" s="20">
        <v>1.0</v>
      </c>
    </row>
    <row r="435">
      <c r="A435" s="183"/>
      <c r="B435" s="188" t="str">
        <f>IFERROR(__xludf.DUMMYFUNCTION("""COMPUTED_VALUE"""),"Weaponized")</f>
        <v>Weaponized</v>
      </c>
      <c r="C435" s="188">
        <f t="shared" si="1"/>
        <v>1</v>
      </c>
      <c r="D435" s="20" t="s">
        <v>3401</v>
      </c>
      <c r="E435" s="20">
        <v>1.0</v>
      </c>
    </row>
    <row r="436">
      <c r="A436" s="183"/>
      <c r="B436" s="188" t="str">
        <f>IFERROR(__xludf.DUMMYFUNCTION("""COMPUTED_VALUE"""),"Pest")</f>
        <v>Pest</v>
      </c>
      <c r="C436" s="188">
        <f t="shared" si="1"/>
        <v>1</v>
      </c>
      <c r="D436" s="20" t="s">
        <v>3402</v>
      </c>
      <c r="E436" s="20">
        <v>1.0</v>
      </c>
    </row>
    <row r="437">
      <c r="A437" s="183" t="str">
        <f>IFERROR(__xludf.DUMMYFUNCTION("""COMPUTED_VALUE"""),"Cavern")</f>
        <v>Cavern</v>
      </c>
      <c r="B437" s="188" t="str">
        <f>IFERROR(__xludf.DUMMYFUNCTION("""COMPUTED_VALUE"""),"Beastcaster")</f>
        <v>Beastcaster</v>
      </c>
      <c r="C437" s="188">
        <f t="shared" si="1"/>
        <v>1</v>
      </c>
      <c r="D437" s="20" t="s">
        <v>3403</v>
      </c>
      <c r="E437" s="20">
        <v>1.0</v>
      </c>
    </row>
    <row r="438">
      <c r="A438" s="183" t="str">
        <f>IFERROR(__xludf.DUMMYFUNCTION("""COMPUTED_VALUE"""),"Lindwurm")</f>
        <v>Lindwurm</v>
      </c>
      <c r="B438" s="188" t="str">
        <f>IFERROR(__xludf.DUMMYFUNCTION("""COMPUTED_VALUE"""),"Trained")</f>
        <v>Trained</v>
      </c>
      <c r="C438" s="188">
        <f t="shared" si="1"/>
        <v>1</v>
      </c>
      <c r="D438" s="20" t="s">
        <v>1618</v>
      </c>
      <c r="E438" s="20">
        <v>1.0</v>
      </c>
    </row>
    <row r="439">
      <c r="A439" s="183"/>
      <c r="B439" s="188" t="str">
        <f>IFERROR(__xludf.DUMMYFUNCTION("""COMPUTED_VALUE"""),"War")</f>
        <v>War</v>
      </c>
      <c r="C439" s="188">
        <f t="shared" si="1"/>
        <v>1</v>
      </c>
      <c r="D439" s="20" t="s">
        <v>3404</v>
      </c>
      <c r="E439" s="20">
        <v>1.0</v>
      </c>
    </row>
    <row r="440">
      <c r="A440" s="183"/>
      <c r="B440" s="188" t="str">
        <f>IFERROR(__xludf.DUMMYFUNCTION("""COMPUTED_VALUE"""),"Elephant")</f>
        <v>Elephant</v>
      </c>
      <c r="C440" s="188">
        <f t="shared" si="1"/>
        <v>1</v>
      </c>
      <c r="D440" s="20" t="s">
        <v>3405</v>
      </c>
      <c r="E440" s="20">
        <v>1.0</v>
      </c>
    </row>
    <row r="441">
      <c r="A441" s="183"/>
      <c r="B441" s="188" t="str">
        <f>IFERROR(__xludf.DUMMYFUNCTION("""COMPUTED_VALUE"""),"Starborne")</f>
        <v>Starborne</v>
      </c>
      <c r="C441" s="188">
        <f t="shared" si="1"/>
        <v>1</v>
      </c>
      <c r="D441" s="20" t="s">
        <v>3406</v>
      </c>
      <c r="E441" s="20">
        <v>1.0</v>
      </c>
    </row>
    <row r="442">
      <c r="A442" s="183" t="str">
        <f>IFERROR(__xludf.DUMMYFUNCTION("""COMPUTED_VALUE"""),"Cheerful")</f>
        <v>Cheerful</v>
      </c>
      <c r="B442" s="188" t="str">
        <f>IFERROR(__xludf.DUMMYFUNCTION("""COMPUTED_VALUE"""),"Kyudo")</f>
        <v>Kyudo</v>
      </c>
      <c r="C442" s="188">
        <f t="shared" si="1"/>
        <v>1</v>
      </c>
      <c r="D442" s="20" t="s">
        <v>1647</v>
      </c>
      <c r="E442" s="20">
        <v>1.0</v>
      </c>
    </row>
    <row r="443">
      <c r="A443" s="183" t="str">
        <f>IFERROR(__xludf.DUMMYFUNCTION("""COMPUTED_VALUE"""),"Pixies")</f>
        <v>Pixies</v>
      </c>
      <c r="B443" s="188" t="str">
        <f>IFERROR(__xludf.DUMMYFUNCTION("""COMPUTED_VALUE"""),"Chalice")</f>
        <v>Chalice</v>
      </c>
      <c r="C443" s="188">
        <f t="shared" si="1"/>
        <v>1</v>
      </c>
      <c r="D443" s="20" t="s">
        <v>3407</v>
      </c>
      <c r="E443" s="20">
        <v>1.0</v>
      </c>
    </row>
    <row r="444">
      <c r="A444" s="183"/>
      <c r="B444" s="188" t="str">
        <f>IFERROR(__xludf.DUMMYFUNCTION("""COMPUTED_VALUE"""),"Bloodbrewer")</f>
        <v>Bloodbrewer</v>
      </c>
      <c r="C444" s="188">
        <f t="shared" si="1"/>
        <v>1</v>
      </c>
      <c r="D444" s="20" t="s">
        <v>3408</v>
      </c>
      <c r="E444" s="20">
        <v>1.0</v>
      </c>
    </row>
    <row r="445">
      <c r="A445" s="183"/>
      <c r="B445" s="188" t="str">
        <f>IFERROR(__xludf.DUMMYFUNCTION("""COMPUTED_VALUE"""),"Packhunting")</f>
        <v>Packhunting</v>
      </c>
      <c r="C445" s="188">
        <f t="shared" si="1"/>
        <v>1</v>
      </c>
      <c r="D445" s="20" t="s">
        <v>3409</v>
      </c>
      <c r="E445" s="20">
        <v>1.0</v>
      </c>
    </row>
    <row r="446">
      <c r="A446" s="183"/>
      <c r="B446" s="188" t="str">
        <f>IFERROR(__xludf.DUMMYFUNCTION("""COMPUTED_VALUE"""),"Crystalbeast")</f>
        <v>Crystalbeast</v>
      </c>
      <c r="C446" s="188">
        <f t="shared" si="1"/>
        <v>1</v>
      </c>
      <c r="D446" s="20" t="s">
        <v>3410</v>
      </c>
      <c r="E446" s="20">
        <v>1.0</v>
      </c>
    </row>
    <row r="447">
      <c r="A447" s="183" t="str">
        <f>IFERROR(__xludf.DUMMYFUNCTION("""COMPUTED_VALUE"""),"Cinderguard")</f>
        <v>Cinderguard</v>
      </c>
      <c r="B447" s="188" t="str">
        <f>IFERROR(__xludf.DUMMYFUNCTION("""COMPUTED_VALUE"""),"Pebble")</f>
        <v>Pebble</v>
      </c>
      <c r="C447" s="188">
        <f t="shared" si="1"/>
        <v>1</v>
      </c>
      <c r="D447" s="20" t="s">
        <v>3411</v>
      </c>
      <c r="E447" s="20">
        <v>1.0</v>
      </c>
    </row>
    <row r="448">
      <c r="A448" s="183" t="str">
        <f>IFERROR(__xludf.DUMMYFUNCTION("""COMPUTED_VALUE"""),"Scribe")</f>
        <v>Scribe</v>
      </c>
      <c r="B448" s="188" t="str">
        <f>IFERROR(__xludf.DUMMYFUNCTION("""COMPUTED_VALUE"""),"Gekko")</f>
        <v>Gekko</v>
      </c>
      <c r="C448" s="188">
        <f t="shared" si="1"/>
        <v>1</v>
      </c>
      <c r="D448" s="20" t="s">
        <v>3412</v>
      </c>
      <c r="E448" s="20">
        <v>1.0</v>
      </c>
    </row>
    <row r="449">
      <c r="A449" s="183"/>
      <c r="B449" s="188" t="str">
        <f>IFERROR(__xludf.DUMMYFUNCTION("""COMPUTED_VALUE"""),"Platinum")</f>
        <v>Platinum</v>
      </c>
      <c r="C449" s="188">
        <f t="shared" si="1"/>
        <v>1</v>
      </c>
      <c r="D449" s="20" t="s">
        <v>3413</v>
      </c>
      <c r="E449" s="20">
        <v>1.0</v>
      </c>
    </row>
    <row r="450">
      <c r="A450" s="183"/>
      <c r="B450" s="188" t="str">
        <f>IFERROR(__xludf.DUMMYFUNCTION("""COMPUTED_VALUE"""),"Ladybug")</f>
        <v>Ladybug</v>
      </c>
      <c r="C450" s="188">
        <f t="shared" si="1"/>
        <v>1</v>
      </c>
      <c r="D450" s="20" t="s">
        <v>3414</v>
      </c>
      <c r="E450" s="20">
        <v>1.0</v>
      </c>
    </row>
    <row r="451">
      <c r="A451" s="183"/>
      <c r="B451" s="188" t="str">
        <f>IFERROR(__xludf.DUMMYFUNCTION("""COMPUTED_VALUE"""),"Necromancer")</f>
        <v>Necromancer</v>
      </c>
      <c r="C451" s="188">
        <f t="shared" si="1"/>
        <v>1</v>
      </c>
      <c r="D451" s="20" t="s">
        <v>3415</v>
      </c>
      <c r="E451" s="20">
        <v>1.0</v>
      </c>
    </row>
    <row r="452">
      <c r="A452" s="183" t="str">
        <f>IFERROR(__xludf.DUMMYFUNCTION("""COMPUTED_VALUE"""),"Daredevil")</f>
        <v>Daredevil</v>
      </c>
      <c r="B452" s="188" t="str">
        <f>IFERROR(__xludf.DUMMYFUNCTION("""COMPUTED_VALUE"""),"Pollen")</f>
        <v>Pollen</v>
      </c>
      <c r="C452" s="188">
        <f t="shared" si="1"/>
        <v>1</v>
      </c>
      <c r="D452" s="20" t="s">
        <v>3416</v>
      </c>
      <c r="E452" s="20">
        <v>1.0</v>
      </c>
    </row>
    <row r="453">
      <c r="A453" s="183" t="str">
        <f>IFERROR(__xludf.DUMMYFUNCTION("""COMPUTED_VALUE"""),"Duo")</f>
        <v>Duo</v>
      </c>
      <c r="B453" s="188" t="str">
        <f>IFERROR(__xludf.DUMMYFUNCTION("""COMPUTED_VALUE"""),"Buzz")</f>
        <v>Buzz</v>
      </c>
      <c r="C453" s="188">
        <f t="shared" si="1"/>
        <v>1</v>
      </c>
      <c r="D453" s="20" t="s">
        <v>3417</v>
      </c>
      <c r="E453" s="20">
        <v>1.0</v>
      </c>
    </row>
    <row r="454">
      <c r="A454" s="183"/>
      <c r="B454" s="188" t="str">
        <f>IFERROR(__xludf.DUMMYFUNCTION("""COMPUTED_VALUE"""),"Primal")</f>
        <v>Primal</v>
      </c>
      <c r="C454" s="188">
        <f t="shared" si="1"/>
        <v>1</v>
      </c>
      <c r="D454" s="20" t="s">
        <v>3418</v>
      </c>
      <c r="E454" s="20">
        <v>1.0</v>
      </c>
    </row>
    <row r="455">
      <c r="A455" s="183"/>
      <c r="B455" s="188" t="str">
        <f>IFERROR(__xludf.DUMMYFUNCTION("""COMPUTED_VALUE"""),"Horde")</f>
        <v>Horde</v>
      </c>
      <c r="C455" s="188">
        <f t="shared" si="1"/>
        <v>1</v>
      </c>
      <c r="D455" s="20" t="s">
        <v>3419</v>
      </c>
      <c r="E455" s="20">
        <v>1.0</v>
      </c>
    </row>
    <row r="456">
      <c r="A456" s="183"/>
      <c r="B456" s="188" t="str">
        <f>IFERROR(__xludf.DUMMYFUNCTION("""COMPUTED_VALUE"""),"Prowling")</f>
        <v>Prowling</v>
      </c>
      <c r="C456" s="188">
        <f t="shared" si="1"/>
        <v>1</v>
      </c>
      <c r="D456" s="20" t="s">
        <v>3420</v>
      </c>
      <c r="E456" s="20">
        <v>1.0</v>
      </c>
    </row>
    <row r="457">
      <c r="A457" s="183" t="str">
        <f>IFERROR(__xludf.DUMMYFUNCTION("""COMPUTED_VALUE"""),"Echo")</f>
        <v>Echo</v>
      </c>
      <c r="B457" s="188" t="str">
        <f>IFERROR(__xludf.DUMMYFUNCTION("""COMPUTED_VALUE"""),"Puma")</f>
        <v>Puma</v>
      </c>
      <c r="C457" s="188">
        <f t="shared" si="1"/>
        <v>1</v>
      </c>
      <c r="D457" s="20" t="s">
        <v>3421</v>
      </c>
      <c r="E457" s="20">
        <v>1.0</v>
      </c>
    </row>
    <row r="458">
      <c r="A458" s="183" t="str">
        <f>IFERROR(__xludf.DUMMYFUNCTION("""COMPUTED_VALUE"""),"Beetle")</f>
        <v>Beetle</v>
      </c>
      <c r="B458" s="188" t="str">
        <f>IFERROR(__xludf.DUMMYFUNCTION("""COMPUTED_VALUE"""),"Crystal")</f>
        <v>Crystal</v>
      </c>
      <c r="C458" s="188">
        <f t="shared" si="1"/>
        <v>2</v>
      </c>
      <c r="D458" s="20" t="s">
        <v>3422</v>
      </c>
      <c r="E458" s="20">
        <v>1.0</v>
      </c>
    </row>
    <row r="459">
      <c r="A459" s="183"/>
      <c r="B459" s="188" t="str">
        <f>IFERROR(__xludf.DUMMYFUNCTION("""COMPUTED_VALUE"""),"Catacombs")</f>
        <v>Catacombs</v>
      </c>
      <c r="C459" s="188">
        <f t="shared" si="1"/>
        <v>1</v>
      </c>
      <c r="D459" s="20" t="s">
        <v>3423</v>
      </c>
      <c r="E459" s="20">
        <v>1.0</v>
      </c>
    </row>
    <row r="460">
      <c r="A460" s="183"/>
      <c r="B460" s="188" t="str">
        <f>IFERROR(__xludf.DUMMYFUNCTION("""COMPUTED_VALUE"""),"Aristocrat")</f>
        <v>Aristocrat</v>
      </c>
      <c r="C460" s="188">
        <f t="shared" si="1"/>
        <v>1</v>
      </c>
      <c r="D460" s="20" t="s">
        <v>3424</v>
      </c>
      <c r="E460" s="20">
        <v>1.0</v>
      </c>
    </row>
    <row r="461">
      <c r="A461" s="183"/>
      <c r="B461" s="188" t="str">
        <f>IFERROR(__xludf.DUMMYFUNCTION("""COMPUTED_VALUE"""),"Roar")</f>
        <v>Roar</v>
      </c>
      <c r="C461" s="188">
        <f t="shared" si="1"/>
        <v>1</v>
      </c>
      <c r="D461" s="20" t="s">
        <v>3425</v>
      </c>
      <c r="E461" s="20">
        <v>1.0</v>
      </c>
    </row>
    <row r="462">
      <c r="A462" s="183" t="str">
        <f>IFERROR(__xludf.DUMMYFUNCTION("""COMPUTED_VALUE"""),"Ember")</f>
        <v>Ember</v>
      </c>
      <c r="B462" s="188" t="str">
        <f>IFERROR(__xludf.DUMMYFUNCTION("""COMPUTED_VALUE"""),"from")</f>
        <v>from</v>
      </c>
      <c r="C462" s="188">
        <f t="shared" si="1"/>
        <v>2</v>
      </c>
      <c r="D462" s="20" t="s">
        <v>1715</v>
      </c>
      <c r="E462" s="20">
        <v>1.0</v>
      </c>
    </row>
    <row r="463">
      <c r="A463" s="183" t="str">
        <f>IFERROR(__xludf.DUMMYFUNCTION("""COMPUTED_VALUE"""),"Whelp")</f>
        <v>Whelp</v>
      </c>
      <c r="B463" s="188" t="str">
        <f>IFERROR(__xludf.DUMMYFUNCTION("""COMPUTED_VALUE"""),"Past")</f>
        <v>Past</v>
      </c>
      <c r="C463" s="188">
        <f t="shared" si="1"/>
        <v>1</v>
      </c>
      <c r="D463" s="20" t="s">
        <v>3426</v>
      </c>
      <c r="E463" s="20">
        <v>1.0</v>
      </c>
    </row>
    <row r="464">
      <c r="A464" s="183"/>
      <c r="B464" s="188" t="str">
        <f>IFERROR(__xludf.DUMMYFUNCTION("""COMPUTED_VALUE"""),"Rootseed")</f>
        <v>Rootseed</v>
      </c>
      <c r="C464" s="188">
        <f t="shared" si="1"/>
        <v>1</v>
      </c>
      <c r="D464" s="20" t="s">
        <v>3427</v>
      </c>
      <c r="E464" s="20">
        <v>1.0</v>
      </c>
    </row>
    <row r="465">
      <c r="A465" s="183"/>
      <c r="B465" s="188" t="str">
        <f>IFERROR(__xludf.DUMMYFUNCTION("""COMPUTED_VALUE"""),"Snapscale")</f>
        <v>Snapscale</v>
      </c>
      <c r="C465" s="188">
        <f t="shared" si="1"/>
        <v>1</v>
      </c>
      <c r="D465" s="20" t="s">
        <v>3428</v>
      </c>
      <c r="E465" s="20">
        <v>1.0</v>
      </c>
    </row>
    <row r="466">
      <c r="A466" s="183"/>
      <c r="B466" s="188" t="str">
        <f>IFERROR(__xludf.DUMMYFUNCTION("""COMPUTED_VALUE"""),"Alpha")</f>
        <v>Alpha</v>
      </c>
      <c r="C466" s="188">
        <f t="shared" si="1"/>
        <v>1</v>
      </c>
      <c r="D466" s="20" t="s">
        <v>3429</v>
      </c>
      <c r="E466" s="20">
        <v>1.0</v>
      </c>
    </row>
    <row r="467">
      <c r="A467" s="183" t="str">
        <f>IFERROR(__xludf.DUMMYFUNCTION("""COMPUTED_VALUE"""),"Floating")</f>
        <v>Floating</v>
      </c>
      <c r="B467" s="188" t="str">
        <f>IFERROR(__xludf.DUMMYFUNCTION("""COMPUTED_VALUE"""),"Stampede")</f>
        <v>Stampede</v>
      </c>
      <c r="C467" s="188">
        <f t="shared" si="1"/>
        <v>1</v>
      </c>
      <c r="D467" s="20" t="s">
        <v>3430</v>
      </c>
      <c r="E467" s="20">
        <v>1.0</v>
      </c>
    </row>
    <row r="468">
      <c r="A468" s="183" t="str">
        <f>IFERROR(__xludf.DUMMYFUNCTION("""COMPUTED_VALUE"""),"Djinn")</f>
        <v>Djinn</v>
      </c>
      <c r="B468" s="188" t="str">
        <f>IFERROR(__xludf.DUMMYFUNCTION("""COMPUTED_VALUE"""),"Amethyst")</f>
        <v>Amethyst</v>
      </c>
      <c r="C468" s="188">
        <f t="shared" si="1"/>
        <v>1</v>
      </c>
      <c r="D468" s="20" t="s">
        <v>3431</v>
      </c>
      <c r="E468" s="20">
        <v>1.0</v>
      </c>
    </row>
    <row r="469">
      <c r="A469" s="183"/>
      <c r="B469" s="188" t="str">
        <f>IFERROR(__xludf.DUMMYFUNCTION("""COMPUTED_VALUE"""),"Argosaurus")</f>
        <v>Argosaurus</v>
      </c>
      <c r="C469" s="188">
        <f t="shared" si="1"/>
        <v>1</v>
      </c>
      <c r="D469" s="20" t="s">
        <v>3432</v>
      </c>
      <c r="E469" s="20">
        <v>1.0</v>
      </c>
    </row>
    <row r="470">
      <c r="A470" s="183"/>
      <c r="B470" s="188" t="str">
        <f>IFERROR(__xludf.DUMMYFUNCTION("""COMPUTED_VALUE"""),"Astral")</f>
        <v>Astral</v>
      </c>
      <c r="C470" s="188">
        <f t="shared" si="1"/>
        <v>1</v>
      </c>
      <c r="D470" s="20" t="s">
        <v>3433</v>
      </c>
      <c r="E470" s="20">
        <v>1.0</v>
      </c>
    </row>
    <row r="471">
      <c r="A471" s="183"/>
      <c r="B471" s="188" t="str">
        <f>IFERROR(__xludf.DUMMYFUNCTION("""COMPUTED_VALUE"""),"Unicorn")</f>
        <v>Unicorn</v>
      </c>
      <c r="C471" s="188">
        <f t="shared" si="1"/>
        <v>1</v>
      </c>
      <c r="D471" s="20" t="s">
        <v>3434</v>
      </c>
      <c r="E471" s="20">
        <v>1.0</v>
      </c>
    </row>
    <row r="472">
      <c r="A472" s="183" t="str">
        <f>IFERROR(__xludf.DUMMYFUNCTION("""COMPUTED_VALUE"""),"Dewdrop")</f>
        <v>Dewdrop</v>
      </c>
      <c r="B472" s="188" t="str">
        <f>IFERROR(__xludf.DUMMYFUNCTION("""COMPUTED_VALUE"""),"Spectra")</f>
        <v>Spectra</v>
      </c>
      <c r="C472" s="188">
        <f t="shared" si="1"/>
        <v>1</v>
      </c>
      <c r="D472" s="20" t="s">
        <v>3435</v>
      </c>
      <c r="E472" s="20">
        <v>1.0</v>
      </c>
    </row>
    <row r="473">
      <c r="A473" s="183" t="str">
        <f>IFERROR(__xludf.DUMMYFUNCTION("""COMPUTED_VALUE"""),"Sprite")</f>
        <v>Sprite</v>
      </c>
      <c r="B473" s="188" t="str">
        <f>IFERROR(__xludf.DUMMYFUNCTION("""COMPUTED_VALUE"""),"Stick")</f>
        <v>Stick</v>
      </c>
      <c r="C473" s="188">
        <f t="shared" si="1"/>
        <v>1</v>
      </c>
      <c r="D473" s="20" t="s">
        <v>3436</v>
      </c>
      <c r="E473" s="20">
        <v>1.0</v>
      </c>
    </row>
    <row r="474">
      <c r="A474" s="183"/>
      <c r="B474" s="188" t="str">
        <f>IFERROR(__xludf.DUMMYFUNCTION("""COMPUTED_VALUE"""),"Calming")</f>
        <v>Calming</v>
      </c>
      <c r="C474" s="188">
        <f t="shared" si="1"/>
        <v>1</v>
      </c>
      <c r="D474" s="20" t="s">
        <v>3437</v>
      </c>
      <c r="E474" s="20">
        <v>1.0</v>
      </c>
    </row>
    <row r="475">
      <c r="A475" s="183"/>
      <c r="B475" s="188" t="str">
        <f>IFERROR(__xludf.DUMMYFUNCTION("""COMPUTED_VALUE"""),"Apparition")</f>
        <v>Apparition</v>
      </c>
      <c r="C475" s="188">
        <f t="shared" si="1"/>
        <v>1</v>
      </c>
      <c r="D475" s="20" t="s">
        <v>3438</v>
      </c>
      <c r="E475" s="20">
        <v>1.0</v>
      </c>
    </row>
    <row r="476">
      <c r="A476" s="183"/>
      <c r="B476" s="188" t="str">
        <f>IFERROR(__xludf.DUMMYFUNCTION("""COMPUTED_VALUE"""),"Sylvan")</f>
        <v>Sylvan</v>
      </c>
      <c r="C476" s="188">
        <f t="shared" si="1"/>
        <v>1</v>
      </c>
      <c r="D476" s="20" t="s">
        <v>1772</v>
      </c>
      <c r="E476" s="20">
        <v>1.0</v>
      </c>
    </row>
    <row r="477">
      <c r="A477" s="183" t="str">
        <f>IFERROR(__xludf.DUMMYFUNCTION("""COMPUTED_VALUE"""),"Dragon")</f>
        <v>Dragon</v>
      </c>
      <c r="B477" s="188" t="str">
        <f>IFERROR(__xludf.DUMMYFUNCTION("""COMPUTED_VALUE"""),"Gamekeeper")</f>
        <v>Gamekeeper</v>
      </c>
      <c r="C477" s="188">
        <f t="shared" si="1"/>
        <v>1</v>
      </c>
      <c r="D477" s="20" t="s">
        <v>3439</v>
      </c>
      <c r="E477" s="20">
        <v>1.0</v>
      </c>
    </row>
    <row r="478">
      <c r="A478" s="183" t="str">
        <f>IFERROR(__xludf.DUMMYFUNCTION("""COMPUTED_VALUE"""),"Egg")</f>
        <v>Egg</v>
      </c>
      <c r="B478" s="188" t="str">
        <f>IFERROR(__xludf.DUMMYFUNCTION("""COMPUTED_VALUE"""),"Tainted")</f>
        <v>Tainted</v>
      </c>
      <c r="C478" s="188">
        <f t="shared" si="1"/>
        <v>3</v>
      </c>
      <c r="D478" s="20" t="s">
        <v>3440</v>
      </c>
      <c r="E478" s="20">
        <v>1.0</v>
      </c>
    </row>
    <row r="479">
      <c r="A479" s="183"/>
      <c r="B479" s="188" t="str">
        <f>IFERROR(__xludf.DUMMYFUNCTION("""COMPUTED_VALUE"""),"Jade")</f>
        <v>Jade</v>
      </c>
      <c r="C479" s="188">
        <f t="shared" si="1"/>
        <v>3</v>
      </c>
      <c r="D479" s="20" t="s">
        <v>3441</v>
      </c>
      <c r="E479" s="20">
        <v>1.0</v>
      </c>
    </row>
    <row r="480">
      <c r="A480" s="183"/>
      <c r="B480" s="188" t="str">
        <f>IFERROR(__xludf.DUMMYFUNCTION("""COMPUTED_VALUE"""),"Monstrosity")</f>
        <v>Monstrosity</v>
      </c>
      <c r="C480" s="188">
        <f t="shared" si="1"/>
        <v>1</v>
      </c>
      <c r="D480" s="20" t="s">
        <v>3442</v>
      </c>
      <c r="E480" s="20">
        <v>1.0</v>
      </c>
    </row>
    <row r="481">
      <c r="A481" s="183"/>
      <c r="B481" s="188" t="str">
        <f>IFERROR(__xludf.DUMMYFUNCTION("""COMPUTED_VALUE"""),"Mycomancer")</f>
        <v>Mycomancer</v>
      </c>
      <c r="C481" s="188">
        <f t="shared" si="1"/>
        <v>1</v>
      </c>
      <c r="D481" s="20" t="s">
        <v>3443</v>
      </c>
      <c r="E481" s="20">
        <v>1.0</v>
      </c>
    </row>
    <row r="482">
      <c r="A482" s="183" t="str">
        <f>IFERROR(__xludf.DUMMYFUNCTION("""COMPUTED_VALUE"""),"Dustdance")</f>
        <v>Dustdance</v>
      </c>
      <c r="B482" s="188" t="str">
        <f>IFERROR(__xludf.DUMMYFUNCTION("""COMPUTED_VALUE"""),"Matriarch")</f>
        <v>Matriarch</v>
      </c>
      <c r="C482" s="188">
        <f t="shared" si="1"/>
        <v>2</v>
      </c>
      <c r="D482" s="20" t="s">
        <v>3444</v>
      </c>
      <c r="E482" s="20">
        <v>1.0</v>
      </c>
    </row>
    <row r="483">
      <c r="A483" s="183" t="str">
        <f>IFERROR(__xludf.DUMMYFUNCTION("""COMPUTED_VALUE"""),"Efreet")</f>
        <v>Efreet</v>
      </c>
      <c r="B483" s="188" t="str">
        <f>IFERROR(__xludf.DUMMYFUNCTION("""COMPUTED_VALUE"""),"Trickster")</f>
        <v>Trickster</v>
      </c>
      <c r="C483" s="188">
        <f t="shared" si="1"/>
        <v>2</v>
      </c>
      <c r="D483" s="20" t="s">
        <v>3445</v>
      </c>
      <c r="E483" s="20">
        <v>1.0</v>
      </c>
    </row>
    <row r="484">
      <c r="A484" s="183"/>
      <c r="B484" s="188" t="str">
        <f>IFERROR(__xludf.DUMMYFUNCTION("""COMPUTED_VALUE"""),"Venomleaf")</f>
        <v>Venomleaf</v>
      </c>
      <c r="C484" s="188">
        <f t="shared" si="1"/>
        <v>1</v>
      </c>
      <c r="D484" s="20" t="s">
        <v>3446</v>
      </c>
      <c r="E484" s="20">
        <v>1.0</v>
      </c>
    </row>
    <row r="485">
      <c r="A485" s="183"/>
      <c r="B485" s="188" t="str">
        <f>IFERROR(__xludf.DUMMYFUNCTION("""COMPUTED_VALUE"""),"Croaker")</f>
        <v>Croaker</v>
      </c>
      <c r="C485" s="188">
        <f t="shared" si="1"/>
        <v>1</v>
      </c>
      <c r="D485" s="20" t="s">
        <v>3447</v>
      </c>
      <c r="E485" s="20">
        <v>1.0</v>
      </c>
    </row>
    <row r="486">
      <c r="A486" s="183"/>
      <c r="B486" s="188" t="str">
        <f>IFERROR(__xludf.DUMMYFUNCTION("""COMPUTED_VALUE"""),"Darkwood")</f>
        <v>Darkwood</v>
      </c>
      <c r="C486" s="188">
        <f t="shared" si="1"/>
        <v>1</v>
      </c>
      <c r="D486" s="20" t="s">
        <v>3448</v>
      </c>
      <c r="E486" s="20">
        <v>1.0</v>
      </c>
    </row>
    <row r="487">
      <c r="A487" s="183" t="str">
        <f>IFERROR(__xludf.DUMMYFUNCTION("""COMPUTED_VALUE"""),"Hermit")</f>
        <v>Hermit</v>
      </c>
      <c r="B487" s="188" t="str">
        <f>IFERROR(__xludf.DUMMYFUNCTION("""COMPUTED_VALUE"""),"Tracker")</f>
        <v>Tracker</v>
      </c>
      <c r="C487" s="188">
        <f t="shared" si="1"/>
        <v>1</v>
      </c>
      <c r="D487" s="20" t="s">
        <v>3449</v>
      </c>
      <c r="E487" s="20">
        <v>1.0</v>
      </c>
    </row>
    <row r="488">
      <c r="A488" s="183" t="str">
        <f>IFERROR(__xludf.DUMMYFUNCTION("""COMPUTED_VALUE"""),"of")</f>
        <v>of</v>
      </c>
      <c r="B488" s="188" t="str">
        <f>IFERROR(__xludf.DUMMYFUNCTION("""COMPUTED_VALUE"""),"Verdant")</f>
        <v>Verdant</v>
      </c>
      <c r="C488" s="188">
        <f t="shared" si="1"/>
        <v>1</v>
      </c>
      <c r="D488" s="20" t="s">
        <v>3450</v>
      </c>
      <c r="E488" s="20">
        <v>1.0</v>
      </c>
    </row>
    <row r="489">
      <c r="A489" s="183" t="str">
        <f>IFERROR(__xludf.DUMMYFUNCTION("""COMPUTED_VALUE"""),"the")</f>
        <v>the</v>
      </c>
      <c r="B489" s="188" t="str">
        <f>IFERROR(__xludf.DUMMYFUNCTION("""COMPUTED_VALUE"""),"Sakura")</f>
        <v>Sakura</v>
      </c>
      <c r="C489" s="188">
        <f t="shared" si="1"/>
        <v>1</v>
      </c>
      <c r="D489" s="20" t="s">
        <v>3451</v>
      </c>
      <c r="E489" s="20">
        <v>1.0</v>
      </c>
    </row>
    <row r="490">
      <c r="A490" s="183" t="str">
        <f>IFERROR(__xludf.DUMMYFUNCTION("""COMPUTED_VALUE"""),"Horizon")</f>
        <v>Horizon</v>
      </c>
      <c r="B490" s="188" t="str">
        <f>IFERROR(__xludf.DUMMYFUNCTION("""COMPUTED_VALUE"""),"Forgotten")</f>
        <v>Forgotten</v>
      </c>
      <c r="C490" s="188">
        <f t="shared" si="1"/>
        <v>1</v>
      </c>
      <c r="D490" s="20" t="s">
        <v>3452</v>
      </c>
      <c r="E490" s="20">
        <v>1.0</v>
      </c>
    </row>
    <row r="491">
      <c r="A491" s="183"/>
      <c r="B491" s="188" t="str">
        <f>IFERROR(__xludf.DUMMYFUNCTION("""COMPUTED_VALUE"""),"Locust")</f>
        <v>Locust</v>
      </c>
      <c r="C491" s="188">
        <f t="shared" si="1"/>
        <v>1</v>
      </c>
      <c r="D491" s="20" t="s">
        <v>3453</v>
      </c>
      <c r="E491" s="20">
        <v>1.0</v>
      </c>
    </row>
    <row r="492">
      <c r="A492" s="183" t="str">
        <f>IFERROR(__xludf.DUMMYFUNCTION("""COMPUTED_VALUE"""),"Roughlands")</f>
        <v>Roughlands</v>
      </c>
      <c r="B492" s="188" t="str">
        <f>IFERROR(__xludf.DUMMYFUNCTION("""COMPUTED_VALUE"""),"Swarm")</f>
        <v>Swarm</v>
      </c>
      <c r="C492" s="188">
        <f t="shared" si="1"/>
        <v>1</v>
      </c>
      <c r="D492" s="20" t="s">
        <v>3454</v>
      </c>
      <c r="E492" s="20">
        <v>1.0</v>
      </c>
    </row>
    <row r="493">
      <c r="A493" s="183" t="str">
        <f>IFERROR(__xludf.DUMMYFUNCTION("""COMPUTED_VALUE"""),"Scourge")</f>
        <v>Scourge</v>
      </c>
      <c r="B493" s="188" t="str">
        <f>IFERROR(__xludf.DUMMYFUNCTION("""COMPUTED_VALUE"""),"Emerald")</f>
        <v>Emerald</v>
      </c>
      <c r="C493" s="188">
        <f t="shared" si="1"/>
        <v>1</v>
      </c>
      <c r="D493" s="20" t="s">
        <v>3455</v>
      </c>
      <c r="E493" s="20">
        <v>1.0</v>
      </c>
    </row>
    <row r="494">
      <c r="A494" s="183"/>
      <c r="B494" s="188" t="str">
        <f>IFERROR(__xludf.DUMMYFUNCTION("""COMPUTED_VALUE"""),"Fang")</f>
        <v>Fang</v>
      </c>
      <c r="C494" s="188">
        <f t="shared" si="1"/>
        <v>1</v>
      </c>
      <c r="D494" s="20" t="s">
        <v>3456</v>
      </c>
      <c r="E494" s="20">
        <v>1.0</v>
      </c>
    </row>
    <row r="495">
      <c r="A495" s="183"/>
      <c r="B495" s="188" t="str">
        <f>IFERROR(__xludf.DUMMYFUNCTION("""COMPUTED_VALUE"""),"Cobra")</f>
        <v>Cobra</v>
      </c>
      <c r="C495" s="188">
        <f t="shared" si="1"/>
        <v>1</v>
      </c>
      <c r="D495" s="20" t="s">
        <v>3457</v>
      </c>
      <c r="E495" s="20">
        <v>1.0</v>
      </c>
    </row>
    <row r="496">
      <c r="A496" s="183"/>
      <c r="B496" s="188" t="str">
        <f>IFERROR(__xludf.DUMMYFUNCTION("""COMPUTED_VALUE"""),"Entwining")</f>
        <v>Entwining</v>
      </c>
      <c r="C496" s="188">
        <f t="shared" si="1"/>
        <v>1</v>
      </c>
      <c r="D496" s="20" t="s">
        <v>3458</v>
      </c>
      <c r="E496" s="20">
        <v>1.0</v>
      </c>
    </row>
    <row r="497">
      <c r="A497" s="183" t="str">
        <f>IFERROR(__xludf.DUMMYFUNCTION("""COMPUTED_VALUE"""),"Mirrorworld")</f>
        <v>Mirrorworld</v>
      </c>
      <c r="B497" s="188" t="str">
        <f>IFERROR(__xludf.DUMMYFUNCTION("""COMPUTED_VALUE"""),"Creeper")</f>
        <v>Creeper</v>
      </c>
      <c r="C497" s="188">
        <f t="shared" si="1"/>
        <v>2</v>
      </c>
      <c r="D497" s="20" t="s">
        <v>3459</v>
      </c>
      <c r="E497" s="20">
        <v>1.0</v>
      </c>
    </row>
    <row r="498">
      <c r="A498" s="183" t="str">
        <f>IFERROR(__xludf.DUMMYFUNCTION("""COMPUTED_VALUE"""),"Bloodseeker")</f>
        <v>Bloodseeker</v>
      </c>
      <c r="B498" s="188" t="str">
        <f>IFERROR(__xludf.DUMMYFUNCTION("""COMPUTED_VALUE"""),"Jeweled")</f>
        <v>Jeweled</v>
      </c>
      <c r="C498" s="188">
        <f t="shared" si="1"/>
        <v>1</v>
      </c>
      <c r="D498" s="20" t="s">
        <v>3460</v>
      </c>
      <c r="E498" s="20">
        <v>1.0</v>
      </c>
    </row>
    <row r="499">
      <c r="A499" s="183"/>
      <c r="B499" s="188" t="str">
        <f>IFERROR(__xludf.DUMMYFUNCTION("""COMPUTED_VALUE"""),"Triceratops")</f>
        <v>Triceratops</v>
      </c>
      <c r="C499" s="188">
        <f t="shared" si="1"/>
        <v>1</v>
      </c>
      <c r="D499" s="20" t="s">
        <v>3461</v>
      </c>
      <c r="E499" s="20">
        <v>1.0</v>
      </c>
    </row>
    <row r="500">
      <c r="A500" s="183"/>
      <c r="B500" s="188" t="str">
        <f>IFERROR(__xludf.DUMMYFUNCTION("""COMPUTED_VALUE"""),"Jolly")</f>
        <v>Jolly</v>
      </c>
      <c r="C500" s="188">
        <f t="shared" si="1"/>
        <v>1</v>
      </c>
      <c r="D500" s="20" t="s">
        <v>3462</v>
      </c>
      <c r="E500" s="20">
        <v>1.0</v>
      </c>
    </row>
    <row r="501">
      <c r="A501" s="183"/>
      <c r="B501" s="188" t="str">
        <f>IFERROR(__xludf.DUMMYFUNCTION("""COMPUTED_VALUE"""),"Tamarin")</f>
        <v>Tamarin</v>
      </c>
      <c r="C501" s="188">
        <f t="shared" si="1"/>
        <v>1</v>
      </c>
      <c r="D501" s="20" t="s">
        <v>3463</v>
      </c>
      <c r="E501" s="20">
        <v>1.0</v>
      </c>
    </row>
    <row r="502">
      <c r="A502" s="183" t="str">
        <f>IFERROR(__xludf.DUMMYFUNCTION("""COMPUTED_VALUE"""),"Mountain")</f>
        <v>Mountain</v>
      </c>
      <c r="B502" s="188" t="str">
        <f>IFERROR(__xludf.DUMMYFUNCTION("""COMPUTED_VALUE"""),"Leech")</f>
        <v>Leech</v>
      </c>
      <c r="C502" s="188">
        <f t="shared" si="1"/>
        <v>1</v>
      </c>
      <c r="D502" s="20" t="s">
        <v>3464</v>
      </c>
      <c r="E502" s="20">
        <v>1.0</v>
      </c>
    </row>
    <row r="503">
      <c r="A503" s="183" t="str">
        <f>IFERROR(__xludf.DUMMYFUNCTION("""COMPUTED_VALUE"""),"Sage")</f>
        <v>Sage</v>
      </c>
      <c r="B503" s="188" t="str">
        <f>IFERROR(__xludf.DUMMYFUNCTION("""COMPUTED_VALUE"""),"Dragonfly")</f>
        <v>Dragonfly</v>
      </c>
      <c r="C503" s="188">
        <f t="shared" si="1"/>
        <v>1</v>
      </c>
      <c r="D503" s="20" t="s">
        <v>3465</v>
      </c>
      <c r="E503" s="20">
        <v>1.0</v>
      </c>
    </row>
    <row r="504">
      <c r="A504" s="183"/>
      <c r="B504" s="188" t="str">
        <f>IFERROR(__xludf.DUMMYFUNCTION("""COMPUTED_VALUE"""),"Nurseplant")</f>
        <v>Nurseplant</v>
      </c>
      <c r="C504" s="188">
        <f t="shared" si="1"/>
        <v>1</v>
      </c>
      <c r="D504" s="20" t="s">
        <v>3466</v>
      </c>
      <c r="E504" s="20">
        <v>1.0</v>
      </c>
    </row>
    <row r="505">
      <c r="A505" s="183"/>
      <c r="B505" s="188" t="str">
        <f>IFERROR(__xludf.DUMMYFUNCTION("""COMPUTED_VALUE"""),"Bloodthrone")</f>
        <v>Bloodthrone</v>
      </c>
      <c r="C505" s="188">
        <f t="shared" si="1"/>
        <v>3</v>
      </c>
      <c r="D505" s="20" t="s">
        <v>3467</v>
      </c>
      <c r="E505" s="20">
        <v>1.0</v>
      </c>
    </row>
    <row r="506">
      <c r="A506" s="183"/>
      <c r="B506" s="188" t="str">
        <f>IFERROR(__xludf.DUMMYFUNCTION("""COMPUTED_VALUE"""),"Nurturing")</f>
        <v>Nurturing</v>
      </c>
      <c r="C506" s="188">
        <f t="shared" si="1"/>
        <v>1</v>
      </c>
      <c r="D506" s="20" t="s">
        <v>3468</v>
      </c>
      <c r="E506" s="20">
        <v>1.0</v>
      </c>
    </row>
    <row r="507">
      <c r="A507" s="183" t="str">
        <f>IFERROR(__xludf.DUMMYFUNCTION("""COMPUTED_VALUE"""),"Nimbus")</f>
        <v>Nimbus</v>
      </c>
      <c r="B507" s="188" t="str">
        <f>IFERROR(__xludf.DUMMYFUNCTION("""COMPUTED_VALUE"""),"Rootsaurus")</f>
        <v>Rootsaurus</v>
      </c>
      <c r="C507" s="188">
        <f t="shared" si="1"/>
        <v>1</v>
      </c>
      <c r="D507" s="20" t="s">
        <v>3469</v>
      </c>
      <c r="E507" s="20">
        <v>1.0</v>
      </c>
    </row>
    <row r="508">
      <c r="A508" s="183" t="str">
        <f>IFERROR(__xludf.DUMMYFUNCTION("""COMPUTED_VALUE"""),"Claw")</f>
        <v>Claw</v>
      </c>
      <c r="B508" s="188" t="str">
        <f>IFERROR(__xludf.DUMMYFUNCTION("""COMPUTED_VALUE"""),"Carnage")</f>
        <v>Carnage</v>
      </c>
      <c r="C508" s="188">
        <f t="shared" si="1"/>
        <v>1</v>
      </c>
      <c r="D508" s="20" t="s">
        <v>3470</v>
      </c>
      <c r="E508" s="20">
        <v>1.0</v>
      </c>
    </row>
    <row r="509">
      <c r="A509" s="183"/>
      <c r="B509" s="188" t="str">
        <f>IFERROR(__xludf.DUMMYFUNCTION("""COMPUTED_VALUE"""),"Hornet")</f>
        <v>Hornet</v>
      </c>
      <c r="C509" s="188">
        <f t="shared" si="1"/>
        <v>1</v>
      </c>
      <c r="D509" s="20" t="s">
        <v>3471</v>
      </c>
      <c r="E509" s="20">
        <v>1.0</v>
      </c>
    </row>
    <row r="510">
      <c r="A510" s="183"/>
      <c r="B510" s="188" t="str">
        <f>IFERROR(__xludf.DUMMYFUNCTION("""COMPUTED_VALUE"""),"Champion")</f>
        <v>Champion</v>
      </c>
      <c r="C510" s="188">
        <f t="shared" si="1"/>
        <v>1</v>
      </c>
      <c r="D510" s="20" t="s">
        <v>3472</v>
      </c>
      <c r="E510" s="20">
        <v>1.0</v>
      </c>
    </row>
    <row r="511">
      <c r="A511" s="183"/>
      <c r="B511" s="188" t="str">
        <f>IFERROR(__xludf.DUMMYFUNCTION("""COMPUTED_VALUE"""),"Hell")</f>
        <v>Hell</v>
      </c>
      <c r="C511" s="188">
        <f t="shared" si="1"/>
        <v>1</v>
      </c>
      <c r="D511" s="20" t="s">
        <v>3473</v>
      </c>
      <c r="E511" s="20">
        <v>1.0</v>
      </c>
    </row>
    <row r="512">
      <c r="A512" s="183" t="str">
        <f>IFERROR(__xludf.DUMMYFUNCTION("""COMPUTED_VALUE"""),"Omen")</f>
        <v>Omen</v>
      </c>
      <c r="B512" s="188" t="str">
        <f>IFERROR(__xludf.DUMMYFUNCTION("""COMPUTED_VALUE"""),"Colorgorger")</f>
        <v>Colorgorger</v>
      </c>
      <c r="C512" s="188">
        <f t="shared" si="1"/>
        <v>1</v>
      </c>
      <c r="D512" s="20" t="s">
        <v>3474</v>
      </c>
      <c r="E512" s="20">
        <v>1.0</v>
      </c>
    </row>
    <row r="513">
      <c r="A513" s="183" t="str">
        <f>IFERROR(__xludf.DUMMYFUNCTION("""COMPUTED_VALUE"""),"Firefly")</f>
        <v>Firefly</v>
      </c>
      <c r="B513" s="188" t="str">
        <f>IFERROR(__xludf.DUMMYFUNCTION("""COMPUTED_VALUE"""),"Dark")</f>
        <v>Dark</v>
      </c>
      <c r="C513" s="188">
        <f t="shared" si="1"/>
        <v>1</v>
      </c>
      <c r="D513" s="20" t="s">
        <v>3475</v>
      </c>
      <c r="E513" s="20">
        <v>1.0</v>
      </c>
    </row>
    <row r="514">
      <c r="A514" s="183"/>
      <c r="B514" s="188" t="str">
        <f>IFERROR(__xludf.DUMMYFUNCTION("""COMPUTED_VALUE"""),"Spoon")</f>
        <v>Spoon</v>
      </c>
      <c r="C514" s="188">
        <f t="shared" si="1"/>
        <v>1</v>
      </c>
      <c r="D514" s="20" t="s">
        <v>3476</v>
      </c>
      <c r="E514" s="20">
        <v>1.0</v>
      </c>
    </row>
    <row r="515">
      <c r="A515" s="183"/>
      <c r="B515" s="188" t="str">
        <f>IFERROR(__xludf.DUMMYFUNCTION("""COMPUTED_VALUE"""),"Dawnbreak")</f>
        <v>Dawnbreak</v>
      </c>
      <c r="C515" s="188">
        <f t="shared" si="1"/>
        <v>1</v>
      </c>
      <c r="D515" s="20" t="s">
        <v>3477</v>
      </c>
      <c r="E515" s="20">
        <v>1.0</v>
      </c>
    </row>
    <row r="516">
      <c r="A516" s="183"/>
      <c r="B516" s="188" t="str">
        <f>IFERROR(__xludf.DUMMYFUNCTION("""COMPUTED_VALUE"""),"Wendigo")</f>
        <v>Wendigo</v>
      </c>
      <c r="C516" s="188">
        <f t="shared" si="1"/>
        <v>1</v>
      </c>
      <c r="D516" s="20" t="s">
        <v>3478</v>
      </c>
      <c r="E516" s="20">
        <v>1.0</v>
      </c>
    </row>
    <row r="517">
      <c r="A517" s="183" t="str">
        <f>IFERROR(__xludf.DUMMYFUNCTION("""COMPUTED_VALUE"""),"Pixie")</f>
        <v>Pixie</v>
      </c>
      <c r="B517" s="188" t="str">
        <f>IFERROR(__xludf.DUMMYFUNCTION("""COMPUTED_VALUE"""),"Depthdragger")</f>
        <v>Depthdragger</v>
      </c>
      <c r="C517" s="188">
        <f t="shared" si="1"/>
        <v>1</v>
      </c>
      <c r="D517" s="20" t="s">
        <v>3479</v>
      </c>
      <c r="E517" s="20">
        <v>1.0</v>
      </c>
    </row>
    <row r="518">
      <c r="A518" s="183" t="str">
        <f>IFERROR(__xludf.DUMMYFUNCTION("""COMPUTED_VALUE"""),"Summoner")</f>
        <v>Summoner</v>
      </c>
      <c r="B518" s="188" t="str">
        <f>IFERROR(__xludf.DUMMYFUNCTION("""COMPUTED_VALUE"""),"Discarded")</f>
        <v>Discarded</v>
      </c>
      <c r="C518" s="188">
        <f t="shared" si="1"/>
        <v>1</v>
      </c>
      <c r="D518" s="20" t="s">
        <v>3480</v>
      </c>
      <c r="E518" s="20">
        <v>1.0</v>
      </c>
    </row>
    <row r="519">
      <c r="A519" s="183"/>
      <c r="B519" s="188" t="str">
        <f>IFERROR(__xludf.DUMMYFUNCTION("""COMPUTED_VALUE"""),"Abomination")</f>
        <v>Abomination</v>
      </c>
      <c r="C519" s="188">
        <f t="shared" si="1"/>
        <v>2</v>
      </c>
      <c r="D519" s="20" t="s">
        <v>3481</v>
      </c>
      <c r="E519" s="20">
        <v>1.0</v>
      </c>
    </row>
    <row r="520">
      <c r="A520" s="183"/>
      <c r="B520" s="188" t="str">
        <f>IFERROR(__xludf.DUMMYFUNCTION("""COMPUTED_VALUE"""),"Doomgaze")</f>
        <v>Doomgaze</v>
      </c>
      <c r="C520" s="188">
        <f t="shared" si="1"/>
        <v>1</v>
      </c>
      <c r="D520" s="20" t="s">
        <v>3482</v>
      </c>
      <c r="E520" s="20">
        <v>1.0</v>
      </c>
    </row>
    <row r="521">
      <c r="A521" s="183"/>
      <c r="B521" s="188" t="str">
        <f>IFERROR(__xludf.DUMMYFUNCTION("""COMPUTED_VALUE"""),"Dread")</f>
        <v>Dread</v>
      </c>
      <c r="C521" s="188">
        <f t="shared" si="1"/>
        <v>2</v>
      </c>
      <c r="D521" s="20" t="s">
        <v>3483</v>
      </c>
      <c r="E521" s="20">
        <v>1.0</v>
      </c>
    </row>
    <row r="522">
      <c r="A522" s="183" t="str">
        <f>IFERROR(__xludf.DUMMYFUNCTION("""COMPUTED_VALUE"""),"Pyretic")</f>
        <v>Pyretic</v>
      </c>
      <c r="B522" s="188" t="str">
        <f>IFERROR(__xludf.DUMMYFUNCTION("""COMPUTED_VALUE"""),"Cryptlord")</f>
        <v>Cryptlord</v>
      </c>
      <c r="C522" s="188">
        <f t="shared" si="1"/>
        <v>1</v>
      </c>
      <c r="D522" s="20" t="s">
        <v>1937</v>
      </c>
      <c r="E522" s="20">
        <v>1.0</v>
      </c>
    </row>
    <row r="523">
      <c r="A523" s="183" t="str">
        <f>IFERROR(__xludf.DUMMYFUNCTION("""COMPUTED_VALUE"""),"Pet")</f>
        <v>Pet</v>
      </c>
      <c r="B523" s="188" t="str">
        <f>IFERROR(__xludf.DUMMYFUNCTION("""COMPUTED_VALUE"""),"Nutrient")</f>
        <v>Nutrient</v>
      </c>
      <c r="C523" s="188">
        <f t="shared" si="1"/>
        <v>1</v>
      </c>
      <c r="D523" s="20" t="s">
        <v>3484</v>
      </c>
      <c r="E523" s="20">
        <v>1.0</v>
      </c>
    </row>
    <row r="524">
      <c r="A524" s="183"/>
      <c r="B524" s="188" t="str">
        <f>IFERROR(__xludf.DUMMYFUNCTION("""COMPUTED_VALUE"""),"Nexus")</f>
        <v>Nexus</v>
      </c>
      <c r="C524" s="188">
        <f t="shared" si="1"/>
        <v>2</v>
      </c>
      <c r="D524" s="20" t="s">
        <v>3485</v>
      </c>
      <c r="E524" s="20">
        <v>1.0</v>
      </c>
    </row>
    <row r="525">
      <c r="A525" s="183"/>
      <c r="B525" s="188" t="str">
        <f>IFERROR(__xludf.DUMMYFUNCTION("""COMPUTED_VALUE"""),"Fatepeek")</f>
        <v>Fatepeek</v>
      </c>
      <c r="C525" s="188">
        <f t="shared" si="1"/>
        <v>1</v>
      </c>
      <c r="D525" s="20" t="s">
        <v>3486</v>
      </c>
      <c r="E525" s="20">
        <v>1.0</v>
      </c>
    </row>
    <row r="526">
      <c r="A526" s="183"/>
      <c r="B526" s="188" t="str">
        <f>IFERROR(__xludf.DUMMYFUNCTION("""COMPUTED_VALUE"""),"Imp")</f>
        <v>Imp</v>
      </c>
      <c r="C526" s="188">
        <f t="shared" si="1"/>
        <v>2</v>
      </c>
      <c r="D526" s="20" t="s">
        <v>3487</v>
      </c>
      <c r="E526" s="20">
        <v>1.0</v>
      </c>
    </row>
    <row r="527">
      <c r="A527" s="183" t="str">
        <f>IFERROR(__xludf.DUMMYFUNCTION("""COMPUTED_VALUE"""),"Shifting")</f>
        <v>Shifting</v>
      </c>
      <c r="B527" s="188" t="str">
        <f>IFERROR(__xludf.DUMMYFUNCTION("""COMPUTED_VALUE"""),"Eyed")</f>
        <v>Eyed</v>
      </c>
      <c r="C527" s="188">
        <f t="shared" si="1"/>
        <v>1</v>
      </c>
      <c r="D527" s="20" t="s">
        <v>3488</v>
      </c>
      <c r="E527" s="20">
        <v>1.0</v>
      </c>
    </row>
    <row r="528">
      <c r="A528" s="183" t="str">
        <f>IFERROR(__xludf.DUMMYFUNCTION("""COMPUTED_VALUE"""),"Sands")</f>
        <v>Sands</v>
      </c>
      <c r="B528" s="188" t="str">
        <f>IFERROR(__xludf.DUMMYFUNCTION("""COMPUTED_VALUE"""),"Plunderpillar")</f>
        <v>Plunderpillar</v>
      </c>
      <c r="C528" s="188">
        <f t="shared" si="1"/>
        <v>1</v>
      </c>
      <c r="D528" s="20" t="s">
        <v>3489</v>
      </c>
      <c r="E528" s="20">
        <v>1.0</v>
      </c>
    </row>
    <row r="529">
      <c r="A529" s="183"/>
      <c r="B529" s="188" t="str">
        <f>IFERROR(__xludf.DUMMYFUNCTION("""COMPUTED_VALUE"""),"Raptor")</f>
        <v>Raptor</v>
      </c>
      <c r="C529" s="188">
        <f t="shared" si="1"/>
        <v>1</v>
      </c>
      <c r="D529" s="20" t="s">
        <v>1971</v>
      </c>
      <c r="E529" s="20">
        <v>1.0</v>
      </c>
    </row>
    <row r="530">
      <c r="A530" s="183"/>
      <c r="B530" s="188" t="str">
        <f>IFERROR(__xludf.DUMMYFUNCTION("""COMPUTED_VALUE"""),"Pack")</f>
        <v>Pack</v>
      </c>
      <c r="C530" s="188">
        <f t="shared" si="1"/>
        <v>1</v>
      </c>
      <c r="D530" s="20" t="s">
        <v>3490</v>
      </c>
      <c r="E530" s="20">
        <v>1.0</v>
      </c>
    </row>
    <row r="531">
      <c r="A531" s="183"/>
      <c r="B531" s="188" t="str">
        <f>IFERROR(__xludf.DUMMYFUNCTION("""COMPUTED_VALUE"""),"Saurian")</f>
        <v>Saurian</v>
      </c>
      <c r="C531" s="188">
        <f t="shared" si="1"/>
        <v>1</v>
      </c>
      <c r="D531" s="20" t="s">
        <v>3491</v>
      </c>
      <c r="E531" s="20">
        <v>1.0</v>
      </c>
    </row>
    <row r="532">
      <c r="A532" s="183" t="str">
        <f>IFERROR(__xludf.DUMMYFUNCTION("""COMPUTED_VALUE"""),"Torii")</f>
        <v>Torii</v>
      </c>
      <c r="B532" s="188" t="str">
        <f>IFERROR(__xludf.DUMMYFUNCTION("""COMPUTED_VALUE"""),"Wraith")</f>
        <v>Wraith</v>
      </c>
      <c r="C532" s="188">
        <f t="shared" si="1"/>
        <v>1</v>
      </c>
      <c r="D532" s="20" t="s">
        <v>3492</v>
      </c>
      <c r="E532" s="20">
        <v>1.0</v>
      </c>
    </row>
    <row r="533">
      <c r="A533" s="183" t="str">
        <f>IFERROR(__xludf.DUMMYFUNCTION("""COMPUTED_VALUE"""),"Spirit")</f>
        <v>Spirit</v>
      </c>
      <c r="B533" s="188" t="str">
        <f>IFERROR(__xludf.DUMMYFUNCTION("""COMPUTED_VALUE"""),"Gravebound")</f>
        <v>Gravebound</v>
      </c>
      <c r="C533" s="188">
        <f t="shared" si="1"/>
        <v>1</v>
      </c>
      <c r="D533" s="20" t="s">
        <v>3493</v>
      </c>
      <c r="E533" s="20">
        <v>1.0</v>
      </c>
    </row>
    <row r="534">
      <c r="A534" s="183"/>
      <c r="B534" s="188" t="str">
        <f>IFERROR(__xludf.DUMMYFUNCTION("""COMPUTED_VALUE"""),"Ghoul")</f>
        <v>Ghoul</v>
      </c>
      <c r="C534" s="188">
        <f t="shared" si="1"/>
        <v>1</v>
      </c>
      <c r="D534" s="20" t="s">
        <v>1983</v>
      </c>
      <c r="E534" s="20">
        <v>1.0</v>
      </c>
    </row>
    <row r="535">
      <c r="A535" s="183"/>
      <c r="B535" s="188" t="str">
        <f>IFERROR(__xludf.DUMMYFUNCTION("""COMPUTED_VALUE"""),"Graverobber")</f>
        <v>Graverobber</v>
      </c>
      <c r="C535" s="188">
        <f t="shared" si="1"/>
        <v>1</v>
      </c>
      <c r="D535" s="20" t="s">
        <v>3494</v>
      </c>
      <c r="E535" s="20">
        <v>1.0</v>
      </c>
    </row>
    <row r="536">
      <c r="A536" s="183"/>
      <c r="B536" s="188" t="str">
        <f>IFERROR(__xludf.DUMMYFUNCTION("""COMPUTED_VALUE"""),"Greedspawn")</f>
        <v>Greedspawn</v>
      </c>
      <c r="C536" s="188">
        <f t="shared" si="1"/>
        <v>1</v>
      </c>
      <c r="D536" s="20" t="s">
        <v>3495</v>
      </c>
      <c r="E536" s="20">
        <v>1.0</v>
      </c>
    </row>
    <row r="537">
      <c r="A537" s="183" t="str">
        <f>IFERROR(__xludf.DUMMYFUNCTION("""COMPUTED_VALUE"""),"Red")</f>
        <v>Red</v>
      </c>
      <c r="B537" s="188" t="str">
        <f>IFERROR(__xludf.DUMMYFUNCTION("""COMPUTED_VALUE"""),"Grim")</f>
        <v>Grim</v>
      </c>
      <c r="C537" s="188">
        <f t="shared" si="1"/>
        <v>1</v>
      </c>
      <c r="D537" s="20" t="s">
        <v>3496</v>
      </c>
      <c r="E537" s="20">
        <v>1.0</v>
      </c>
    </row>
    <row r="538">
      <c r="A538" s="183" t="str">
        <f>IFERROR(__xludf.DUMMYFUNCTION("""COMPUTED_VALUE"""),"Crusader")</f>
        <v>Crusader</v>
      </c>
      <c r="B538" s="188" t="str">
        <f>IFERROR(__xludf.DUMMYFUNCTION("""COMPUTED_VALUE"""),"Shadowpounce")</f>
        <v>Shadowpounce</v>
      </c>
      <c r="C538" s="188">
        <f t="shared" si="1"/>
        <v>1</v>
      </c>
      <c r="D538" s="20" t="s">
        <v>3497</v>
      </c>
      <c r="E538" s="20">
        <v>1.0</v>
      </c>
    </row>
    <row r="539">
      <c r="A539" s="183"/>
      <c r="B539" s="188" t="str">
        <f>IFERROR(__xludf.DUMMYFUNCTION("""COMPUTED_VALUE"""),"Panther")</f>
        <v>Panther</v>
      </c>
      <c r="C539" s="188">
        <f t="shared" si="1"/>
        <v>1</v>
      </c>
      <c r="D539" s="20" t="s">
        <v>3498</v>
      </c>
      <c r="E539" s="20">
        <v>1.0</v>
      </c>
    </row>
    <row r="540">
      <c r="A540" s="183"/>
      <c r="B540" s="188" t="str">
        <f>IFERROR(__xludf.DUMMYFUNCTION("""COMPUTED_VALUE"""),"Shardtooth")</f>
        <v>Shardtooth</v>
      </c>
      <c r="C540" s="188">
        <f t="shared" si="1"/>
        <v>1</v>
      </c>
      <c r="D540" s="20" t="s">
        <v>3499</v>
      </c>
      <c r="E540" s="20">
        <v>1.0</v>
      </c>
    </row>
    <row r="541">
      <c r="A541" s="183"/>
      <c r="B541" s="188" t="str">
        <f>IFERROR(__xludf.DUMMYFUNCTION("""COMPUTED_VALUE"""),"Hungry")</f>
        <v>Hungry</v>
      </c>
      <c r="C541" s="188">
        <f t="shared" si="1"/>
        <v>1</v>
      </c>
      <c r="D541" s="20" t="s">
        <v>2015</v>
      </c>
      <c r="E541" s="20">
        <v>1.0</v>
      </c>
    </row>
    <row r="542">
      <c r="A542" s="183" t="str">
        <f>IFERROR(__xludf.DUMMYFUNCTION("""COMPUTED_VALUE"""),"Windkite")</f>
        <v>Windkite</v>
      </c>
      <c r="B542" s="188" t="str">
        <f>IFERROR(__xludf.DUMMYFUNCTION("""COMPUTED_VALUE"""),"Shambler")</f>
        <v>Shambler</v>
      </c>
      <c r="C542" s="188">
        <f t="shared" si="1"/>
        <v>1</v>
      </c>
      <c r="D542" s="20" t="s">
        <v>3500</v>
      </c>
      <c r="E542" s="20">
        <v>1.0</v>
      </c>
    </row>
    <row r="543">
      <c r="A543" s="183" t="str">
        <f>IFERROR(__xludf.DUMMYFUNCTION("""COMPUTED_VALUE"""),"Acolyte")</f>
        <v>Acolyte</v>
      </c>
      <c r="B543" s="188" t="str">
        <f>IFERROR(__xludf.DUMMYFUNCTION("""COMPUTED_VALUE"""),"Sunflower")</f>
        <v>Sunflower</v>
      </c>
      <c r="C543" s="188">
        <f t="shared" si="1"/>
        <v>1</v>
      </c>
      <c r="D543" s="20" t="s">
        <v>3501</v>
      </c>
      <c r="E543" s="20">
        <v>1.0</v>
      </c>
    </row>
    <row r="544">
      <c r="A544" s="183"/>
      <c r="B544" s="188" t="str">
        <f>IFERROR(__xludf.DUMMYFUNCTION("""COMPUTED_VALUE"""),"Tiger")</f>
        <v>Tiger</v>
      </c>
      <c r="C544" s="188">
        <f t="shared" si="1"/>
        <v>1</v>
      </c>
      <c r="D544" s="20" t="s">
        <v>3502</v>
      </c>
      <c r="E544" s="20">
        <v>1.0</v>
      </c>
    </row>
    <row r="545">
      <c r="A545" s="183"/>
      <c r="B545" s="188" t="str">
        <f>IFERROR(__xludf.DUMMYFUNCTION("""COMPUTED_VALUE"""),"Meekbone")</f>
        <v>Meekbone</v>
      </c>
      <c r="C545" s="188">
        <f t="shared" si="1"/>
        <v>1</v>
      </c>
      <c r="D545" s="20" t="s">
        <v>3503</v>
      </c>
      <c r="E545" s="20">
        <v>1.0</v>
      </c>
    </row>
    <row r="546">
      <c r="A546" s="183"/>
      <c r="B546" s="188" t="str">
        <f>IFERROR(__xludf.DUMMYFUNCTION("""COMPUTED_VALUE"""),"Soldier")</f>
        <v>Soldier</v>
      </c>
      <c r="C546" s="188">
        <f t="shared" si="1"/>
        <v>1</v>
      </c>
      <c r="D546" s="20" t="s">
        <v>3504</v>
      </c>
      <c r="E546" s="20">
        <v>1.0</v>
      </c>
    </row>
    <row r="547">
      <c r="A547" s="183" t="str">
        <f>IFERROR(__xludf.DUMMYFUNCTION("""COMPUTED_VALUE"""),"Blood")</f>
        <v>Blood</v>
      </c>
      <c r="B547" s="188" t="str">
        <f>IFERROR(__xludf.DUMMYFUNCTION("""COMPUTED_VALUE"""),"Monarch")</f>
        <v>Monarch</v>
      </c>
      <c r="C547" s="188">
        <f t="shared" si="1"/>
        <v>1</v>
      </c>
      <c r="D547" s="20" t="s">
        <v>3505</v>
      </c>
      <c r="E547" s="20">
        <v>1.0</v>
      </c>
    </row>
    <row r="548">
      <c r="A548" s="183" t="str">
        <f>IFERROR(__xludf.DUMMYFUNCTION("""COMPUTED_VALUE"""),"Moon")</f>
        <v>Moon</v>
      </c>
      <c r="B548" s="188" t="str">
        <f>IFERROR(__xludf.DUMMYFUNCTION("""COMPUTED_VALUE"""),"Shadows")</f>
        <v>Shadows</v>
      </c>
      <c r="C548" s="188">
        <f t="shared" si="1"/>
        <v>1</v>
      </c>
      <c r="D548" s="20" t="s">
        <v>2041</v>
      </c>
      <c r="E548" s="20">
        <v>1.0</v>
      </c>
    </row>
    <row r="549">
      <c r="A549" s="183" t="str">
        <f>IFERROR(__xludf.DUMMYFUNCTION("""COMPUTED_VALUE"""),"Scarab")</f>
        <v>Scarab</v>
      </c>
      <c r="B549" s="188" t="str">
        <f>IFERROR(__xludf.DUMMYFUNCTION("""COMPUTED_VALUE"""),"Venus")</f>
        <v>Venus</v>
      </c>
      <c r="C549" s="188">
        <f t="shared" si="1"/>
        <v>1</v>
      </c>
      <c r="D549" s="20" t="s">
        <v>2045</v>
      </c>
      <c r="E549" s="20">
        <v>1.0</v>
      </c>
    </row>
    <row r="550">
      <c r="A550" s="183"/>
      <c r="B550" s="188" t="str">
        <f>IFERROR(__xludf.DUMMYFUNCTION("""COMPUTED_VALUE"""),"Flytrap")</f>
        <v>Flytrap</v>
      </c>
      <c r="C550" s="188">
        <f t="shared" si="1"/>
        <v>1</v>
      </c>
      <c r="D550" s="20" t="s">
        <v>3506</v>
      </c>
      <c r="E550" s="20">
        <v>1.0</v>
      </c>
    </row>
    <row r="551">
      <c r="A551" s="183"/>
      <c r="B551" s="188" t="str">
        <f>IFERROR(__xludf.DUMMYFUNCTION("""COMPUTED_VALUE"""),"Arcane")</f>
        <v>Arcane</v>
      </c>
      <c r="C551" s="188">
        <f t="shared" si="1"/>
        <v>1</v>
      </c>
      <c r="D551" s="20" t="s">
        <v>3507</v>
      </c>
      <c r="E551" s="20">
        <v>1.0</v>
      </c>
    </row>
    <row r="552">
      <c r="A552" s="183" t="str">
        <f>IFERROR(__xludf.DUMMYFUNCTION("""COMPUTED_VALUE"""),"Sand")</f>
        <v>Sand</v>
      </c>
      <c r="B552" s="188" t="str">
        <f>IFERROR(__xludf.DUMMYFUNCTION("""COMPUTED_VALUE"""),"Gorgosaur")</f>
        <v>Gorgosaur</v>
      </c>
      <c r="C552" s="188">
        <f t="shared" si="1"/>
        <v>1</v>
      </c>
      <c r="D552" s="20" t="s">
        <v>3508</v>
      </c>
      <c r="E552" s="20">
        <v>1.0</v>
      </c>
    </row>
    <row r="553">
      <c r="A553" s="183" t="str">
        <f>IFERROR(__xludf.DUMMYFUNCTION("""COMPUTED_VALUE"""),"Witch")</f>
        <v>Witch</v>
      </c>
      <c r="B553" s="188" t="str">
        <f>IFERROR(__xludf.DUMMYFUNCTION("""COMPUTED_VALUE"""),"Bloodclaw")</f>
        <v>Bloodclaw</v>
      </c>
      <c r="C553" s="188">
        <f t="shared" si="1"/>
        <v>1</v>
      </c>
      <c r="D553" s="20" t="s">
        <v>2058</v>
      </c>
      <c r="E553" s="20">
        <v>1.0</v>
      </c>
    </row>
    <row r="554">
      <c r="A554" s="183"/>
      <c r="B554" s="188" t="str">
        <f>IFERROR(__xludf.DUMMYFUNCTION("""COMPUTED_VALUE"""),"Duke")</f>
        <v>Duke</v>
      </c>
      <c r="C554" s="188">
        <f t="shared" si="1"/>
        <v>1</v>
      </c>
      <c r="D554" s="20" t="s">
        <v>3509</v>
      </c>
      <c r="E554" s="20">
        <v>1.0</v>
      </c>
    </row>
    <row r="555">
      <c r="A555" s="183"/>
      <c r="B555" s="188" t="str">
        <f>IFERROR(__xludf.DUMMYFUNCTION("""COMPUTED_VALUE"""),"Grove")</f>
        <v>Grove</v>
      </c>
      <c r="C555" s="188">
        <f t="shared" si="1"/>
        <v>2</v>
      </c>
      <c r="D555" s="20" t="s">
        <v>3510</v>
      </c>
      <c r="E555" s="20">
        <v>1.0</v>
      </c>
    </row>
    <row r="556">
      <c r="A556" s="183"/>
      <c r="B556" s="188" t="str">
        <f>IFERROR(__xludf.DUMMYFUNCTION("""COMPUTED_VALUE"""),"Omenshadow")</f>
        <v>Omenshadow</v>
      </c>
      <c r="C556" s="188">
        <f t="shared" si="1"/>
        <v>1</v>
      </c>
      <c r="D556" s="20" t="s">
        <v>3511</v>
      </c>
      <c r="E556" s="20">
        <v>1.0</v>
      </c>
    </row>
    <row r="557">
      <c r="A557" s="183" t="str">
        <f>IFERROR(__xludf.DUMMYFUNCTION("""COMPUTED_VALUE"""),"Shardhorde")</f>
        <v>Shardhorde</v>
      </c>
      <c r="B557" s="188" t="str">
        <f>IFERROR(__xludf.DUMMYFUNCTION("""COMPUTED_VALUE"""),"Mantis")</f>
        <v>Mantis</v>
      </c>
      <c r="C557" s="188">
        <f t="shared" si="1"/>
        <v>1</v>
      </c>
      <c r="D557" s="20" t="s">
        <v>3512</v>
      </c>
      <c r="E557" s="20">
        <v>1.0</v>
      </c>
    </row>
    <row r="558">
      <c r="A558" s="183" t="str">
        <f>IFERROR(__xludf.DUMMYFUNCTION("""COMPUTED_VALUE"""),"Galewhelp")</f>
        <v>Galewhelp</v>
      </c>
      <c r="B558" s="188" t="str">
        <f>IFERROR(__xludf.DUMMYFUNCTION("""COMPUTED_VALUE"""),"Queen")</f>
        <v>Queen</v>
      </c>
      <c r="C558" s="188">
        <f t="shared" si="1"/>
        <v>2</v>
      </c>
      <c r="D558" s="20" t="s">
        <v>3513</v>
      </c>
      <c r="E558" s="20">
        <v>1.0</v>
      </c>
    </row>
    <row r="559">
      <c r="A559" s="183"/>
      <c r="B559" s="188" t="str">
        <f>IFERROR(__xludf.DUMMYFUNCTION("""COMPUTED_VALUE"""),"Purple")</f>
        <v>Purple</v>
      </c>
      <c r="C559" s="188">
        <f t="shared" si="1"/>
        <v>2</v>
      </c>
      <c r="D559" s="20" t="s">
        <v>3514</v>
      </c>
      <c r="E559" s="20">
        <v>1.0</v>
      </c>
    </row>
    <row r="560">
      <c r="A560" s="183"/>
      <c r="B560" s="188" t="str">
        <f>IFERROR(__xludf.DUMMYFUNCTION("""COMPUTED_VALUE"""),"Reborn")</f>
        <v>Reborn</v>
      </c>
      <c r="C560" s="188">
        <f t="shared" si="1"/>
        <v>1</v>
      </c>
      <c r="D560" s="20" t="s">
        <v>3515</v>
      </c>
      <c r="E560" s="20">
        <v>1.0</v>
      </c>
    </row>
    <row r="561">
      <c r="A561" s="183"/>
      <c r="B561" s="188" t="str">
        <f>IFERROR(__xludf.DUMMYFUNCTION("""COMPUTED_VALUE"""),"Stargazer")</f>
        <v>Stargazer</v>
      </c>
      <c r="C561" s="188">
        <f t="shared" si="1"/>
        <v>1</v>
      </c>
      <c r="D561" s="20" t="s">
        <v>3516</v>
      </c>
      <c r="E561" s="20">
        <v>1.0</v>
      </c>
    </row>
    <row r="562">
      <c r="A562" s="183" t="str">
        <f>IFERROR(__xludf.DUMMYFUNCTION("""COMPUTED_VALUE"""),"Amberlock")</f>
        <v>Amberlock</v>
      </c>
      <c r="B562" s="188" t="str">
        <f>IFERROR(__xludf.DUMMYFUNCTION("""COMPUTED_VALUE"""),"Relentless")</f>
        <v>Relentless</v>
      </c>
      <c r="C562" s="188">
        <f t="shared" si="1"/>
        <v>1</v>
      </c>
      <c r="D562" s="20" t="s">
        <v>3517</v>
      </c>
      <c r="E562" s="20">
        <v>1.0</v>
      </c>
    </row>
    <row r="563">
      <c r="A563" s="183" t="str">
        <f>IFERROR(__xludf.DUMMYFUNCTION("""COMPUTED_VALUE"""),"Dragonling")</f>
        <v>Dragonling</v>
      </c>
      <c r="B563" s="188" t="str">
        <f>IFERROR(__xludf.DUMMYFUNCTION("""COMPUTED_VALUE"""),"Runic")</f>
        <v>Runic</v>
      </c>
      <c r="C563" s="188">
        <f t="shared" si="1"/>
        <v>1</v>
      </c>
      <c r="D563" s="20" t="s">
        <v>3518</v>
      </c>
      <c r="E563" s="20">
        <v>1.0</v>
      </c>
    </row>
    <row r="564">
      <c r="A564" s="183"/>
      <c r="B564" s="188" t="str">
        <f>IFERROR(__xludf.DUMMYFUNCTION("""COMPUTED_VALUE"""),"Arachnid")</f>
        <v>Arachnid</v>
      </c>
      <c r="C564" s="188">
        <f t="shared" si="1"/>
        <v>1</v>
      </c>
      <c r="D564" s="20" t="s">
        <v>3519</v>
      </c>
      <c r="E564" s="20">
        <v>1.0</v>
      </c>
    </row>
    <row r="565">
      <c r="A565" s="183"/>
      <c r="B565" s="188" t="str">
        <f>IFERROR(__xludf.DUMMYFUNCTION("""COMPUTED_VALUE"""),"Teapot")</f>
        <v>Teapot</v>
      </c>
      <c r="C565" s="188">
        <f t="shared" si="1"/>
        <v>1</v>
      </c>
      <c r="D565" s="20" t="s">
        <v>3520</v>
      </c>
      <c r="E565" s="20">
        <v>1.0</v>
      </c>
    </row>
    <row r="566">
      <c r="A566" s="183"/>
      <c r="B566" s="188" t="str">
        <f>IFERROR(__xludf.DUMMYFUNCTION("""COMPUTED_VALUE"""),"Sun")</f>
        <v>Sun</v>
      </c>
      <c r="C566" s="188">
        <f t="shared" si="1"/>
        <v>1</v>
      </c>
      <c r="D566" s="20" t="s">
        <v>2114</v>
      </c>
      <c r="E566" s="20">
        <v>1.0</v>
      </c>
    </row>
    <row r="567">
      <c r="A567" s="183" t="str">
        <f>IFERROR(__xludf.DUMMYFUNCTION("""COMPUTED_VALUE"""),"Dragonfire")</f>
        <v>Dragonfire</v>
      </c>
      <c r="B567" s="188" t="str">
        <f>IFERROR(__xludf.DUMMYFUNCTION("""COMPUTED_VALUE"""),"Saurus")</f>
        <v>Saurus</v>
      </c>
      <c r="C567" s="188">
        <f t="shared" si="1"/>
        <v>1</v>
      </c>
      <c r="D567" s="20" t="s">
        <v>3521</v>
      </c>
      <c r="E567" s="20">
        <v>1.0</v>
      </c>
    </row>
    <row r="568">
      <c r="A568" s="183" t="str">
        <f>IFERROR(__xludf.DUMMYFUNCTION("""COMPUTED_VALUE"""),"Warlock")</f>
        <v>Warlock</v>
      </c>
      <c r="B568" s="188" t="str">
        <f>IFERROR(__xludf.DUMMYFUNCTION("""COMPUTED_VALUE"""),"Sandsilk")</f>
        <v>Sandsilk</v>
      </c>
      <c r="C568" s="188">
        <f t="shared" si="1"/>
        <v>1</v>
      </c>
      <c r="D568" s="20" t="s">
        <v>2135</v>
      </c>
      <c r="E568" s="20">
        <v>1.0</v>
      </c>
    </row>
    <row r="569">
      <c r="A569" s="183"/>
      <c r="B569" s="188" t="str">
        <f>IFERROR(__xludf.DUMMYFUNCTION("""COMPUTED_VALUE"""),"Fox")</f>
        <v>Fox</v>
      </c>
      <c r="C569" s="188">
        <f t="shared" si="1"/>
        <v>1</v>
      </c>
      <c r="D569" s="20" t="s">
        <v>3522</v>
      </c>
      <c r="E569" s="20">
        <v>1.0</v>
      </c>
    </row>
    <row r="570">
      <c r="A570" s="183"/>
      <c r="B570" s="188" t="str">
        <f>IFERROR(__xludf.DUMMYFUNCTION("""COMPUTED_VALUE"""),"Living")</f>
        <v>Living</v>
      </c>
      <c r="C570" s="188">
        <f t="shared" si="1"/>
        <v>1</v>
      </c>
      <c r="D570" s="20" t="s">
        <v>3523</v>
      </c>
      <c r="E570" s="20">
        <v>1.0</v>
      </c>
    </row>
    <row r="571">
      <c r="A571" s="183"/>
      <c r="B571" s="188" t="str">
        <f>IFERROR(__xludf.DUMMYFUNCTION("""COMPUTED_VALUE"""),"Thicket")</f>
        <v>Thicket</v>
      </c>
      <c r="C571" s="188">
        <f t="shared" si="1"/>
        <v>1</v>
      </c>
      <c r="D571" s="20" t="s">
        <v>3524</v>
      </c>
      <c r="E571" s="20">
        <v>1.0</v>
      </c>
    </row>
    <row r="572">
      <c r="A572" s="183" t="str">
        <f>IFERROR(__xludf.DUMMYFUNCTION("""COMPUTED_VALUE"""),"Dragonwind")</f>
        <v>Dragonwind</v>
      </c>
      <c r="B572" s="188" t="str">
        <f>IFERROR(__xludf.DUMMYFUNCTION("""COMPUTED_VALUE"""),"Shrouded")</f>
        <v>Shrouded</v>
      </c>
      <c r="C572" s="188">
        <f t="shared" si="1"/>
        <v>1</v>
      </c>
      <c r="D572" s="20" t="s">
        <v>3525</v>
      </c>
      <c r="E572" s="20">
        <v>1.0</v>
      </c>
    </row>
    <row r="573">
      <c r="A573" s="183" t="str">
        <f>IFERROR(__xludf.DUMMYFUNCTION("""COMPUTED_VALUE"""),"Harbinger")</f>
        <v>Harbinger</v>
      </c>
      <c r="B573" s="188" t="str">
        <f>IFERROR(__xludf.DUMMYFUNCTION("""COMPUTED_VALUE"""),"Advocate")</f>
        <v>Advocate</v>
      </c>
      <c r="C573" s="188">
        <f t="shared" si="1"/>
        <v>1</v>
      </c>
      <c r="D573" s="20" t="s">
        <v>3526</v>
      </c>
      <c r="E573" s="20">
        <v>1.0</v>
      </c>
    </row>
    <row r="574">
      <c r="A574" s="183"/>
      <c r="B574" s="188" t="str">
        <f>IFERROR(__xludf.DUMMYFUNCTION("""COMPUTED_VALUE"""),"Fiend")</f>
        <v>Fiend</v>
      </c>
      <c r="C574" s="188">
        <f t="shared" si="1"/>
        <v>1</v>
      </c>
      <c r="D574" s="20" t="s">
        <v>3527</v>
      </c>
      <c r="E574" s="20">
        <v>1.0</v>
      </c>
    </row>
    <row r="575">
      <c r="A575" s="183"/>
      <c r="B575" s="188" t="str">
        <f>IFERROR(__xludf.DUMMYFUNCTION("""COMPUTED_VALUE"""),"Invigorating")</f>
        <v>Invigorating</v>
      </c>
      <c r="C575" s="188">
        <f t="shared" si="1"/>
        <v>1</v>
      </c>
      <c r="D575" s="20" t="s">
        <v>3528</v>
      </c>
      <c r="E575" s="20">
        <v>1.0</v>
      </c>
    </row>
    <row r="576">
      <c r="A576" s="183"/>
      <c r="B576" s="188" t="str">
        <f>IFERROR(__xludf.DUMMYFUNCTION("""COMPUTED_VALUE"""),"Lotus")</f>
        <v>Lotus</v>
      </c>
      <c r="C576" s="188">
        <f t="shared" si="1"/>
        <v>1</v>
      </c>
      <c r="D576" s="20" t="s">
        <v>3529</v>
      </c>
      <c r="E576" s="20">
        <v>1.0</v>
      </c>
    </row>
    <row r="577">
      <c r="A577" s="183" t="str">
        <f>IFERROR(__xludf.DUMMYFUNCTION("""COMPUTED_VALUE"""),"Sparkwielder")</f>
        <v>Sparkwielder</v>
      </c>
      <c r="B577" s="188" t="str">
        <f>IFERROR(__xludf.DUMMYFUNCTION("""COMPUTED_VALUE"""),"Bloom")</f>
        <v>Bloom</v>
      </c>
      <c r="C577" s="188">
        <f t="shared" si="1"/>
        <v>1</v>
      </c>
      <c r="D577" s="20" t="s">
        <v>3530</v>
      </c>
      <c r="E577" s="20">
        <v>1.0</v>
      </c>
    </row>
    <row r="578">
      <c r="A578" s="183"/>
      <c r="B578" s="188" t="str">
        <f>IFERROR(__xludf.DUMMYFUNCTION("""COMPUTED_VALUE"""),"Photosynthaurus")</f>
        <v>Photosynthaurus</v>
      </c>
      <c r="C578" s="188">
        <f t="shared" si="1"/>
        <v>1</v>
      </c>
      <c r="D578" s="20" t="s">
        <v>3531</v>
      </c>
      <c r="E578" s="20">
        <v>1.0</v>
      </c>
    </row>
    <row r="579">
      <c r="A579" s="183"/>
      <c r="B579" s="188" t="str">
        <f>IFERROR(__xludf.DUMMYFUNCTION("""COMPUTED_VALUE"""),"Southern")</f>
        <v>Southern</v>
      </c>
      <c r="C579" s="188">
        <f t="shared" si="1"/>
        <v>1</v>
      </c>
      <c r="D579" s="20" t="s">
        <v>3532</v>
      </c>
      <c r="E579" s="20">
        <v>1.0</v>
      </c>
    </row>
    <row r="580">
      <c r="A580" s="183"/>
      <c r="B580" s="188" t="str">
        <f>IFERROR(__xludf.DUMMYFUNCTION("""COMPUTED_VALUE"""),"Reach")</f>
        <v>Reach</v>
      </c>
      <c r="C580" s="188">
        <f t="shared" si="1"/>
        <v>1</v>
      </c>
      <c r="D580" s="20" t="s">
        <v>3533</v>
      </c>
      <c r="E580" s="20">
        <v>1.0</v>
      </c>
    </row>
    <row r="581">
      <c r="A581" s="183"/>
      <c r="B581" s="188" t="str">
        <f>IFERROR(__xludf.DUMMYFUNCTION("""COMPUTED_VALUE"""),"Bulwark")</f>
        <v>Bulwark</v>
      </c>
      <c r="C581" s="188">
        <f t="shared" si="1"/>
        <v>1</v>
      </c>
      <c r="D581" s="20" t="s">
        <v>3534</v>
      </c>
      <c r="E581" s="20">
        <v>1.0</v>
      </c>
    </row>
    <row r="582">
      <c r="A582" s="183" t="str">
        <f>IFERROR(__xludf.DUMMYFUNCTION("""COMPUTED_VALUE"""),"Gashopper")</f>
        <v>Gashopper</v>
      </c>
      <c r="B582" s="188" t="str">
        <f>IFERROR(__xludf.DUMMYFUNCTION("""COMPUTED_VALUE"""),"Thoughtfeaster")</f>
        <v>Thoughtfeaster</v>
      </c>
      <c r="C582" s="188">
        <f t="shared" si="1"/>
        <v>1</v>
      </c>
      <c r="D582" s="20" t="s">
        <v>3535</v>
      </c>
      <c r="E582" s="20">
        <v>1.0</v>
      </c>
    </row>
    <row r="583">
      <c r="A583" s="183"/>
      <c r="B583" s="188" t="str">
        <f>IFERROR(__xludf.DUMMYFUNCTION("""COMPUTED_VALUE"""),"Tombstone")</f>
        <v>Tombstone</v>
      </c>
      <c r="C583" s="188">
        <f t="shared" si="1"/>
        <v>1</v>
      </c>
      <c r="D583" s="20" t="s">
        <v>3536</v>
      </c>
      <c r="E583" s="20">
        <v>1.0</v>
      </c>
    </row>
    <row r="584">
      <c r="A584" s="183"/>
      <c r="B584" s="188" t="str">
        <f>IFERROR(__xludf.DUMMYFUNCTION("""COMPUTED_VALUE"""),"Umbral")</f>
        <v>Umbral</v>
      </c>
      <c r="C584" s="188">
        <f t="shared" si="1"/>
        <v>1</v>
      </c>
      <c r="D584" s="20" t="s">
        <v>3537</v>
      </c>
      <c r="E584" s="20">
        <v>1.0</v>
      </c>
    </row>
    <row r="585">
      <c r="A585" s="183"/>
      <c r="B585" s="188" t="str">
        <f>IFERROR(__xludf.DUMMYFUNCTION("""COMPUTED_VALUE"""),"Voidkiss")</f>
        <v>Voidkiss</v>
      </c>
      <c r="C585" s="188">
        <f t="shared" si="1"/>
        <v>1</v>
      </c>
      <c r="D585" s="20" t="s">
        <v>3538</v>
      </c>
      <c r="E585" s="20">
        <v>1.0</v>
      </c>
    </row>
    <row r="586">
      <c r="A586" s="183"/>
      <c r="B586" s="188" t="str">
        <f>IFERROR(__xludf.DUMMYFUNCTION("""COMPUTED_VALUE"""),"Siren")</f>
        <v>Siren</v>
      </c>
      <c r="C586" s="188">
        <f t="shared" si="1"/>
        <v>1</v>
      </c>
      <c r="D586" s="20" t="s">
        <v>3539</v>
      </c>
      <c r="E586" s="20">
        <v>1.0</v>
      </c>
    </row>
    <row r="587">
      <c r="A587" s="183" t="str">
        <f>IFERROR(__xludf.DUMMYFUNCTION("""COMPUTED_VALUE"""),"Hailbringer")</f>
        <v>Hailbringer</v>
      </c>
      <c r="B587" s="188" t="str">
        <f>IFERROR(__xludf.DUMMYFUNCTION("""COMPUTED_VALUE"""),"Rootstrosity")</f>
        <v>Rootstrosity</v>
      </c>
      <c r="C587" s="188">
        <f t="shared" si="1"/>
        <v>1</v>
      </c>
      <c r="D587" s="20" t="s">
        <v>3540</v>
      </c>
      <c r="E587" s="20">
        <v>1.0</v>
      </c>
    </row>
    <row r="588">
      <c r="A588" s="183"/>
      <c r="B588" s="188" t="str">
        <f>IFERROR(__xludf.DUMMYFUNCTION("""COMPUTED_VALUE"""),"Voodoo")</f>
        <v>Voodoo</v>
      </c>
      <c r="C588" s="188">
        <f t="shared" si="1"/>
        <v>1</v>
      </c>
      <c r="D588" s="20" t="s">
        <v>2209</v>
      </c>
      <c r="E588" s="20">
        <v>1.0</v>
      </c>
    </row>
    <row r="589">
      <c r="A589" s="183"/>
      <c r="B589" s="188" t="str">
        <f>IFERROR(__xludf.DUMMYFUNCTION("""COMPUTED_VALUE"""),"Doctor")</f>
        <v>Doctor</v>
      </c>
      <c r="C589" s="188">
        <f t="shared" si="1"/>
        <v>1</v>
      </c>
      <c r="D589" s="20" t="s">
        <v>3541</v>
      </c>
      <c r="E589" s="20">
        <v>1.0</v>
      </c>
    </row>
    <row r="590">
      <c r="A590" s="183"/>
      <c r="B590" s="188" t="str">
        <f>IFERROR(__xludf.DUMMYFUNCTION("""COMPUTED_VALUE"""),"Whispering")</f>
        <v>Whispering</v>
      </c>
      <c r="C590" s="188">
        <f t="shared" si="1"/>
        <v>1</v>
      </c>
      <c r="D590" s="20" t="s">
        <v>3542</v>
      </c>
      <c r="E590" s="20">
        <v>1.0</v>
      </c>
    </row>
    <row r="591">
      <c r="A591" s="183"/>
      <c r="B591" s="188" t="str">
        <f>IFERROR(__xludf.DUMMYFUNCTION("""COMPUTED_VALUE"""),"Tome")</f>
        <v>Tome</v>
      </c>
      <c r="C591" s="188">
        <f t="shared" si="1"/>
        <v>1</v>
      </c>
      <c r="D591" s="20" t="s">
        <v>3543</v>
      </c>
      <c r="E591" s="20">
        <v>1.0</v>
      </c>
    </row>
    <row r="592">
      <c r="A592" s="183" t="str">
        <f>IFERROR(__xludf.DUMMYFUNCTION("""COMPUTED_VALUE"""),"Stormlash")</f>
        <v>Stormlash</v>
      </c>
      <c r="B592" s="188" t="str">
        <f>IFERROR(__xludf.DUMMYFUNCTION("""COMPUTED_VALUE"""),"Choking")</f>
        <v>Choking</v>
      </c>
      <c r="C592" s="188">
        <f t="shared" si="1"/>
        <v>1</v>
      </c>
      <c r="D592" s="20" t="s">
        <v>2225</v>
      </c>
      <c r="E592" s="20">
        <v>1.0</v>
      </c>
    </row>
    <row r="593">
      <c r="A593" s="183"/>
      <c r="B593" s="188" t="str">
        <f>IFERROR(__xludf.DUMMYFUNCTION("""COMPUTED_VALUE"""),"Vines")</f>
        <v>Vines</v>
      </c>
      <c r="C593" s="188">
        <f t="shared" si="1"/>
        <v>1</v>
      </c>
      <c r="D593" s="20" t="s">
        <v>3544</v>
      </c>
      <c r="E593" s="20">
        <v>1.0</v>
      </c>
    </row>
    <row r="594">
      <c r="A594" s="183"/>
      <c r="B594" s="188" t="str">
        <f>IFERROR(__xludf.DUMMYFUNCTION("""COMPUTED_VALUE"""),"Heathborn")</f>
        <v>Heathborn</v>
      </c>
      <c r="C594" s="188">
        <f t="shared" si="1"/>
        <v>1</v>
      </c>
      <c r="D594" s="20" t="s">
        <v>3545</v>
      </c>
      <c r="E594" s="20">
        <v>1.0</v>
      </c>
    </row>
    <row r="595">
      <c r="A595" s="183"/>
      <c r="B595" s="188" t="str">
        <f>IFERROR(__xludf.DUMMYFUNCTION("""COMPUTED_VALUE"""),"Protector")</f>
        <v>Protector</v>
      </c>
      <c r="C595" s="188">
        <f t="shared" si="1"/>
        <v>1</v>
      </c>
      <c r="D595" s="20" t="s">
        <v>3546</v>
      </c>
      <c r="E595" s="20">
        <v>1.0</v>
      </c>
    </row>
    <row r="596">
      <c r="A596" s="183"/>
      <c r="B596" s="188" t="str">
        <f>IFERROR(__xludf.DUMMYFUNCTION("""COMPUTED_VALUE"""),"Wastelands")</f>
        <v>Wastelands</v>
      </c>
      <c r="C596" s="188">
        <f t="shared" si="1"/>
        <v>1</v>
      </c>
      <c r="D596" s="20" t="s">
        <v>3547</v>
      </c>
      <c r="E596" s="20">
        <v>1.0</v>
      </c>
    </row>
    <row r="597">
      <c r="A597" s="183" t="str">
        <f>IFERROR(__xludf.DUMMYFUNCTION("""COMPUTED_VALUE"""),"Stormworn")</f>
        <v>Stormworn</v>
      </c>
      <c r="B597" s="188" t="str">
        <f>IFERROR(__xludf.DUMMYFUNCTION("""COMPUTED_VALUE"""),"Crystalbane")</f>
        <v>Crystalbane</v>
      </c>
      <c r="C597" s="188">
        <f t="shared" si="1"/>
        <v>1</v>
      </c>
      <c r="D597" s="20" t="s">
        <v>2239</v>
      </c>
      <c r="E597" s="20">
        <v>1.0</v>
      </c>
    </row>
    <row r="598">
      <c r="A598" s="183" t="str">
        <f>IFERROR(__xludf.DUMMYFUNCTION("""COMPUTED_VALUE"""),"Horn")</f>
        <v>Horn</v>
      </c>
      <c r="B598" s="188" t="str">
        <f>IFERROR(__xludf.DUMMYFUNCTION("""COMPUTED_VALUE"""),"Glutton")</f>
        <v>Glutton</v>
      </c>
      <c r="C598" s="188">
        <f t="shared" si="1"/>
        <v>1</v>
      </c>
      <c r="D598" s="20" t="s">
        <v>3548</v>
      </c>
      <c r="E598" s="20">
        <v>1.0</v>
      </c>
    </row>
    <row r="599">
      <c r="A599" s="183"/>
      <c r="B599" s="188" t="str">
        <f>IFERROR(__xludf.DUMMYFUNCTION("""COMPUTED_VALUE"""),"Crystalline")</f>
        <v>Crystalline</v>
      </c>
      <c r="C599" s="188">
        <f t="shared" si="1"/>
        <v>1</v>
      </c>
      <c r="D599" s="20" t="s">
        <v>3549</v>
      </c>
      <c r="E599" s="20">
        <v>1.0</v>
      </c>
    </row>
    <row r="600">
      <c r="A600" s="183"/>
      <c r="B600" s="188" t="str">
        <f>IFERROR(__xludf.DUMMYFUNCTION("""COMPUTED_VALUE"""),"Parasite")</f>
        <v>Parasite</v>
      </c>
      <c r="C600" s="188">
        <f t="shared" si="1"/>
        <v>1</v>
      </c>
      <c r="D600" s="20" t="s">
        <v>3550</v>
      </c>
      <c r="E600" s="20">
        <v>1.0</v>
      </c>
    </row>
    <row r="601">
      <c r="A601" s="183"/>
      <c r="B601" s="188" t="str">
        <f>IFERROR(__xludf.DUMMYFUNCTION("""COMPUTED_VALUE"""),"Fortune's")</f>
        <v>Fortune's</v>
      </c>
      <c r="C601" s="188">
        <f t="shared" si="1"/>
        <v>1</v>
      </c>
      <c r="D601" s="20" t="s">
        <v>3551</v>
      </c>
      <c r="E601" s="20">
        <v>1.0</v>
      </c>
    </row>
    <row r="602">
      <c r="A602" s="183" t="str">
        <f>IFERROR(__xludf.DUMMYFUNCTION("""COMPUTED_VALUE"""),"Glinteye")</f>
        <v>Glinteye</v>
      </c>
      <c r="B602" s="188" t="str">
        <f>IFERROR(__xludf.DUMMYFUNCTION("""COMPUTED_VALUE"""),"Favorite")</f>
        <v>Favorite</v>
      </c>
      <c r="C602" s="188">
        <f t="shared" si="1"/>
        <v>1</v>
      </c>
      <c r="D602" s="20" t="s">
        <v>3552</v>
      </c>
      <c r="E602" s="20">
        <v>1.0</v>
      </c>
    </row>
    <row r="603">
      <c r="A603" s="183" t="str">
        <f>IFERROR(__xludf.DUMMYFUNCTION("""COMPUTED_VALUE"""),"Hoarder")</f>
        <v>Hoarder</v>
      </c>
      <c r="B603" s="188" t="str">
        <f>IFERROR(__xludf.DUMMYFUNCTION("""COMPUTED_VALUE"""),"Gigantic")</f>
        <v>Gigantic</v>
      </c>
      <c r="C603" s="188">
        <f t="shared" si="1"/>
        <v>1</v>
      </c>
      <c r="D603" s="20" t="s">
        <v>3553</v>
      </c>
      <c r="E603" s="20">
        <v>1.0</v>
      </c>
    </row>
    <row r="604">
      <c r="A604" s="183"/>
      <c r="B604" s="188" t="str">
        <f>IFERROR(__xludf.DUMMYFUNCTION("""COMPUTED_VALUE"""),"Terrormaw")</f>
        <v>Terrormaw</v>
      </c>
      <c r="C604" s="188">
        <f t="shared" si="1"/>
        <v>1</v>
      </c>
      <c r="D604" s="20" t="s">
        <v>3554</v>
      </c>
      <c r="E604" s="20">
        <v>1.0</v>
      </c>
    </row>
    <row r="605">
      <c r="A605" s="183"/>
      <c r="B605" s="188" t="str">
        <f>IFERROR(__xludf.DUMMYFUNCTION("""COMPUTED_VALUE"""),"Null")</f>
        <v>Null</v>
      </c>
      <c r="C605" s="188">
        <f t="shared" si="1"/>
        <v>1</v>
      </c>
      <c r="D605" s="20" t="s">
        <v>3555</v>
      </c>
      <c r="E605" s="20">
        <v>1.0</v>
      </c>
    </row>
    <row r="606">
      <c r="A606" s="183"/>
      <c r="B606" s="188" t="str">
        <f>IFERROR(__xludf.DUMMYFUNCTION("""COMPUTED_VALUE"""),"Ghost")</f>
        <v>Ghost</v>
      </c>
      <c r="C606" s="188">
        <f t="shared" si="1"/>
        <v>1</v>
      </c>
      <c r="D606" s="20" t="s">
        <v>3556</v>
      </c>
      <c r="E606" s="20">
        <v>1.0</v>
      </c>
    </row>
    <row r="607">
      <c r="A607" s="183" t="str">
        <f>IFERROR(__xludf.DUMMYFUNCTION("""COMPUTED_VALUE"""),"The")</f>
        <v>The</v>
      </c>
      <c r="B607" s="188" t="str">
        <f>IFERROR(__xludf.DUMMYFUNCTION("""COMPUTED_VALUE"""),"Bear")</f>
        <v>Bear</v>
      </c>
      <c r="C607" s="188">
        <f t="shared" si="1"/>
        <v>1</v>
      </c>
      <c r="D607" s="20" t="s">
        <v>3557</v>
      </c>
      <c r="E607" s="20">
        <v>1.0</v>
      </c>
    </row>
    <row r="608">
      <c r="A608" s="183" t="str">
        <f>IFERROR(__xludf.DUMMYFUNCTION("""COMPUTED_VALUE"""),"Culling")</f>
        <v>Culling</v>
      </c>
      <c r="B608" s="188" t="str">
        <f>IFERROR(__xludf.DUMMYFUNCTION("""COMPUTED_VALUE"""),"Cub")</f>
        <v>Cub</v>
      </c>
      <c r="C608" s="188">
        <f t="shared" si="1"/>
        <v>1</v>
      </c>
      <c r="D608" s="20" t="s">
        <v>3558</v>
      </c>
      <c r="E608" s="20">
        <v>1.0</v>
      </c>
    </row>
    <row r="609">
      <c r="A609" s="183" t="str">
        <f>IFERROR(__xludf.DUMMYFUNCTION("""COMPUTED_VALUE"""),"Claw")</f>
        <v>Claw</v>
      </c>
      <c r="B609" s="188" t="str">
        <f>IFERROR(__xludf.DUMMYFUNCTION("""COMPUTED_VALUE"""),"Necroconut")</f>
        <v>Necroconut</v>
      </c>
      <c r="C609" s="188">
        <f t="shared" si="1"/>
        <v>1</v>
      </c>
      <c r="D609" s="20" t="s">
        <v>3559</v>
      </c>
      <c r="E609" s="20">
        <v>1.0</v>
      </c>
    </row>
    <row r="610">
      <c r="A610" s="183"/>
      <c r="B610" s="188" t="str">
        <f>IFERROR(__xludf.DUMMYFUNCTION("""COMPUTED_VALUE"""),"Crab")</f>
        <v>Crab</v>
      </c>
      <c r="C610" s="188">
        <f t="shared" si="1"/>
        <v>1</v>
      </c>
      <c r="D610" s="20" t="s">
        <v>3560</v>
      </c>
      <c r="E610" s="20">
        <v>1.0</v>
      </c>
    </row>
    <row r="611">
      <c r="A611" s="183"/>
      <c r="B611" s="188" t="str">
        <f>IFERROR(__xludf.DUMMYFUNCTION("""COMPUTED_VALUE"""),"Rotting")</f>
        <v>Rotting</v>
      </c>
      <c r="C611" s="188">
        <f t="shared" si="1"/>
        <v>1</v>
      </c>
      <c r="D611" s="20" t="s">
        <v>3561</v>
      </c>
      <c r="E611" s="20">
        <v>1.0</v>
      </c>
    </row>
    <row r="612">
      <c r="A612" s="183" t="str">
        <f>IFERROR(__xludf.DUMMYFUNCTION("""COMPUTED_VALUE"""),"Thunderfox")</f>
        <v>Thunderfox</v>
      </c>
      <c r="B612" s="188" t="str">
        <f>IFERROR(__xludf.DUMMYFUNCTION("""COMPUTED_VALUE"""),"Alicorn")</f>
        <v>Alicorn</v>
      </c>
      <c r="C612" s="188">
        <f t="shared" si="1"/>
        <v>1</v>
      </c>
      <c r="D612" s="20" t="s">
        <v>3562</v>
      </c>
      <c r="E612" s="20">
        <v>1.0</v>
      </c>
    </row>
    <row r="613">
      <c r="A613" s="183"/>
      <c r="B613" s="188" t="str">
        <f>IFERROR(__xludf.DUMMYFUNCTION("""COMPUTED_VALUE"""),"Initiate")</f>
        <v>Initiate</v>
      </c>
      <c r="C613" s="188">
        <f t="shared" si="1"/>
        <v>1</v>
      </c>
      <c r="D613" s="20" t="s">
        <v>3563</v>
      </c>
      <c r="E613" s="20">
        <v>1.0</v>
      </c>
    </row>
    <row r="614">
      <c r="A614" s="183"/>
      <c r="B614" s="188" t="str">
        <f>IFERROR(__xludf.DUMMYFUNCTION("""COMPUTED_VALUE"""),"Cryptroach")</f>
        <v>Cryptroach</v>
      </c>
      <c r="C614" s="188">
        <f t="shared" si="1"/>
        <v>1</v>
      </c>
      <c r="D614" s="20" t="s">
        <v>3564</v>
      </c>
      <c r="E614" s="20">
        <v>1.0</v>
      </c>
    </row>
    <row r="615">
      <c r="A615" s="183"/>
      <c r="B615" s="188" t="str">
        <f>IFERROR(__xludf.DUMMYFUNCTION("""COMPUTED_VALUE"""),"Abyssal")</f>
        <v>Abyssal</v>
      </c>
      <c r="C615" s="188">
        <f t="shared" si="1"/>
        <v>1</v>
      </c>
      <c r="D615" s="20" t="s">
        <v>3565</v>
      </c>
      <c r="E615" s="20">
        <v>1.0</v>
      </c>
    </row>
    <row r="616">
      <c r="A616" s="183"/>
      <c r="B616" s="188" t="str">
        <f>IFERROR(__xludf.DUMMYFUNCTION("""COMPUTED_VALUE"""),"Silencer")</f>
        <v>Silencer</v>
      </c>
      <c r="C616" s="188">
        <f t="shared" si="1"/>
        <v>1</v>
      </c>
      <c r="D616" s="20" t="s">
        <v>3566</v>
      </c>
      <c r="E616" s="20">
        <v>1.0</v>
      </c>
    </row>
    <row r="617">
      <c r="A617" s="183" t="str">
        <f>IFERROR(__xludf.DUMMYFUNCTION("""COMPUTED_VALUE"""),"Raijin's")</f>
        <v>Raijin's</v>
      </c>
      <c r="B617" s="188" t="str">
        <f>IFERROR(__xludf.DUMMYFUNCTION("""COMPUTED_VALUE"""),"Blightcoven")</f>
        <v>Blightcoven</v>
      </c>
      <c r="C617" s="188">
        <f t="shared" si="1"/>
        <v>1</v>
      </c>
      <c r="D617" s="20" t="s">
        <v>3567</v>
      </c>
      <c r="E617" s="20">
        <v>1.0</v>
      </c>
    </row>
    <row r="618">
      <c r="A618" s="183" t="str">
        <f>IFERROR(__xludf.DUMMYFUNCTION("""COMPUTED_VALUE"""),"Familiar")</f>
        <v>Familiar</v>
      </c>
      <c r="B618" s="188" t="str">
        <f>IFERROR(__xludf.DUMMYFUNCTION("""COMPUTED_VALUE"""),"Puppeteer")</f>
        <v>Puppeteer</v>
      </c>
      <c r="C618" s="188">
        <f t="shared" si="1"/>
        <v>1</v>
      </c>
      <c r="D618" s="20" t="s">
        <v>3568</v>
      </c>
      <c r="E618" s="20">
        <v>1.0</v>
      </c>
    </row>
    <row r="619">
      <c r="A619" s="183"/>
      <c r="B619" s="188" t="str">
        <f>IFERROR(__xludf.DUMMYFUNCTION("""COMPUTED_VALUE"""),"Ambassador")</f>
        <v>Ambassador</v>
      </c>
      <c r="C619" s="188">
        <f t="shared" si="1"/>
        <v>2</v>
      </c>
      <c r="D619" s="20" t="s">
        <v>3569</v>
      </c>
      <c r="E619" s="20">
        <v>1.0</v>
      </c>
    </row>
    <row r="620">
      <c r="A620" s="183"/>
      <c r="B620" s="188" t="str">
        <f>IFERROR(__xludf.DUMMYFUNCTION("""COMPUTED_VALUE"""),"Emissary")</f>
        <v>Emissary</v>
      </c>
      <c r="C620" s="188">
        <f t="shared" si="1"/>
        <v>1</v>
      </c>
      <c r="D620" s="20" t="s">
        <v>3570</v>
      </c>
      <c r="E620" s="20">
        <v>1.0</v>
      </c>
    </row>
    <row r="621">
      <c r="A621" s="183"/>
      <c r="B621" s="188" t="str">
        <f>IFERROR(__xludf.DUMMYFUNCTION("""COMPUTED_VALUE"""),"Darkness")</f>
        <v>Darkness</v>
      </c>
      <c r="C621" s="188">
        <f t="shared" si="1"/>
        <v>1</v>
      </c>
      <c r="D621" s="20" t="s">
        <v>3571</v>
      </c>
      <c r="E621" s="20">
        <v>1.0</v>
      </c>
    </row>
    <row r="622">
      <c r="A622" s="183" t="str">
        <f>IFERROR(__xludf.DUMMYFUNCTION("""COMPUTED_VALUE"""),"Twin")</f>
        <v>Twin</v>
      </c>
      <c r="B622" s="188" t="str">
        <f>IFERROR(__xludf.DUMMYFUNCTION("""COMPUTED_VALUE"""),"Chronicler")</f>
        <v>Chronicler</v>
      </c>
      <c r="C622" s="188">
        <f t="shared" si="1"/>
        <v>1</v>
      </c>
      <c r="D622" s="20" t="s">
        <v>3572</v>
      </c>
      <c r="E622" s="20">
        <v>1.0</v>
      </c>
    </row>
    <row r="623">
      <c r="A623" s="183" t="str">
        <f>IFERROR(__xludf.DUMMYFUNCTION("""COMPUTED_VALUE"""),"Thundertail")</f>
        <v>Thundertail</v>
      </c>
      <c r="B623" s="188" t="str">
        <f>IFERROR(__xludf.DUMMYFUNCTION("""COMPUTED_VALUE"""),"Soulshiv")</f>
        <v>Soulshiv</v>
      </c>
      <c r="C623" s="188">
        <f t="shared" si="1"/>
        <v>1</v>
      </c>
      <c r="D623" s="20" t="s">
        <v>3573</v>
      </c>
      <c r="E623" s="20">
        <v>1.0</v>
      </c>
    </row>
    <row r="624">
      <c r="A624" s="183"/>
      <c r="B624" s="188" t="str">
        <f>IFERROR(__xludf.DUMMYFUNCTION("""COMPUTED_VALUE"""),"Foul")</f>
        <v>Foul</v>
      </c>
      <c r="C624" s="188">
        <f t="shared" si="1"/>
        <v>1</v>
      </c>
      <c r="D624" s="20" t="s">
        <v>2337</v>
      </c>
      <c r="E624" s="20">
        <v>1.0</v>
      </c>
    </row>
    <row r="625">
      <c r="A625" s="183"/>
      <c r="B625" s="188" t="str">
        <f>IFERROR(__xludf.DUMMYFUNCTION("""COMPUTED_VALUE"""),"Corruptor")</f>
        <v>Corruptor</v>
      </c>
      <c r="C625" s="188">
        <f t="shared" si="1"/>
        <v>1</v>
      </c>
      <c r="D625" s="20" t="s">
        <v>3574</v>
      </c>
      <c r="E625" s="20">
        <v>1.0</v>
      </c>
    </row>
    <row r="626">
      <c r="A626" s="183"/>
      <c r="B626" s="188" t="str">
        <f>IFERROR(__xludf.DUMMYFUNCTION("""COMPUTED_VALUE"""),"Ghoulflesh")</f>
        <v>Ghoulflesh</v>
      </c>
      <c r="C626" s="188">
        <f t="shared" si="1"/>
        <v>1</v>
      </c>
      <c r="D626" s="20" t="s">
        <v>3575</v>
      </c>
      <c r="E626" s="20">
        <v>1.0</v>
      </c>
    </row>
    <row r="627">
      <c r="A627" s="183" t="str">
        <f>IFERROR(__xludf.DUMMYFUNCTION("""COMPUTED_VALUE"""),"Vengeful")</f>
        <v>Vengeful</v>
      </c>
      <c r="B627" s="188" t="str">
        <f>IFERROR(__xludf.DUMMYFUNCTION("""COMPUTED_VALUE"""),"Devourer")</f>
        <v>Devourer</v>
      </c>
      <c r="C627" s="188">
        <f t="shared" si="1"/>
        <v>1</v>
      </c>
      <c r="D627" s="20" t="s">
        <v>3576</v>
      </c>
      <c r="E627" s="20">
        <v>1.0</v>
      </c>
    </row>
    <row r="628">
      <c r="A628" s="183" t="str">
        <f>IFERROR(__xludf.DUMMYFUNCTION("""COMPUTED_VALUE"""),"Gust")</f>
        <v>Gust</v>
      </c>
      <c r="B628" s="188" t="str">
        <f>IFERROR(__xludf.DUMMYFUNCTION("""COMPUTED_VALUE"""),"Grinning")</f>
        <v>Grinning</v>
      </c>
      <c r="C628" s="188">
        <f t="shared" si="1"/>
        <v>1</v>
      </c>
      <c r="D628" s="20" t="s">
        <v>3577</v>
      </c>
      <c r="E628" s="20">
        <v>1.0</v>
      </c>
    </row>
    <row r="629">
      <c r="A629" s="183"/>
      <c r="B629" s="188" t="str">
        <f>IFERROR(__xludf.DUMMYFUNCTION("""COMPUTED_VALUE"""),"Amphora")</f>
        <v>Amphora</v>
      </c>
      <c r="C629" s="188">
        <f t="shared" si="1"/>
        <v>1</v>
      </c>
      <c r="D629" s="20" t="s">
        <v>3578</v>
      </c>
      <c r="E629" s="20">
        <v>1.0</v>
      </c>
    </row>
    <row r="630">
      <c r="A630" s="183"/>
      <c r="B630" s="188" t="str">
        <f>IFERROR(__xludf.DUMMYFUNCTION("""COMPUTED_VALUE"""),"Intrusive")</f>
        <v>Intrusive</v>
      </c>
      <c r="C630" s="188">
        <f t="shared" si="1"/>
        <v>1</v>
      </c>
      <c r="D630" s="20" t="s">
        <v>3579</v>
      </c>
      <c r="E630" s="20">
        <v>1.0</v>
      </c>
    </row>
    <row r="631">
      <c r="A631" s="183"/>
      <c r="B631" s="188" t="str">
        <f>IFERROR(__xludf.DUMMYFUNCTION("""COMPUTED_VALUE"""),"Heaven")</f>
        <v>Heaven</v>
      </c>
      <c r="C631" s="188">
        <f t="shared" si="1"/>
        <v>1</v>
      </c>
      <c r="D631" s="20" t="s">
        <v>3580</v>
      </c>
      <c r="E631" s="20">
        <v>1.0</v>
      </c>
    </row>
    <row r="632">
      <c r="A632" s="183" t="str">
        <f>IFERROR(__xludf.DUMMYFUNCTION("""COMPUTED_VALUE"""),"Runecursed")</f>
        <v>Runecursed</v>
      </c>
      <c r="B632" s="188" t="str">
        <f>IFERROR(__xludf.DUMMYFUNCTION("""COMPUTED_VALUE"""),"Pestilence")</f>
        <v>Pestilence</v>
      </c>
      <c r="C632" s="188">
        <f t="shared" si="1"/>
        <v>1</v>
      </c>
      <c r="D632" s="20" t="s">
        <v>3581</v>
      </c>
      <c r="E632" s="20">
        <v>1.0</v>
      </c>
    </row>
    <row r="633">
      <c r="A633" s="183" t="str">
        <f>IFERROR(__xludf.DUMMYFUNCTION("""COMPUTED_VALUE"""),"Wyvern")</f>
        <v>Wyvern</v>
      </c>
      <c r="B633" s="188" t="str">
        <f>IFERROR(__xludf.DUMMYFUNCTION("""COMPUTED_VALUE"""),"Haze")</f>
        <v>Haze</v>
      </c>
      <c r="C633" s="188">
        <f t="shared" si="1"/>
        <v>1</v>
      </c>
      <c r="D633" s="20" t="s">
        <v>3582</v>
      </c>
      <c r="E633" s="20">
        <v>1.0</v>
      </c>
    </row>
    <row r="634">
      <c r="A634" s="183"/>
      <c r="B634" s="188" t="str">
        <f>IFERROR(__xludf.DUMMYFUNCTION("""COMPUTED_VALUE"""),"Lamp")</f>
        <v>Lamp</v>
      </c>
      <c r="C634" s="188">
        <f t="shared" si="1"/>
        <v>1</v>
      </c>
      <c r="D634" s="20" t="s">
        <v>3583</v>
      </c>
      <c r="E634" s="20">
        <v>1.0</v>
      </c>
    </row>
    <row r="635">
      <c r="A635" s="183"/>
      <c r="B635" s="188" t="str">
        <f>IFERROR(__xludf.DUMMYFUNCTION("""COMPUTED_VALUE"""),"Oblivion")</f>
        <v>Oblivion</v>
      </c>
      <c r="C635" s="188">
        <f t="shared" si="1"/>
        <v>1</v>
      </c>
      <c r="D635" s="20" t="s">
        <v>3584</v>
      </c>
      <c r="E635" s="20">
        <v>1.0</v>
      </c>
    </row>
    <row r="636">
      <c r="A636" s="183"/>
      <c r="B636" s="188" t="str">
        <f>IFERROR(__xludf.DUMMYFUNCTION("""COMPUTED_VALUE"""),"Rejuvenating")</f>
        <v>Rejuvenating</v>
      </c>
      <c r="C636" s="188">
        <f t="shared" si="1"/>
        <v>1</v>
      </c>
      <c r="D636" s="20" t="s">
        <v>3585</v>
      </c>
      <c r="E636" s="20">
        <v>1.0</v>
      </c>
    </row>
    <row r="637">
      <c r="A637" s="183" t="str">
        <f>IFERROR(__xludf.DUMMYFUNCTION("""COMPUTED_VALUE"""),"Skulloath")</f>
        <v>Skulloath</v>
      </c>
      <c r="B637" s="188" t="str">
        <f>IFERROR(__xludf.DUMMYFUNCTION("""COMPUTED_VALUE"""),"Blinking")</f>
        <v>Blinking</v>
      </c>
      <c r="C637" s="188">
        <f t="shared" si="1"/>
        <v>1</v>
      </c>
      <c r="D637" s="20" t="s">
        <v>3586</v>
      </c>
      <c r="E637" s="20">
        <v>1.0</v>
      </c>
    </row>
    <row r="638">
      <c r="A638" s="183" t="str">
        <f>IFERROR(__xludf.DUMMYFUNCTION("""COMPUTED_VALUE"""),"Lootclaimer")</f>
        <v>Lootclaimer</v>
      </c>
      <c r="B638" s="188" t="str">
        <f>IFERROR(__xludf.DUMMYFUNCTION("""COMPUTED_VALUE"""),"Onyxion")</f>
        <v>Onyxion</v>
      </c>
      <c r="C638" s="188">
        <f t="shared" si="1"/>
        <v>1</v>
      </c>
      <c r="D638" s="20" t="s">
        <v>3587</v>
      </c>
      <c r="E638" s="20">
        <v>1.0</v>
      </c>
    </row>
    <row r="639">
      <c r="A639" s="183"/>
      <c r="B639" s="188" t="str">
        <f>IFERROR(__xludf.DUMMYFUNCTION("""COMPUTED_VALUE"""),"Thalis")</f>
        <v>Thalis</v>
      </c>
      <c r="C639" s="188">
        <f t="shared" si="1"/>
        <v>1</v>
      </c>
      <c r="D639" s="20" t="s">
        <v>3588</v>
      </c>
      <c r="E639" s="20">
        <v>1.0</v>
      </c>
    </row>
    <row r="640">
      <c r="A640" s="183"/>
      <c r="B640" s="188" t="str">
        <f>IFERROR(__xludf.DUMMYFUNCTION("""COMPUTED_VALUE"""),"Fuming")</f>
        <v>Fuming</v>
      </c>
      <c r="C640" s="188">
        <f t="shared" si="1"/>
        <v>1</v>
      </c>
      <c r="D640" s="20" t="s">
        <v>3589</v>
      </c>
      <c r="E640" s="20">
        <v>1.0</v>
      </c>
    </row>
    <row r="641">
      <c r="A641" s="183"/>
      <c r="B641" s="188" t="str">
        <f>IFERROR(__xludf.DUMMYFUNCTION("""COMPUTED_VALUE"""),"Fukuisaur")</f>
        <v>Fukuisaur</v>
      </c>
      <c r="C641" s="188">
        <f t="shared" si="1"/>
        <v>1</v>
      </c>
      <c r="D641" s="20" t="s">
        <v>3590</v>
      </c>
      <c r="E641" s="20">
        <v>1.0</v>
      </c>
    </row>
    <row r="642">
      <c r="A642" s="183" t="str">
        <f>IFERROR(__xludf.DUMMYFUNCTION("""COMPUTED_VALUE"""),"Spell")</f>
        <v>Spell</v>
      </c>
      <c r="B642" s="188" t="str">
        <f>IFERROR(__xludf.DUMMYFUNCTION("""COMPUTED_VALUE"""),"Spreading")</f>
        <v>Spreading</v>
      </c>
      <c r="C642" s="188">
        <f t="shared" si="1"/>
        <v>1</v>
      </c>
      <c r="D642" s="20" t="s">
        <v>3591</v>
      </c>
      <c r="E642" s="20">
        <v>1.0</v>
      </c>
    </row>
    <row r="643">
      <c r="A643" s="183" t="str">
        <f>IFERROR(__xludf.DUMMYFUNCTION("""COMPUTED_VALUE"""),"Cat")</f>
        <v>Cat</v>
      </c>
      <c r="B643" s="188" t="str">
        <f>IFERROR(__xludf.DUMMYFUNCTION("""COMPUTED_VALUE"""),"Spore")</f>
        <v>Spore</v>
      </c>
      <c r="C643" s="188">
        <f t="shared" si="1"/>
        <v>1</v>
      </c>
      <c r="D643" s="20" t="s">
        <v>3592</v>
      </c>
      <c r="E643" s="20">
        <v>1.0</v>
      </c>
    </row>
    <row r="644">
      <c r="A644" s="183"/>
      <c r="B644" s="188" t="str">
        <f>IFERROR(__xludf.DUMMYFUNCTION("""COMPUTED_VALUE"""),"Nightmare")</f>
        <v>Nightmare</v>
      </c>
      <c r="C644" s="188">
        <f t="shared" si="1"/>
        <v>2</v>
      </c>
      <c r="D644" s="20" t="s">
        <v>2457</v>
      </c>
      <c r="E644" s="20">
        <v>1.0</v>
      </c>
    </row>
    <row r="645">
      <c r="A645" s="183"/>
      <c r="B645" s="188" t="str">
        <f>IFERROR(__xludf.DUMMYFUNCTION("""COMPUTED_VALUE"""),"Chapel")</f>
        <v>Chapel</v>
      </c>
      <c r="C645" s="188">
        <f t="shared" si="1"/>
        <v>1</v>
      </c>
      <c r="D645" s="20" t="s">
        <v>3593</v>
      </c>
      <c r="E645" s="20">
        <v>1.0</v>
      </c>
    </row>
    <row r="646">
      <c r="A646" s="183"/>
      <c r="B646" s="188" t="str">
        <f>IFERROR(__xludf.DUMMYFUNCTION("""COMPUTED_VALUE"""),"Watcher")</f>
        <v>Watcher</v>
      </c>
      <c r="C646" s="188">
        <f t="shared" si="1"/>
        <v>1</v>
      </c>
      <c r="D646" s="20" t="s">
        <v>3594</v>
      </c>
      <c r="E646" s="20">
        <v>1.0</v>
      </c>
    </row>
    <row r="647">
      <c r="A647" s="183" t="str">
        <f>IFERROR(__xludf.DUMMYFUNCTION("""COMPUTED_VALUE"""),"Vermillion")</f>
        <v>Vermillion</v>
      </c>
      <c r="B647" s="188" t="str">
        <f>IFERROR(__xludf.DUMMYFUNCTION("""COMPUTED_VALUE"""),"Luring")</f>
        <v>Luring</v>
      </c>
      <c r="C647" s="188">
        <f t="shared" si="1"/>
        <v>1</v>
      </c>
      <c r="D647" s="20" t="s">
        <v>3595</v>
      </c>
      <c r="E647" s="20">
        <v>1.0</v>
      </c>
    </row>
    <row r="648">
      <c r="A648" s="183" t="str">
        <f>IFERROR(__xludf.DUMMYFUNCTION("""COMPUTED_VALUE"""),"Firebird")</f>
        <v>Firebird</v>
      </c>
      <c r="B648" s="188" t="str">
        <f>IFERROR(__xludf.DUMMYFUNCTION("""COMPUTED_VALUE"""),"Flametooth")</f>
        <v>Flametooth</v>
      </c>
      <c r="C648" s="188">
        <f t="shared" si="1"/>
        <v>1</v>
      </c>
      <c r="D648" s="20" t="s">
        <v>3596</v>
      </c>
      <c r="E648" s="20">
        <v>1.0</v>
      </c>
    </row>
    <row r="649">
      <c r="A649" s="183"/>
      <c r="B649" s="188" t="str">
        <f>IFERROR(__xludf.DUMMYFUNCTION("""COMPUTED_VALUE"""),"Shardsplosion")</f>
        <v>Shardsplosion</v>
      </c>
      <c r="C649" s="188">
        <f t="shared" si="1"/>
        <v>1</v>
      </c>
      <c r="D649" s="20" t="s">
        <v>3597</v>
      </c>
      <c r="E649" s="20">
        <v>1.0</v>
      </c>
    </row>
    <row r="650">
      <c r="A650" s="183"/>
      <c r="B650" s="188" t="str">
        <f>IFERROR(__xludf.DUMMYFUNCTION("""COMPUTED_VALUE"""),"Dragoncaller")</f>
        <v>Dragoncaller</v>
      </c>
      <c r="C650" s="188">
        <f t="shared" si="1"/>
        <v>1</v>
      </c>
      <c r="D650" s="20" t="s">
        <v>3598</v>
      </c>
      <c r="E650" s="20">
        <v>1.0</v>
      </c>
    </row>
    <row r="651">
      <c r="A651" s="183"/>
      <c r="B651" s="188" t="str">
        <f>IFERROR(__xludf.DUMMYFUNCTION("""COMPUTED_VALUE"""),"Stalagmite")</f>
        <v>Stalagmite</v>
      </c>
      <c r="C651" s="188">
        <f t="shared" si="1"/>
        <v>1</v>
      </c>
      <c r="D651" s="20" t="s">
        <v>3599</v>
      </c>
      <c r="E651" s="20">
        <v>1.0</v>
      </c>
    </row>
    <row r="652">
      <c r="A652" s="183" t="str">
        <f>IFERROR(__xludf.DUMMYFUNCTION("""COMPUTED_VALUE"""),"Oasisdweller")</f>
        <v>Oasisdweller</v>
      </c>
      <c r="B652" s="188" t="str">
        <f>IFERROR(__xludf.DUMMYFUNCTION("""COMPUTED_VALUE"""),"Mirage")</f>
        <v>Mirage</v>
      </c>
      <c r="C652" s="188">
        <f t="shared" si="1"/>
        <v>1</v>
      </c>
      <c r="D652" s="20" t="s">
        <v>3600</v>
      </c>
      <c r="E652" s="20">
        <v>1.0</v>
      </c>
    </row>
    <row r="653">
      <c r="A653" s="183"/>
      <c r="B653" s="188" t="str">
        <f>IFERROR(__xludf.DUMMYFUNCTION("""COMPUTED_VALUE"""),"Heavenbound")</f>
        <v>Heavenbound</v>
      </c>
      <c r="C653" s="188">
        <f t="shared" si="1"/>
        <v>1</v>
      </c>
      <c r="D653" s="20" t="s">
        <v>3601</v>
      </c>
      <c r="E653" s="20">
        <v>1.0</v>
      </c>
    </row>
    <row r="654">
      <c r="A654" s="183"/>
      <c r="B654" s="188" t="str">
        <f>IFERROR(__xludf.DUMMYFUNCTION("""COMPUTED_VALUE"""),"Heka-Mage")</f>
        <v>Heka-Mage</v>
      </c>
      <c r="C654" s="188">
        <f t="shared" si="1"/>
        <v>1</v>
      </c>
      <c r="D654" s="20" t="s">
        <v>3602</v>
      </c>
      <c r="E654" s="20">
        <v>1.0</v>
      </c>
    </row>
    <row r="655">
      <c r="A655" s="183"/>
      <c r="B655" s="188" t="str">
        <f>IFERROR(__xludf.DUMMYFUNCTION("""COMPUTED_VALUE"""),"Twilight")</f>
        <v>Twilight</v>
      </c>
      <c r="C655" s="188">
        <f t="shared" si="1"/>
        <v>2</v>
      </c>
      <c r="D655" s="20" t="s">
        <v>3603</v>
      </c>
      <c r="E655" s="20">
        <v>1.0</v>
      </c>
    </row>
    <row r="656">
      <c r="A656" s="183"/>
      <c r="B656" s="188" t="str">
        <f>IFERROR(__xludf.DUMMYFUNCTION("""COMPUTED_VALUE"""),"Sorceress")</f>
        <v>Sorceress</v>
      </c>
      <c r="C656" s="188">
        <f t="shared" si="1"/>
        <v>1</v>
      </c>
      <c r="D656" s="20" t="s">
        <v>3604</v>
      </c>
      <c r="E656" s="20">
        <v>1.0</v>
      </c>
    </row>
    <row r="657">
      <c r="A657" s="183" t="str">
        <f>IFERROR(__xludf.DUMMYFUNCTION("""COMPUTED_VALUE"""),"Portalrunner")</f>
        <v>Portalrunner</v>
      </c>
      <c r="B657" s="188" t="str">
        <f>IFERROR(__xludf.DUMMYFUNCTION("""COMPUTED_VALUE"""),"Twinfang")</f>
        <v>Twinfang</v>
      </c>
      <c r="C657" s="188">
        <f t="shared" si="1"/>
        <v>1</v>
      </c>
      <c r="D657" s="20" t="s">
        <v>2488</v>
      </c>
      <c r="E657" s="20">
        <v>1.0</v>
      </c>
    </row>
    <row r="658">
      <c r="A658" s="183"/>
      <c r="B658" s="188" t="str">
        <f>IFERROR(__xludf.DUMMYFUNCTION("""COMPUTED_VALUE"""),"Huntcaller")</f>
        <v>Huntcaller</v>
      </c>
      <c r="C658" s="188">
        <f t="shared" si="1"/>
        <v>1</v>
      </c>
      <c r="D658" s="20" t="s">
        <v>2490</v>
      </c>
      <c r="E658" s="20">
        <v>1.0</v>
      </c>
    </row>
    <row r="659">
      <c r="A659" s="183"/>
      <c r="B659" s="188" t="str">
        <f>IFERROR(__xludf.DUMMYFUNCTION("""COMPUTED_VALUE"""),"Vanguard")</f>
        <v>Vanguard</v>
      </c>
      <c r="C659" s="188">
        <f t="shared" si="1"/>
        <v>1</v>
      </c>
      <c r="D659" s="20" t="s">
        <v>3605</v>
      </c>
      <c r="E659" s="20">
        <v>1.0</v>
      </c>
    </row>
    <row r="660">
      <c r="A660" s="183"/>
      <c r="B660" s="188" t="str">
        <f>IFERROR(__xludf.DUMMYFUNCTION("""COMPUTED_VALUE"""),"#VALUE!")</f>
        <v>#VALUE!</v>
      </c>
      <c r="C660" s="188">
        <f t="shared" si="1"/>
        <v>1</v>
      </c>
      <c r="D660" s="20" t="s">
        <v>3606</v>
      </c>
      <c r="E660" s="20">
        <v>1.0</v>
      </c>
    </row>
    <row r="661">
      <c r="A661" s="183"/>
      <c r="B661" s="188" t="str">
        <f>IFERROR(__xludf.DUMMYFUNCTION("""COMPUTED_VALUE"""),"Behemoth")</f>
        <v>Behemoth</v>
      </c>
      <c r="C661" s="188">
        <f t="shared" si="1"/>
        <v>2</v>
      </c>
      <c r="D661" s="20" t="s">
        <v>3607</v>
      </c>
      <c r="E661" s="20">
        <v>1.0</v>
      </c>
    </row>
    <row r="662">
      <c r="A662" s="183" t="str">
        <f>IFERROR(__xludf.DUMMYFUNCTION("""COMPUTED_VALUE"""),"Cinderguard")</f>
        <v>Cinderguard</v>
      </c>
      <c r="B662" s="188" t="str">
        <f>IFERROR(__xludf.DUMMYFUNCTION("""COMPUTED_VALUE"""),"Guider")</f>
        <v>Guider</v>
      </c>
      <c r="C662" s="188">
        <f t="shared" si="1"/>
        <v>1</v>
      </c>
      <c r="D662" s="20" t="s">
        <v>3608</v>
      </c>
      <c r="E662" s="20">
        <v>1.0</v>
      </c>
    </row>
    <row r="663">
      <c r="A663" s="183" t="str">
        <f>IFERROR(__xludf.DUMMYFUNCTION("""COMPUTED_VALUE"""),"Irregulars")</f>
        <v>Irregulars</v>
      </c>
      <c r="B663" s="188" t="str">
        <f>IFERROR(__xludf.DUMMYFUNCTION("""COMPUTED_VALUE"""),"Yesterknight")</f>
        <v>Yesterknight</v>
      </c>
      <c r="C663" s="188">
        <f t="shared" si="1"/>
        <v>1</v>
      </c>
      <c r="D663" s="20" t="s">
        <v>3609</v>
      </c>
      <c r="E663" s="20">
        <v>1.0</v>
      </c>
    </row>
    <row r="664">
      <c r="A664" s="183"/>
      <c r="B664" s="188" t="str">
        <f>IFERROR(__xludf.DUMMYFUNCTION("""COMPUTED_VALUE"""),"Alchemist")</f>
        <v>Alchemist</v>
      </c>
      <c r="C664" s="188">
        <f t="shared" si="1"/>
        <v>1</v>
      </c>
      <c r="D664" s="20" t="s">
        <v>3610</v>
      </c>
      <c r="E664" s="20">
        <v>1.0</v>
      </c>
    </row>
    <row r="665">
      <c r="A665" s="183"/>
      <c r="B665" s="188" t="str">
        <f>IFERROR(__xludf.DUMMYFUNCTION("""COMPUTED_VALUE"""),"Mirrorkin")</f>
        <v>Mirrorkin</v>
      </c>
      <c r="C665" s="188">
        <f t="shared" si="1"/>
        <v>1</v>
      </c>
      <c r="D665" s="20" t="s">
        <v>3611</v>
      </c>
      <c r="E665" s="20">
        <v>1.0</v>
      </c>
    </row>
    <row r="666">
      <c r="A666" s="183"/>
      <c r="B666" s="188" t="str">
        <f>IFERROR(__xludf.DUMMYFUNCTION("""COMPUTED_VALUE"""),"Ticking")</f>
        <v>Ticking</v>
      </c>
      <c r="C666" s="188">
        <f t="shared" si="1"/>
        <v>1</v>
      </c>
      <c r="D666" s="20" t="s">
        <v>3612</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3613</v>
      </c>
      <c r="E668" s="20">
        <v>1.0</v>
      </c>
    </row>
    <row r="669">
      <c r="A669" s="183"/>
      <c r="B669" s="188" t="str">
        <f>IFERROR(__xludf.DUMMYFUNCTION("""COMPUTED_VALUE"""),"Conduit")</f>
        <v>Conduit</v>
      </c>
      <c r="C669" s="188">
        <f t="shared" si="1"/>
        <v>1</v>
      </c>
      <c r="D669" s="20" t="s">
        <v>3614</v>
      </c>
      <c r="E669" s="20">
        <v>1.0</v>
      </c>
    </row>
    <row r="670">
      <c r="A670" s="183"/>
      <c r="B670" s="188" t="str">
        <f>IFERROR(__xludf.DUMMYFUNCTION("""COMPUTED_VALUE"""),"Scale")</f>
        <v>Scale</v>
      </c>
      <c r="C670" s="188">
        <f t="shared" si="1"/>
        <v>1</v>
      </c>
      <c r="D670" s="20" t="s">
        <v>3615</v>
      </c>
      <c r="E670" s="20">
        <v>1.0</v>
      </c>
    </row>
    <row r="671">
      <c r="A671" s="183"/>
      <c r="B671" s="188" t="str">
        <f>IFERROR(__xludf.DUMMYFUNCTION("""COMPUTED_VALUE"""),"Nethersilk")</f>
        <v>Nethersilk</v>
      </c>
      <c r="C671" s="188">
        <f t="shared" si="1"/>
        <v>1</v>
      </c>
      <c r="D671" s="20" t="s">
        <v>2515</v>
      </c>
      <c r="E671" s="20">
        <v>1.0</v>
      </c>
    </row>
    <row r="672">
      <c r="A672" s="183" t="str">
        <f>IFERROR(__xludf.DUMMYFUNCTION("""COMPUTED_VALUE"""),"Crazed")</f>
        <v>Crazed</v>
      </c>
      <c r="B672" s="188" t="str">
        <f>IFERROR(__xludf.DUMMYFUNCTION("""COMPUTED_VALUE"""),"Moth")</f>
        <v>Moth</v>
      </c>
      <c r="C672" s="188">
        <f t="shared" si="1"/>
        <v>1</v>
      </c>
      <c r="D672" s="20" t="s">
        <v>3616</v>
      </c>
      <c r="E672" s="20">
        <v>1.0</v>
      </c>
    </row>
    <row r="673">
      <c r="A673" s="183" t="str">
        <f>IFERROR(__xludf.DUMMYFUNCTION("""COMPUTED_VALUE"""),"Hermit")</f>
        <v>Hermit</v>
      </c>
      <c r="B673" s="188" t="str">
        <f>IFERROR(__xludf.DUMMYFUNCTION("""COMPUTED_VALUE"""),"Penguin")</f>
        <v>Penguin</v>
      </c>
      <c r="C673" s="188">
        <f t="shared" si="1"/>
        <v>1</v>
      </c>
      <c r="D673" s="20" t="s">
        <v>3617</v>
      </c>
      <c r="E673" s="20">
        <v>1.0</v>
      </c>
    </row>
    <row r="674">
      <c r="A674" s="183"/>
      <c r="B674" s="188" t="str">
        <f>IFERROR(__xludf.DUMMYFUNCTION("""COMPUTED_VALUE"""),"Possessed")</f>
        <v>Possessed</v>
      </c>
      <c r="C674" s="188">
        <f t="shared" si="1"/>
        <v>1</v>
      </c>
      <c r="D674" s="20" t="s">
        <v>3618</v>
      </c>
      <c r="E674" s="20">
        <v>1.0</v>
      </c>
    </row>
    <row r="675">
      <c r="A675" s="183"/>
      <c r="B675" s="188" t="str">
        <f>IFERROR(__xludf.DUMMYFUNCTION("""COMPUTED_VALUE"""),"Vermin")</f>
        <v>Vermin</v>
      </c>
      <c r="C675" s="188">
        <f t="shared" si="1"/>
        <v>1</v>
      </c>
      <c r="D675" s="20" t="s">
        <v>3619</v>
      </c>
      <c r="E675" s="20">
        <v>1.0</v>
      </c>
    </row>
    <row r="676">
      <c r="A676" s="183"/>
      <c r="B676" s="188" t="str">
        <f>IFERROR(__xludf.DUMMYFUNCTION("""COMPUTED_VALUE"""),"Brood")</f>
        <v>Brood</v>
      </c>
      <c r="C676" s="188">
        <f t="shared" si="1"/>
        <v>1</v>
      </c>
      <c r="D676" s="20" t="s">
        <v>3620</v>
      </c>
      <c r="E676" s="20">
        <v>1.0</v>
      </c>
    </row>
    <row r="677">
      <c r="A677" s="183" t="str">
        <f>IFERROR(__xludf.DUMMYFUNCTION("""COMPUTED_VALUE"""),"Galeweaver")</f>
        <v>Galeweaver</v>
      </c>
      <c r="B677" s="188" t="str">
        <f>IFERROR(__xludf.DUMMYFUNCTION("""COMPUTED_VALUE"""),"Shadowsting")</f>
        <v>Shadowsting</v>
      </c>
      <c r="C677" s="188">
        <f t="shared" si="1"/>
        <v>1</v>
      </c>
      <c r="D677" s="20" t="s">
        <v>3621</v>
      </c>
      <c r="E677" s="20">
        <v>1.0</v>
      </c>
    </row>
    <row r="678">
      <c r="A678" s="183"/>
      <c r="B678" s="188" t="str">
        <f>IFERROR(__xludf.DUMMYFUNCTION("""COMPUTED_VALUE"""),"Shiverskull")</f>
        <v>Shiverskull</v>
      </c>
      <c r="C678" s="188">
        <f t="shared" si="1"/>
        <v>1</v>
      </c>
      <c r="D678" s="20" t="s">
        <v>3622</v>
      </c>
      <c r="E678" s="20">
        <v>1.0</v>
      </c>
    </row>
    <row r="679">
      <c r="A679" s="183"/>
      <c r="B679" s="188" t="str">
        <f>IFERROR(__xludf.DUMMYFUNCTION("""COMPUTED_VALUE"""),"Skull")</f>
        <v>Skull</v>
      </c>
      <c r="C679" s="188">
        <f t="shared" si="1"/>
        <v>1</v>
      </c>
      <c r="D679" s="20" t="s">
        <v>3623</v>
      </c>
      <c r="E679" s="20">
        <v>1.0</v>
      </c>
    </row>
    <row r="680">
      <c r="A680" s="183"/>
      <c r="B680" s="188" t="str">
        <f>IFERROR(__xludf.DUMMYFUNCTION("""COMPUTED_VALUE"""),"Crow")</f>
        <v>Crow</v>
      </c>
      <c r="C680" s="188">
        <f t="shared" si="1"/>
        <v>1</v>
      </c>
      <c r="D680" s="20" t="s">
        <v>3624</v>
      </c>
      <c r="E680" s="20">
        <v>1.0</v>
      </c>
    </row>
    <row r="681">
      <c r="A681" s="183"/>
      <c r="B681" s="188" t="str">
        <f>IFERROR(__xludf.DUMMYFUNCTION("""COMPUTED_VALUE"""),"Symbiotic")</f>
        <v>Symbiotic</v>
      </c>
      <c r="C681" s="188">
        <f t="shared" si="1"/>
        <v>1</v>
      </c>
      <c r="D681" s="20" t="s">
        <v>3625</v>
      </c>
      <c r="E681" s="20">
        <v>1.0</v>
      </c>
    </row>
    <row r="682">
      <c r="A682" s="183" t="str">
        <f>IFERROR(__xludf.DUMMYFUNCTION("""COMPUTED_VALUE"""),"Lurking")</f>
        <v>Lurking</v>
      </c>
      <c r="B682" s="188" t="str">
        <f>IFERROR(__xludf.DUMMYFUNCTION("""COMPUTED_VALUE"""),"Crawler")</f>
        <v>Crawler</v>
      </c>
      <c r="C682" s="188">
        <f t="shared" si="1"/>
        <v>1</v>
      </c>
      <c r="D682" s="20" t="s">
        <v>3626</v>
      </c>
      <c r="E682" s="20">
        <v>1.0</v>
      </c>
    </row>
    <row r="683">
      <c r="A683" s="183" t="str">
        <f>IFERROR(__xludf.DUMMYFUNCTION("""COMPUTED_VALUE"""),"Canopystomper")</f>
        <v>Canopystomper</v>
      </c>
      <c r="B683" s="188" t="str">
        <f>IFERROR(__xludf.DUMMYFUNCTION("""COMPUTED_VALUE"""),"Nightreaper")</f>
        <v>Nightreaper</v>
      </c>
      <c r="C683" s="188">
        <f t="shared" si="1"/>
        <v>1</v>
      </c>
      <c r="D683" s="20" t="s">
        <v>2573</v>
      </c>
      <c r="E683" s="20">
        <v>1.0</v>
      </c>
    </row>
    <row r="684">
      <c r="A684" s="183"/>
      <c r="B684" s="188" t="str">
        <f>IFERROR(__xludf.DUMMYFUNCTION("""COMPUTED_VALUE"""),"King")</f>
        <v>King</v>
      </c>
      <c r="C684" s="188">
        <f t="shared" si="1"/>
        <v>1</v>
      </c>
      <c r="D684" s="20" t="s">
        <v>3627</v>
      </c>
      <c r="E684" s="20">
        <v>1.0</v>
      </c>
    </row>
    <row r="685">
      <c r="A685" s="183"/>
      <c r="B685" s="188" t="str">
        <f>IFERROR(__xludf.DUMMYFUNCTION("""COMPUTED_VALUE"""),"Gorgon")</f>
        <v>Gorgon</v>
      </c>
      <c r="C685" s="188">
        <f t="shared" si="1"/>
        <v>1</v>
      </c>
      <c r="D685" s="20" t="s">
        <v>3628</v>
      </c>
      <c r="E685" s="20">
        <v>1.0</v>
      </c>
    </row>
    <row r="686">
      <c r="A686" s="183"/>
      <c r="B686" s="188" t="str">
        <f>IFERROR(__xludf.DUMMYFUNCTION("""COMPUTED_VALUE"""),"Serpentress")</f>
        <v>Serpentress</v>
      </c>
      <c r="C686" s="188">
        <f t="shared" si="1"/>
        <v>1</v>
      </c>
      <c r="D686" s="20" t="s">
        <v>3629</v>
      </c>
      <c r="E686" s="20">
        <v>1.0</v>
      </c>
    </row>
    <row r="687">
      <c r="A687" s="183" t="str">
        <f>IFERROR(__xludf.DUMMYFUNCTION("""COMPUTED_VALUE"""),"Resourceful")</f>
        <v>Resourceful</v>
      </c>
      <c r="B687" s="188" t="str">
        <f>IFERROR(__xludf.DUMMYFUNCTION("""COMPUTED_VALUE"""),"Ill-Tempered")</f>
        <v>Ill-Tempered</v>
      </c>
      <c r="C687" s="188">
        <f t="shared" si="1"/>
        <v>1</v>
      </c>
      <c r="D687" s="20" t="s">
        <v>3630</v>
      </c>
      <c r="E687" s="20">
        <v>1.0</v>
      </c>
    </row>
    <row r="688">
      <c r="A688" s="183" t="str">
        <f>IFERROR(__xludf.DUMMYFUNCTION("""COMPUTED_VALUE"""),"Poacher")</f>
        <v>Poacher</v>
      </c>
      <c r="B688" s="188" t="str">
        <f>IFERROR(__xludf.DUMMYFUNCTION("""COMPUTED_VALUE"""),"Nightbloom")</f>
        <v>Nightbloom</v>
      </c>
      <c r="C688" s="188">
        <f t="shared" si="1"/>
        <v>1</v>
      </c>
      <c r="D688" s="20" t="s">
        <v>2607</v>
      </c>
      <c r="E688" s="20">
        <v>1.0</v>
      </c>
    </row>
    <row r="689">
      <c r="A689" s="183"/>
      <c r="B689" s="188" t="str">
        <f>IFERROR(__xludf.DUMMYFUNCTION("""COMPUTED_VALUE"""),"Owl")</f>
        <v>Owl</v>
      </c>
      <c r="C689" s="188">
        <f t="shared" si="1"/>
        <v>1</v>
      </c>
      <c r="D689" s="20" t="s">
        <v>3631</v>
      </c>
      <c r="E689" s="20">
        <v>1.0</v>
      </c>
    </row>
    <row r="690">
      <c r="A690" s="183"/>
      <c r="B690" s="188" t="str">
        <f>IFERROR(__xludf.DUMMYFUNCTION("""COMPUTED_VALUE"""),"Shroom")</f>
        <v>Shroom</v>
      </c>
      <c r="C690" s="188">
        <f t="shared" si="1"/>
        <v>1</v>
      </c>
      <c r="D690" s="20" t="s">
        <v>3632</v>
      </c>
      <c r="E690" s="20">
        <v>1.0</v>
      </c>
    </row>
    <row r="691">
      <c r="A691" s="183"/>
      <c r="B691" s="188" t="str">
        <f>IFERROR(__xludf.DUMMYFUNCTION("""COMPUTED_VALUE"""),"Hellblade")</f>
        <v>Hellblade</v>
      </c>
      <c r="C691" s="188">
        <f t="shared" si="1"/>
        <v>1</v>
      </c>
      <c r="D691" s="20" t="s">
        <v>3633</v>
      </c>
      <c r="E691" s="20">
        <v>1.0</v>
      </c>
    </row>
    <row r="692">
      <c r="A692" s="183" t="str">
        <f>IFERROR(__xludf.DUMMYFUNCTION("""COMPUTED_VALUE"""),"Infernoblight")</f>
        <v>Infernoblight</v>
      </c>
      <c r="B692" s="188" t="str">
        <f>IFERROR(__xludf.DUMMYFUNCTION("""COMPUTED_VALUE"""),"Eclipse")</f>
        <v>Eclipse</v>
      </c>
      <c r="C692" s="188">
        <f t="shared" si="1"/>
        <v>1</v>
      </c>
      <c r="D692" s="20" t="s">
        <v>3634</v>
      </c>
      <c r="E692" s="20">
        <v>1.0</v>
      </c>
    </row>
    <row r="693">
      <c r="A693" s="183"/>
      <c r="B693" s="188" t="str">
        <f>IFERROR(__xludf.DUMMYFUNCTION("""COMPUTED_VALUE"""),"Scythe")</f>
        <v>Scythe</v>
      </c>
      <c r="C693" s="188">
        <f t="shared" si="1"/>
        <v>1</v>
      </c>
      <c r="D693" s="20" t="s">
        <v>3635</v>
      </c>
      <c r="E693" s="20">
        <v>1.0</v>
      </c>
    </row>
    <row r="694">
      <c r="A694" s="183"/>
      <c r="B694" s="188" t="str">
        <f>IFERROR(__xludf.DUMMYFUNCTION("""COMPUTED_VALUE"""),"Rotten")</f>
        <v>Rotten</v>
      </c>
      <c r="C694" s="188">
        <f t="shared" si="1"/>
        <v>1</v>
      </c>
      <c r="D694" s="20" t="s">
        <v>3636</v>
      </c>
      <c r="E694" s="20">
        <v>1.0</v>
      </c>
    </row>
    <row r="695">
      <c r="A695" s="183"/>
      <c r="B695" s="188" t="str">
        <f>IFERROR(__xludf.DUMMYFUNCTION("""COMPUTED_VALUE"""),"Stalker")</f>
        <v>Stalker</v>
      </c>
      <c r="C695" s="188">
        <f t="shared" si="1"/>
        <v>1</v>
      </c>
      <c r="D695" s="20" t="s">
        <v>3637</v>
      </c>
      <c r="E695" s="20">
        <v>1.0</v>
      </c>
    </row>
    <row r="696">
      <c r="A696" s="183"/>
      <c r="B696" s="188" t="str">
        <f>IFERROR(__xludf.DUMMYFUNCTION("""COMPUTED_VALUE"""),"Shademaw")</f>
        <v>Shademaw</v>
      </c>
      <c r="C696" s="188">
        <f t="shared" si="1"/>
        <v>1</v>
      </c>
      <c r="D696" s="20" t="s">
        <v>2673</v>
      </c>
      <c r="E696" s="20">
        <v>1.0</v>
      </c>
    </row>
    <row r="697">
      <c r="A697" s="183" t="str">
        <f>IFERROR(__xludf.DUMMYFUNCTION("""COMPUTED_VALUE"""),"The")</f>
        <v>The</v>
      </c>
      <c r="B697" s="188" t="str">
        <f>IFERROR(__xludf.DUMMYFUNCTION("""COMPUTED_VALUE"""),"Clawing")</f>
        <v>Clawing</v>
      </c>
      <c r="C697" s="188">
        <f t="shared" si="1"/>
        <v>1</v>
      </c>
      <c r="D697" s="20" t="s">
        <v>3638</v>
      </c>
      <c r="E697" s="20">
        <v>1.0</v>
      </c>
    </row>
    <row r="698">
      <c r="A698" s="183" t="str">
        <f>IFERROR(__xludf.DUMMYFUNCTION("""COMPUTED_VALUE"""),"Skyshrieker")</f>
        <v>Skyshrieker</v>
      </c>
      <c r="B698" s="188" t="str">
        <f>IFERROR(__xludf.DUMMYFUNCTION("""COMPUTED_VALUE"""),"Centipede")</f>
        <v>Centipede</v>
      </c>
      <c r="C698" s="188">
        <f t="shared" si="1"/>
        <v>1</v>
      </c>
      <c r="D698" s="20" t="s">
        <v>3639</v>
      </c>
      <c r="E698" s="20">
        <v>1.0</v>
      </c>
    </row>
    <row r="699">
      <c r="A699" s="183"/>
      <c r="B699" s="188" t="str">
        <f>IFERROR(__xludf.DUMMYFUNCTION("""COMPUTED_VALUE"""),"Voidsinger")</f>
        <v>Voidsinger</v>
      </c>
      <c r="C699" s="188">
        <f t="shared" si="1"/>
        <v>1</v>
      </c>
      <c r="D699" s="20" t="s">
        <v>3640</v>
      </c>
      <c r="E699" s="20">
        <v>1.0</v>
      </c>
    </row>
    <row r="700">
      <c r="A700" s="183"/>
      <c r="B700" s="188" t="str">
        <f>IFERROR(__xludf.DUMMYFUNCTION("""COMPUTED_VALUE"""),"Necroscourge")</f>
        <v>Necroscourge</v>
      </c>
      <c r="C700" s="188">
        <f t="shared" si="1"/>
        <v>1</v>
      </c>
      <c r="D700" s="20" t="s">
        <v>3641</v>
      </c>
      <c r="E700" s="20">
        <v>1.0</v>
      </c>
    </row>
    <row r="701">
      <c r="A701" s="183"/>
      <c r="B701" s="188" t="str">
        <f>IFERROR(__xludf.DUMMYFUNCTION("""COMPUTED_VALUE"""),"Bandage")</f>
        <v>Bandage</v>
      </c>
      <c r="C701" s="188">
        <f t="shared" si="1"/>
        <v>1</v>
      </c>
      <c r="D701" s="20" t="s">
        <v>2718</v>
      </c>
      <c r="E701" s="20">
        <v>1.0</v>
      </c>
    </row>
    <row r="702">
      <c r="A702" s="183" t="str">
        <f>IFERROR(__xludf.DUMMYFUNCTION("""COMPUTED_VALUE"""),"Mistborn")</f>
        <v>Mistborn</v>
      </c>
      <c r="B702" s="188" t="str">
        <f>IFERROR(__xludf.DUMMYFUNCTION("""COMPUTED_VALUE"""),"Deadfield")</f>
        <v>Deadfield</v>
      </c>
      <c r="C702" s="188">
        <f t="shared" si="1"/>
        <v>1</v>
      </c>
      <c r="D702" s="20" t="s">
        <v>3642</v>
      </c>
      <c r="E702" s="20">
        <v>1.0</v>
      </c>
    </row>
    <row r="703">
      <c r="A703" s="183" t="str">
        <f>IFERROR(__xludf.DUMMYFUNCTION("""COMPUTED_VALUE"""),"Serpent")</f>
        <v>Serpent</v>
      </c>
      <c r="B703" s="188" t="str">
        <f>IFERROR(__xludf.DUMMYFUNCTION("""COMPUTED_VALUE"""),"Tiller")</f>
        <v>Tiller</v>
      </c>
      <c r="C703" s="188">
        <f t="shared" si="1"/>
        <v>1</v>
      </c>
      <c r="D703" s="20" t="s">
        <v>3643</v>
      </c>
      <c r="E703" s="20">
        <v>1.0</v>
      </c>
    </row>
    <row r="704">
      <c r="A704" s="183"/>
      <c r="B704" s="188" t="str">
        <f>IFERROR(__xludf.DUMMYFUNCTION("""COMPUTED_VALUE"""),"Frightweaver")</f>
        <v>Frightweaver</v>
      </c>
      <c r="C704" s="188">
        <f t="shared" si="1"/>
        <v>1</v>
      </c>
      <c r="D704" s="20" t="s">
        <v>2737</v>
      </c>
      <c r="E704" s="20">
        <v>1.0</v>
      </c>
    </row>
    <row r="705">
      <c r="A705" s="183"/>
      <c r="B705" s="188" t="str">
        <f>IFERROR(__xludf.DUMMYFUNCTION("""COMPUTED_VALUE"""),"Mini")</f>
        <v>Mini</v>
      </c>
      <c r="C705" s="188">
        <f t="shared" si="1"/>
        <v>1</v>
      </c>
      <c r="D705" s="20" t="s">
        <v>2748</v>
      </c>
      <c r="E705" s="20">
        <v>1.0</v>
      </c>
    </row>
    <row r="706">
      <c r="A706" s="183"/>
      <c r="B706" s="188" t="str">
        <f>IFERROR(__xludf.DUMMYFUNCTION("""COMPUTED_VALUE"""),"Clocktower")</f>
        <v>Clocktower</v>
      </c>
      <c r="C706" s="188">
        <f t="shared" si="1"/>
        <v>1</v>
      </c>
      <c r="D706" s="20" t="s">
        <v>3644</v>
      </c>
      <c r="E706" s="20">
        <v>1.0</v>
      </c>
    </row>
    <row r="707">
      <c r="A707" s="183" t="str">
        <f>IFERROR(__xludf.DUMMYFUNCTION("""COMPUTED_VALUE"""),"Bringer")</f>
        <v>Bringer</v>
      </c>
      <c r="B707" s="188" t="str">
        <f>IFERROR(__xludf.DUMMYFUNCTION("""COMPUTED_VALUE"""),"Drake")</f>
        <v>Drake</v>
      </c>
      <c r="C707" s="188">
        <f t="shared" si="1"/>
        <v>1</v>
      </c>
      <c r="D707" s="20" t="s">
        <v>3645</v>
      </c>
      <c r="E707" s="20">
        <v>1.0</v>
      </c>
    </row>
    <row r="708">
      <c r="A708" s="183" t="str">
        <f>IFERROR(__xludf.DUMMYFUNCTION("""COMPUTED_VALUE"""),"of")</f>
        <v>of</v>
      </c>
      <c r="B708" s="188" t="str">
        <f>IFERROR(__xludf.DUMMYFUNCTION("""COMPUTED_VALUE"""),"Roaming")</f>
        <v>Roaming</v>
      </c>
      <c r="C708" s="188">
        <f t="shared" si="1"/>
        <v>1</v>
      </c>
      <c r="D708" s="20" t="s">
        <v>3646</v>
      </c>
      <c r="E708" s="20">
        <v>1.0</v>
      </c>
    </row>
    <row r="709">
      <c r="A709" s="183" t="str">
        <f>IFERROR(__xludf.DUMMYFUNCTION("""COMPUTED_VALUE"""),"Bad")</f>
        <v>Bad</v>
      </c>
      <c r="B709" s="188" t="str">
        <f>IFERROR(__xludf.DUMMYFUNCTION("""COMPUTED_VALUE"""),"Cherub")</f>
        <v>Cherub</v>
      </c>
      <c r="C709" s="188">
        <f t="shared" si="1"/>
        <v>1</v>
      </c>
      <c r="D709" s="20" t="s">
        <v>2776</v>
      </c>
      <c r="E709" s="20">
        <v>1.0</v>
      </c>
    </row>
    <row r="710">
      <c r="A710" s="183" t="str">
        <f>IFERROR(__xludf.DUMMYFUNCTION("""COMPUTED_VALUE"""),"Omens")</f>
        <v>Omens</v>
      </c>
      <c r="B710" s="188" t="str">
        <f>IFERROR(__xludf.DUMMYFUNCTION("""COMPUTED_VALUE"""),"Bessy")</f>
        <v>Bessy</v>
      </c>
      <c r="C710" s="188">
        <f t="shared" si="1"/>
        <v>1</v>
      </c>
      <c r="D710" s="20" t="s">
        <v>3647</v>
      </c>
      <c r="E710" s="20">
        <v>1.0</v>
      </c>
    </row>
    <row r="711">
      <c r="A711" s="183"/>
      <c r="B711" s="188" t="str">
        <f>IFERROR(__xludf.DUMMYFUNCTION("""COMPUTED_VALUE"""),"Realmshifter")</f>
        <v>Realmshifter</v>
      </c>
      <c r="C711" s="188">
        <f t="shared" si="1"/>
        <v>1</v>
      </c>
      <c r="D711" s="20" t="s">
        <v>3648</v>
      </c>
      <c r="E711" s="20">
        <v>1.0</v>
      </c>
    </row>
    <row r="712">
      <c r="A712" s="183" t="str">
        <f>IFERROR(__xludf.DUMMYFUNCTION("""COMPUTED_VALUE"""),"Gaunt")</f>
        <v>Gaunt</v>
      </c>
      <c r="B712" s="188" t="str">
        <f>IFERROR(__xludf.DUMMYFUNCTION("""COMPUTED_VALUE"""),"Shapeshifter")</f>
        <v>Shapeshifter</v>
      </c>
      <c r="C712" s="188">
        <f t="shared" si="1"/>
        <v>1</v>
      </c>
      <c r="D712" s="20" t="s">
        <v>3649</v>
      </c>
      <c r="E712" s="20">
        <v>1.0</v>
      </c>
    </row>
    <row r="713">
      <c r="A713" s="183" t="str">
        <f>IFERROR(__xludf.DUMMYFUNCTION("""COMPUTED_VALUE"""),"Visitation")</f>
        <v>Visitation</v>
      </c>
      <c r="B713" s="188" t="str">
        <f>IFERROR(__xludf.DUMMYFUNCTION("""COMPUTED_VALUE"""),"Big")</f>
        <v>Big</v>
      </c>
      <c r="C713" s="188">
        <f t="shared" si="1"/>
        <v>1</v>
      </c>
      <c r="D713" s="20" t="s">
        <v>3650</v>
      </c>
      <c r="E713" s="20">
        <v>1.0</v>
      </c>
    </row>
    <row r="714">
      <c r="A714" s="183"/>
      <c r="B714" s="188" t="str">
        <f>IFERROR(__xludf.DUMMYFUNCTION("""COMPUTED_VALUE"""),"Dino")</f>
        <v>Dino</v>
      </c>
      <c r="C714" s="188">
        <f t="shared" si="1"/>
        <v>2</v>
      </c>
      <c r="D714" s="20" t="s">
        <v>3651</v>
      </c>
      <c r="E714" s="20">
        <v>1.0</v>
      </c>
    </row>
    <row r="715">
      <c r="A715" s="183"/>
      <c r="B715" s="188" t="str">
        <f>IFERROR(__xludf.DUMMYFUNCTION("""COMPUTED_VALUE"""),"Boy")</f>
        <v>Boy</v>
      </c>
      <c r="C715" s="188">
        <f t="shared" si="1"/>
        <v>2</v>
      </c>
      <c r="D715" s="20" t="s">
        <v>3652</v>
      </c>
      <c r="E715" s="20">
        <v>1.0</v>
      </c>
    </row>
    <row r="716">
      <c r="A716" s="183"/>
      <c r="B716" s="188" t="str">
        <f>IFERROR(__xludf.DUMMYFUNCTION("""COMPUTED_VALUE"""),"Middle")</f>
        <v>Middle</v>
      </c>
      <c r="C716" s="188">
        <f t="shared" si="1"/>
        <v>1</v>
      </c>
      <c r="D716" s="20" t="s">
        <v>2826</v>
      </c>
      <c r="E716" s="20">
        <v>1.0</v>
      </c>
    </row>
    <row r="717">
      <c r="A717" s="183" t="str">
        <f>IFERROR(__xludf.DUMMYFUNCTION("""COMPUTED_VALUE"""),"Lightning")</f>
        <v>Lightning</v>
      </c>
      <c r="B717" s="188" t="str">
        <f>IFERROR(__xludf.DUMMYFUNCTION("""COMPUTED_VALUE"""),"Tsagan")</f>
        <v>Tsagan</v>
      </c>
      <c r="C717" s="188">
        <f t="shared" si="1"/>
        <v>1</v>
      </c>
      <c r="D717" s="20" t="s">
        <v>2836</v>
      </c>
      <c r="E717" s="20">
        <v>1.0</v>
      </c>
    </row>
    <row r="718">
      <c r="A718" s="183" t="str">
        <f>IFERROR(__xludf.DUMMYFUNCTION("""COMPUTED_VALUE"""),"Manticore")</f>
        <v>Manticore</v>
      </c>
      <c r="B718" s="188" t="str">
        <f>IFERROR(__xludf.DUMMYFUNCTION("""COMPUTED_VALUE"""),"Battlegrounds")</f>
        <v>Battlegrounds</v>
      </c>
      <c r="C718" s="188">
        <f t="shared" si="1"/>
        <v>1</v>
      </c>
      <c r="D718" s="20" t="s">
        <v>3653</v>
      </c>
      <c r="E718" s="20">
        <v>1.0</v>
      </c>
    </row>
    <row r="719">
      <c r="A719" s="183"/>
      <c r="B719" s="188" t="str">
        <f>IFERROR(__xludf.DUMMYFUNCTION("""COMPUTED_VALUE"""),"Metropoleia")</f>
        <v>Metropoleia</v>
      </c>
      <c r="C719" s="188">
        <f t="shared" si="1"/>
        <v>2</v>
      </c>
      <c r="D719" s="20" t="s">
        <v>3654</v>
      </c>
      <c r="E719" s="20">
        <v>1.0</v>
      </c>
    </row>
    <row r="720">
      <c r="A720" s="183"/>
      <c r="B720" s="188" t="str">
        <f>IFERROR(__xludf.DUMMYFUNCTION("""COMPUTED_VALUE"""),"Black")</f>
        <v>Black</v>
      </c>
      <c r="C720" s="188">
        <f t="shared" si="1"/>
        <v>1</v>
      </c>
      <c r="D720" s="20" t="s">
        <v>3655</v>
      </c>
      <c r="E720" s="20">
        <v>1.0</v>
      </c>
    </row>
    <row r="721">
      <c r="A721" s="183"/>
      <c r="B721" s="188" t="str">
        <f>IFERROR(__xludf.DUMMYFUNCTION("""COMPUTED_VALUE"""),"Colosseum")</f>
        <v>Colosseum</v>
      </c>
      <c r="C721" s="188">
        <f t="shared" si="1"/>
        <v>1</v>
      </c>
      <c r="D721" s="20" t="s">
        <v>3656</v>
      </c>
      <c r="E721" s="20">
        <v>1.0</v>
      </c>
    </row>
    <row r="722">
      <c r="A722" s="183" t="str">
        <f>IFERROR(__xludf.DUMMYFUNCTION("""COMPUTED_VALUE"""),"Featherfrost")</f>
        <v>Featherfrost</v>
      </c>
      <c r="B722" s="188" t="str">
        <f>IFERROR(__xludf.DUMMYFUNCTION("""COMPUTED_VALUE"""),"Miststrider")</f>
        <v>Miststrider</v>
      </c>
      <c r="C722" s="188">
        <f t="shared" si="1"/>
        <v>2</v>
      </c>
      <c r="D722" s="20" t="s">
        <v>3657</v>
      </c>
      <c r="E722" s="20">
        <v>1.0</v>
      </c>
    </row>
    <row r="723">
      <c r="A723" s="183" t="str">
        <f>IFERROR(__xludf.DUMMYFUNCTION("""COMPUTED_VALUE"""),"Harpy")</f>
        <v>Harpy</v>
      </c>
      <c r="B723" s="188" t="str">
        <f>IFERROR(__xludf.DUMMYFUNCTION("""COMPUTED_VALUE"""),"Hideout")</f>
        <v>Hideout</v>
      </c>
      <c r="C723" s="188">
        <f t="shared" si="1"/>
        <v>1</v>
      </c>
      <c r="D723" s="20" t="s">
        <v>3658</v>
      </c>
      <c r="E723" s="20">
        <v>1.0</v>
      </c>
    </row>
    <row r="724">
      <c r="A724" s="183"/>
      <c r="B724" s="188" t="str">
        <f>IFERROR(__xludf.DUMMYFUNCTION("""COMPUTED_VALUE"""),"Coatlanti")</f>
        <v>Coatlanti</v>
      </c>
      <c r="C724" s="188">
        <f t="shared" si="1"/>
        <v>1</v>
      </c>
      <c r="D724" s="20" t="s">
        <v>3659</v>
      </c>
      <c r="E724" s="20">
        <v>1.0</v>
      </c>
    </row>
    <row r="725">
      <c r="A725" s="183"/>
      <c r="B725" s="188" t="str">
        <f>IFERROR(__xludf.DUMMYFUNCTION("""COMPUTED_VALUE"""),"Underbrush")</f>
        <v>Underbrush</v>
      </c>
      <c r="C725" s="188">
        <f t="shared" si="1"/>
        <v>1</v>
      </c>
      <c r="D725" s="20" t="s">
        <v>3660</v>
      </c>
      <c r="E725" s="20">
        <v>1.0</v>
      </c>
    </row>
    <row r="726">
      <c r="A726" s="183"/>
      <c r="B726" s="188" t="str">
        <f>IFERROR(__xludf.DUMMYFUNCTION("""COMPUTED_VALUE"""),"Moonspire")</f>
        <v>Moonspire</v>
      </c>
      <c r="C726" s="188">
        <f t="shared" si="1"/>
        <v>1</v>
      </c>
      <c r="D726" s="20" t="s">
        <v>3661</v>
      </c>
      <c r="E726" s="20">
        <v>1.0</v>
      </c>
    </row>
    <row r="727">
      <c r="A727" s="183" t="str">
        <f>IFERROR(__xludf.DUMMYFUNCTION("""COMPUTED_VALUE"""),"Raging")</f>
        <v>Raging</v>
      </c>
      <c r="B727" s="188" t="str">
        <f>IFERROR(__xludf.DUMMYFUNCTION("""COMPUTED_VALUE"""),"Outpost")</f>
        <v>Outpost</v>
      </c>
      <c r="C727" s="188">
        <f t="shared" si="1"/>
        <v>1</v>
      </c>
      <c r="D727" s="20" t="s">
        <v>3662</v>
      </c>
      <c r="E727" s="20">
        <v>1.0</v>
      </c>
    </row>
    <row r="728">
      <c r="A728" s="183" t="str">
        <f>IFERROR(__xludf.DUMMYFUNCTION("""COMPUTED_VALUE"""),"Minotaur")</f>
        <v>Minotaur</v>
      </c>
      <c r="B728" s="188" t="str">
        <f>IFERROR(__xludf.DUMMYFUNCTION("""COMPUTED_VALUE"""),"Thundercrest")</f>
        <v>Thundercrest</v>
      </c>
      <c r="C728" s="188">
        <f t="shared" si="1"/>
        <v>1</v>
      </c>
      <c r="D728" s="20" t="s">
        <v>3663</v>
      </c>
      <c r="E728" s="20">
        <v>1.0</v>
      </c>
    </row>
    <row r="729">
      <c r="A729" s="183"/>
      <c r="B729" s="188" t="str">
        <f>IFERROR(__xludf.DUMMYFUNCTION("""COMPUTED_VALUE"""),"Peaks")</f>
        <v>Peaks</v>
      </c>
      <c r="C729" s="188">
        <f t="shared" si="1"/>
        <v>1</v>
      </c>
      <c r="D729" s="20" t="s">
        <v>3664</v>
      </c>
      <c r="E729" s="20">
        <v>1.0</v>
      </c>
    </row>
    <row r="730">
      <c r="A730" s="183"/>
      <c r="B730" s="188" t="str">
        <f>IFERROR(__xludf.DUMMYFUNCTION("""COMPUTED_VALUE"""),"Empire")</f>
        <v>Empire</v>
      </c>
      <c r="C730" s="188">
        <f t="shared" si="1"/>
        <v>1</v>
      </c>
      <c r="D730" s="20" t="s">
        <v>3665</v>
      </c>
      <c r="E730" s="20">
        <v>1.0</v>
      </c>
    </row>
    <row r="731">
      <c r="A731" s="183"/>
      <c r="B731" s="188" t="str">
        <f>IFERROR(__xludf.DUMMYFUNCTION("""COMPUTED_VALUE"""),"Barracks")</f>
        <v>Barracks</v>
      </c>
      <c r="C731" s="188">
        <f t="shared" si="1"/>
        <v>1</v>
      </c>
      <c r="D731" s="20" t="s">
        <v>3666</v>
      </c>
      <c r="E731" s="20">
        <v>1.0</v>
      </c>
    </row>
    <row r="732">
      <c r="A732" s="183" t="str">
        <f>IFERROR(__xludf.DUMMYFUNCTION("""COMPUTED_VALUE"""),"Raijin")</f>
        <v>Raijin</v>
      </c>
      <c r="B732" s="188" t="str">
        <f>IFERROR(__xludf.DUMMYFUNCTION("""COMPUTED_VALUE"""),"Xotchli")</f>
        <v>Xotchli</v>
      </c>
      <c r="C732" s="188">
        <f t="shared" si="1"/>
        <v>1</v>
      </c>
      <c r="D732" s="20" t="s">
        <v>3667</v>
      </c>
      <c r="E732" s="20">
        <v>1.0</v>
      </c>
    </row>
    <row r="733">
      <c r="A733" s="183"/>
      <c r="B733" s="188" t="str">
        <f>IFERROR(__xludf.DUMMYFUNCTION("""COMPUTED_VALUE"""),"Sanctuary")</f>
        <v>Sanctuary</v>
      </c>
      <c r="C733" s="188">
        <f t="shared" si="1"/>
        <v>1</v>
      </c>
      <c r="D733" s="20" t="s">
        <v>3668</v>
      </c>
      <c r="E733" s="20">
        <v>1.0</v>
      </c>
    </row>
    <row r="734">
      <c r="A734" s="183"/>
      <c r="B734" s="188" t="str">
        <f>IFERROR(__xludf.DUMMYFUNCTION("""COMPUTED_VALUE"""),"Undercity")</f>
        <v>Undercity</v>
      </c>
      <c r="C734" s="188">
        <f t="shared" si="1"/>
        <v>1</v>
      </c>
      <c r="D734" s="20" t="s">
        <v>3669</v>
      </c>
      <c r="E734" s="20">
        <v>1.0</v>
      </c>
    </row>
    <row r="735">
      <c r="A735" s="183"/>
      <c r="B735" s="188" t="str">
        <f>IFERROR(__xludf.DUMMYFUNCTION("""COMPUTED_VALUE"""),"Crypts")</f>
        <v>Crypts</v>
      </c>
      <c r="C735" s="188">
        <f t="shared" si="1"/>
        <v>1</v>
      </c>
      <c r="D735" s="20" t="s">
        <v>3670</v>
      </c>
      <c r="E735" s="20">
        <v>1.0</v>
      </c>
    </row>
    <row r="736">
      <c r="A736" s="183"/>
      <c r="B736" s="188" t="str">
        <f>IFERROR(__xludf.DUMMYFUNCTION("""COMPUTED_VALUE"""),"Treasury")</f>
        <v>Treasury</v>
      </c>
      <c r="C736" s="188">
        <f t="shared" si="1"/>
        <v>1</v>
      </c>
      <c r="D736" s="20" t="s">
        <v>3671</v>
      </c>
      <c r="E736" s="20">
        <v>1.0</v>
      </c>
    </row>
    <row r="737">
      <c r="A737" s="183" t="str">
        <f>IFERROR(__xludf.DUMMYFUNCTION("""COMPUTED_VALUE"""),"Venomshade")</f>
        <v>Venomshade</v>
      </c>
      <c r="B737" s="188" t="str">
        <f>IFERROR(__xludf.DUMMYFUNCTION("""COMPUTED_VALUE"""),"Bataarbad")</f>
        <v>Bataarbad</v>
      </c>
      <c r="C737" s="188">
        <f t="shared" si="1"/>
        <v>1</v>
      </c>
      <c r="D737" s="20" t="s">
        <v>3672</v>
      </c>
      <c r="E737" s="20">
        <v>1.0</v>
      </c>
    </row>
    <row r="738">
      <c r="A738" s="183" t="str">
        <f>IFERROR(__xludf.DUMMYFUNCTION("""COMPUTED_VALUE"""),"Lamia")</f>
        <v>Lamia</v>
      </c>
      <c r="B738" s="188" t="str">
        <f>IFERROR(__xludf.DUMMYFUNCTION("""COMPUTED_VALUE"""),"Expanse")</f>
        <v>Expanse</v>
      </c>
      <c r="C738" s="188">
        <f t="shared" si="1"/>
        <v>1</v>
      </c>
      <c r="D738" s="20" t="s">
        <v>3673</v>
      </c>
      <c r="E738" s="20">
        <v>1.0</v>
      </c>
    </row>
    <row r="739">
      <c r="A739" s="183"/>
      <c r="B739" s="188" t="str">
        <f>IFERROR(__xludf.DUMMYFUNCTION("""COMPUTED_VALUE"""),"Sunburst")</f>
        <v>Sunburst</v>
      </c>
      <c r="C739" s="188">
        <f t="shared" si="1"/>
        <v>1</v>
      </c>
      <c r="D739" s="20" t="s">
        <v>3674</v>
      </c>
      <c r="E739" s="20">
        <v>1.0</v>
      </c>
    </row>
    <row r="740">
      <c r="A740" s="183"/>
      <c r="B740" s="188" t="str">
        <f>IFERROR(__xludf.DUMMYFUNCTION("""COMPUTED_VALUE"""),"Valley")</f>
        <v>Valley</v>
      </c>
      <c r="C740" s="188">
        <f t="shared" si="1"/>
        <v>2</v>
      </c>
      <c r="D740" s="20" t="s">
        <v>3675</v>
      </c>
      <c r="E740" s="20">
        <v>1.0</v>
      </c>
    </row>
    <row r="741">
      <c r="A741" s="183"/>
      <c r="B741" s="188" t="str">
        <f>IFERROR(__xludf.DUMMYFUNCTION("""COMPUTED_VALUE"""),"Terrain")</f>
        <v>Terrain</v>
      </c>
      <c r="C741" s="188">
        <f t="shared" si="1"/>
        <v>9</v>
      </c>
      <c r="D741" s="20" t="s">
        <v>3676</v>
      </c>
      <c r="E741" s="20">
        <v>1.0</v>
      </c>
    </row>
    <row r="742">
      <c r="A742" s="183" t="str">
        <f>IFERROR(__xludf.DUMMYFUNCTION("""COMPUTED_VALUE"""),"Volcano")</f>
        <v>Volcano</v>
      </c>
      <c r="B742" s="188" t="str">
        <f>IFERROR(__xludf.DUMMYFUNCTION("""COMPUTED_VALUE"""),"#1")</f>
        <v>#1</v>
      </c>
      <c r="C742" s="188">
        <f t="shared" si="1"/>
        <v>1</v>
      </c>
      <c r="D742" s="20" t="s">
        <v>3677</v>
      </c>
      <c r="E742" s="20">
        <v>1.0</v>
      </c>
    </row>
    <row r="743">
      <c r="A743" s="183" t="str">
        <f>IFERROR(__xludf.DUMMYFUNCTION("""COMPUTED_VALUE"""),"Embodiment")</f>
        <v>Embodiment</v>
      </c>
      <c r="B743" s="188" t="str">
        <f>IFERROR(__xludf.DUMMYFUNCTION("""COMPUTED_VALUE"""),"#2")</f>
        <v>#2</v>
      </c>
      <c r="C743" s="188">
        <f t="shared" si="1"/>
        <v>1</v>
      </c>
      <c r="D743" s="20" t="s">
        <v>3678</v>
      </c>
      <c r="E743" s="20">
        <v>1.0</v>
      </c>
    </row>
    <row r="744">
      <c r="A744" s="183"/>
      <c r="B744" s="188" t="str">
        <f>IFERROR(__xludf.DUMMYFUNCTION("""COMPUTED_VALUE"""),"#3")</f>
        <v>#3</v>
      </c>
      <c r="C744" s="188">
        <f t="shared" si="1"/>
        <v>1</v>
      </c>
      <c r="D744" s="20" t="s">
        <v>3679</v>
      </c>
      <c r="E744" s="20">
        <v>1.0</v>
      </c>
    </row>
    <row r="745">
      <c r="A745" s="183"/>
      <c r="B745" s="188" t="str">
        <f>IFERROR(__xludf.DUMMYFUNCTION("""COMPUTED_VALUE"""),"#4")</f>
        <v>#4</v>
      </c>
      <c r="C745" s="188">
        <f t="shared" si="1"/>
        <v>1</v>
      </c>
      <c r="D745" s="20" t="s">
        <v>3680</v>
      </c>
      <c r="E745" s="20">
        <v>1.0</v>
      </c>
    </row>
    <row r="746">
      <c r="A746" s="183"/>
      <c r="B746" s="188" t="str">
        <f>IFERROR(__xludf.DUMMYFUNCTION("""COMPUTED_VALUE"""),"#5")</f>
        <v>#5</v>
      </c>
      <c r="C746" s="188">
        <f t="shared" si="1"/>
        <v>1</v>
      </c>
      <c r="D746" s="20" t="s">
        <v>3681</v>
      </c>
      <c r="E746" s="20">
        <v>1.0</v>
      </c>
    </row>
    <row r="747">
      <c r="A747" s="183" t="str">
        <f>IFERROR(__xludf.DUMMYFUNCTION("""COMPUTED_VALUE"""),"Shardhorde")</f>
        <v>Shardhorde</v>
      </c>
      <c r="B747" s="188" t="str">
        <f>IFERROR(__xludf.DUMMYFUNCTION("""COMPUTED_VALUE"""),"#6")</f>
        <v>#6</v>
      </c>
      <c r="C747" s="188">
        <f t="shared" si="1"/>
        <v>1</v>
      </c>
      <c r="D747" s="20" t="s">
        <v>3682</v>
      </c>
      <c r="E747" s="20">
        <v>1.0</v>
      </c>
    </row>
    <row r="748">
      <c r="A748" s="183" t="str">
        <f>IFERROR(__xludf.DUMMYFUNCTION("""COMPUTED_VALUE"""),"Leviathan")</f>
        <v>Leviathan</v>
      </c>
      <c r="B748" s="188" t="str">
        <f>IFERROR(__xludf.DUMMYFUNCTION("""COMPUTED_VALUE"""),"#7")</f>
        <v>#7</v>
      </c>
      <c r="C748" s="188">
        <f t="shared" si="1"/>
        <v>1</v>
      </c>
      <c r="D748" s="20" t="s">
        <v>3683</v>
      </c>
      <c r="E748" s="20">
        <v>1.0</v>
      </c>
    </row>
    <row r="749">
      <c r="A749" s="183"/>
      <c r="B749" s="188" t="str">
        <f>IFERROR(__xludf.DUMMYFUNCTION("""COMPUTED_VALUE"""),"#8")</f>
        <v>#8</v>
      </c>
      <c r="C749" s="188">
        <f t="shared" si="1"/>
        <v>1</v>
      </c>
      <c r="D749" s="20" t="s">
        <v>3684</v>
      </c>
      <c r="E749" s="20">
        <v>1.0</v>
      </c>
    </row>
    <row r="750">
      <c r="A750" s="183"/>
      <c r="B750" s="188" t="str">
        <f>IFERROR(__xludf.DUMMYFUNCTION("""COMPUTED_VALUE"""),"#9")</f>
        <v>#9</v>
      </c>
      <c r="C750" s="188">
        <f t="shared" si="1"/>
        <v>1</v>
      </c>
      <c r="D750" s="20" t="s">
        <v>3685</v>
      </c>
      <c r="E750" s="20">
        <v>1.0</v>
      </c>
    </row>
    <row r="751">
      <c r="A751" s="183"/>
      <c r="B751" s="188" t="str">
        <f>IFERROR(__xludf.DUMMYFUNCTION("""COMPUTED_VALUE"""),"Sainkhu")</f>
        <v>Sainkhu</v>
      </c>
      <c r="C751" s="188">
        <f t="shared" si="1"/>
        <v>1</v>
      </c>
      <c r="D751" s="20" t="s">
        <v>3686</v>
      </c>
      <c r="E751" s="20">
        <v>1.0</v>
      </c>
    </row>
    <row r="752">
      <c r="A752" s="183" t="str">
        <f>IFERROR(__xludf.DUMMYFUNCTION("""COMPUTED_VALUE"""),"Tectonic")</f>
        <v>Tectonic</v>
      </c>
      <c r="B752" s="188" t="str">
        <f>IFERROR(__xludf.DUMMYFUNCTION("""COMPUTED_VALUE"""),"Groves")</f>
        <v>Groves</v>
      </c>
      <c r="C752" s="188">
        <f t="shared" si="1"/>
        <v>1</v>
      </c>
      <c r="D752" s="20" t="s">
        <v>3687</v>
      </c>
      <c r="E752" s="20">
        <v>1.0</v>
      </c>
    </row>
    <row r="753">
      <c r="A753" s="183" t="str">
        <f>IFERROR(__xludf.DUMMYFUNCTION("""COMPUTED_VALUE"""),"Shifter")</f>
        <v>Shifter</v>
      </c>
      <c r="B753" s="188" t="str">
        <f>IFERROR(__xludf.DUMMYFUNCTION("""COMPUTED_VALUE"""),"Duststorm")</f>
        <v>Duststorm</v>
      </c>
      <c r="C753" s="188">
        <f t="shared" si="1"/>
        <v>1</v>
      </c>
      <c r="D753" s="20" t="s">
        <v>3688</v>
      </c>
      <c r="E753" s="20">
        <v>1.0</v>
      </c>
    </row>
    <row r="754">
      <c r="A754" s="183"/>
      <c r="B754" s="188" t="str">
        <f>IFERROR(__xludf.DUMMYFUNCTION("""COMPUTED_VALUE"""),"Assassin")</f>
        <v>Assassin</v>
      </c>
      <c r="C754" s="188">
        <f t="shared" si="1"/>
        <v>1</v>
      </c>
      <c r="D754" s="20" t="s">
        <v>3689</v>
      </c>
      <c r="E754" s="20">
        <v>1.0</v>
      </c>
    </row>
    <row r="755">
      <c r="A755" s="183"/>
      <c r="B755" s="188" t="str">
        <f>IFERROR(__xludf.DUMMYFUNCTION("""COMPUTED_VALUE"""),"Cryptic")</f>
        <v>Cryptic</v>
      </c>
      <c r="C755" s="188">
        <f t="shared" si="1"/>
        <v>1</v>
      </c>
      <c r="D755" s="20" t="s">
        <v>3690</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3691</v>
      </c>
      <c r="L1" s="189" t="s">
        <v>3692</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322</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448</v>
      </c>
      <c r="F80" s="34" t="s">
        <v>449</v>
      </c>
      <c r="G80" s="34" t="s">
        <v>450</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452</v>
      </c>
      <c r="F81" s="34" t="s">
        <v>453</v>
      </c>
      <c r="G81" s="34" t="s">
        <v>454</v>
      </c>
      <c r="H81" s="34">
        <v>3.0</v>
      </c>
      <c r="I81" s="34" t="s">
        <v>455</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459</v>
      </c>
      <c r="F82" s="34"/>
      <c r="G82" s="34" t="s">
        <v>460</v>
      </c>
      <c r="H82" s="34">
        <v>2.0</v>
      </c>
      <c r="I82" s="34" t="s">
        <v>461</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467</v>
      </c>
      <c r="F83" s="34" t="s">
        <v>468</v>
      </c>
      <c r="G83" s="34" t="s">
        <v>469</v>
      </c>
      <c r="H83" s="34">
        <v>0.0</v>
      </c>
      <c r="I83" s="34" t="s">
        <v>470</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474</v>
      </c>
      <c r="G84" s="34" t="s">
        <v>475</v>
      </c>
      <c r="H84" s="34">
        <v>3.0</v>
      </c>
      <c r="I84" s="34" t="s">
        <v>476</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486</v>
      </c>
      <c r="H85" s="34">
        <v>2.0</v>
      </c>
      <c r="I85" s="34" t="s">
        <v>487</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500</v>
      </c>
      <c r="G86" s="34" t="s">
        <v>501</v>
      </c>
      <c r="H86" s="34">
        <v>4.0</v>
      </c>
      <c r="I86" s="34" t="s">
        <v>502</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515</v>
      </c>
      <c r="F87" s="34" t="s">
        <v>516</v>
      </c>
      <c r="G87" s="34" t="s">
        <v>517</v>
      </c>
      <c r="H87" s="34">
        <v>3.0</v>
      </c>
      <c r="I87" s="34" t="s">
        <v>518</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520</v>
      </c>
      <c r="F88" s="34" t="s">
        <v>521</v>
      </c>
      <c r="G88" s="34" t="s">
        <v>522</v>
      </c>
      <c r="H88" s="34">
        <v>3.0</v>
      </c>
      <c r="I88" s="34" t="s">
        <v>523</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525</v>
      </c>
      <c r="G89" s="34" t="s">
        <v>526</v>
      </c>
      <c r="H89" s="34">
        <v>5.0</v>
      </c>
      <c r="I89" s="34" t="s">
        <v>527</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540</v>
      </c>
      <c r="F90" s="34" t="s">
        <v>541</v>
      </c>
      <c r="G90" s="34" t="s">
        <v>542</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555</v>
      </c>
      <c r="G91" s="34" t="s">
        <v>556</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569</v>
      </c>
      <c r="F92" s="34" t="s">
        <v>570</v>
      </c>
      <c r="G92" s="34" t="s">
        <v>571</v>
      </c>
      <c r="H92" s="34">
        <v>5.0</v>
      </c>
      <c r="I92" s="34" t="s">
        <v>572</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585</v>
      </c>
      <c r="G93" s="34" t="s">
        <v>586</v>
      </c>
      <c r="H93" s="34">
        <v>2.0</v>
      </c>
      <c r="I93" s="34" t="s">
        <v>587</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589</v>
      </c>
      <c r="F94" s="34" t="s">
        <v>590</v>
      </c>
      <c r="G94" s="34" t="s">
        <v>591</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593</v>
      </c>
      <c r="G95" s="34" t="s">
        <v>594</v>
      </c>
      <c r="H95" s="34">
        <v>2.0</v>
      </c>
      <c r="I95" s="34" t="s">
        <v>587</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596</v>
      </c>
      <c r="G96" s="34" t="s">
        <v>597</v>
      </c>
      <c r="H96" s="34">
        <v>1.0</v>
      </c>
      <c r="I96" s="34" t="s">
        <v>587</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610</v>
      </c>
      <c r="G97" s="34" t="s">
        <v>611</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618</v>
      </c>
      <c r="G98" s="34" t="s">
        <v>619</v>
      </c>
      <c r="H98" s="34">
        <v>3.0</v>
      </c>
      <c r="I98" s="34" t="s">
        <v>523</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632</v>
      </c>
      <c r="F99" s="34" t="s">
        <v>633</v>
      </c>
      <c r="G99" s="34" t="s">
        <v>634</v>
      </c>
      <c r="H99" s="34">
        <v>5.0</v>
      </c>
      <c r="I99" s="34" t="s">
        <v>635</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589</v>
      </c>
      <c r="F100" s="34" t="s">
        <v>637</v>
      </c>
      <c r="G100" s="34" t="s">
        <v>638</v>
      </c>
      <c r="H100" s="34">
        <v>4.0</v>
      </c>
      <c r="I100" s="34" t="s">
        <v>639</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652</v>
      </c>
      <c r="F101" s="34" t="s">
        <v>653</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655</v>
      </c>
      <c r="F102" s="34" t="s">
        <v>656</v>
      </c>
      <c r="G102" s="34" t="s">
        <v>657</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659</v>
      </c>
      <c r="G103" s="34" t="s">
        <v>660</v>
      </c>
      <c r="H103" s="34">
        <v>2.0</v>
      </c>
      <c r="I103" s="34" t="s">
        <v>587</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662</v>
      </c>
      <c r="F104" s="34" t="s">
        <v>663</v>
      </c>
      <c r="G104" s="34" t="s">
        <v>664</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666</v>
      </c>
      <c r="G105" s="34" t="s">
        <v>391</v>
      </c>
      <c r="H105" s="34">
        <v>4.0</v>
      </c>
      <c r="I105" s="34" t="s">
        <v>639</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520</v>
      </c>
      <c r="F106" s="34" t="s">
        <v>668</v>
      </c>
      <c r="G106" s="34" t="s">
        <v>669</v>
      </c>
      <c r="H106" s="34">
        <v>3.0</v>
      </c>
      <c r="I106" s="34" t="s">
        <v>518</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671</v>
      </c>
      <c r="G107" s="34"/>
      <c r="H107" s="34">
        <v>3.0</v>
      </c>
      <c r="I107" s="34" t="s">
        <v>639</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684</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697</v>
      </c>
      <c r="F109" s="34" t="s">
        <v>277</v>
      </c>
      <c r="G109" s="34" t="s">
        <v>698</v>
      </c>
      <c r="H109" s="34">
        <v>2.0</v>
      </c>
      <c r="I109" s="34" t="s">
        <v>587</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700</v>
      </c>
      <c r="G110" s="34" t="s">
        <v>701</v>
      </c>
      <c r="H110" s="34">
        <v>2.0</v>
      </c>
      <c r="I110" s="34" t="s">
        <v>639</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662</v>
      </c>
      <c r="F111" s="34" t="s">
        <v>714</v>
      </c>
      <c r="G111" s="34"/>
      <c r="H111" s="34">
        <v>2.0</v>
      </c>
      <c r="I111" s="34" t="s">
        <v>518</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727</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729</v>
      </c>
      <c r="G113" s="34" t="s">
        <v>730</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732</v>
      </c>
      <c r="G114" s="34" t="s">
        <v>733</v>
      </c>
      <c r="H114" s="34">
        <v>2.0</v>
      </c>
      <c r="I114" s="34" t="s">
        <v>587</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746</v>
      </c>
      <c r="G115" s="34" t="s">
        <v>747</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540</v>
      </c>
      <c r="F116" s="34" t="s">
        <v>760</v>
      </c>
      <c r="G116" s="34" t="s">
        <v>761</v>
      </c>
      <c r="H116" s="34">
        <v>3.0</v>
      </c>
      <c r="I116" s="34" t="s">
        <v>639</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520</v>
      </c>
      <c r="F117" s="34" t="s">
        <v>774</v>
      </c>
      <c r="G117" s="34" t="s">
        <v>391</v>
      </c>
      <c r="H117" s="34">
        <v>4.0</v>
      </c>
      <c r="I117" s="34" t="s">
        <v>527</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776</v>
      </c>
      <c r="G118" s="34" t="s">
        <v>777</v>
      </c>
      <c r="H118" s="34">
        <v>4.0</v>
      </c>
      <c r="I118" s="34" t="s">
        <v>572</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790</v>
      </c>
      <c r="G119" s="34" t="s">
        <v>791</v>
      </c>
      <c r="H119" s="34">
        <v>5.0</v>
      </c>
      <c r="I119" s="34" t="s">
        <v>572</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793</v>
      </c>
      <c r="F120" s="34" t="s">
        <v>794</v>
      </c>
      <c r="G120" s="34" t="s">
        <v>795</v>
      </c>
      <c r="H120" s="34">
        <v>4.0</v>
      </c>
      <c r="I120" s="34" t="s">
        <v>639</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797</v>
      </c>
      <c r="G121" s="34" t="s">
        <v>798</v>
      </c>
      <c r="H121" s="34">
        <v>3.0</v>
      </c>
      <c r="I121" s="34" t="s">
        <v>639</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800</v>
      </c>
      <c r="G122" s="34" t="s">
        <v>801</v>
      </c>
      <c r="H122" s="34">
        <v>5.0</v>
      </c>
      <c r="I122" s="34" t="s">
        <v>527</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814</v>
      </c>
      <c r="F123" s="34" t="s">
        <v>815</v>
      </c>
      <c r="G123" s="34"/>
      <c r="H123" s="34">
        <v>3.0</v>
      </c>
      <c r="I123" s="34" t="s">
        <v>523</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817</v>
      </c>
      <c r="G124" s="34" t="s">
        <v>818</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820</v>
      </c>
      <c r="G125" s="34" t="s">
        <v>391</v>
      </c>
      <c r="H125" s="34">
        <v>3.0</v>
      </c>
      <c r="I125" s="34" t="s">
        <v>639</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589</v>
      </c>
      <c r="F126" s="34" t="s">
        <v>833</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835</v>
      </c>
      <c r="G127" s="34"/>
      <c r="H127" s="34">
        <v>5.0</v>
      </c>
      <c r="I127" s="34" t="s">
        <v>587</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520</v>
      </c>
      <c r="F128" s="34" t="s">
        <v>837</v>
      </c>
      <c r="G128" s="34" t="s">
        <v>838</v>
      </c>
      <c r="H128" s="34">
        <v>6.0</v>
      </c>
      <c r="I128" s="34" t="s">
        <v>523</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847</v>
      </c>
      <c r="G129" s="34" t="s">
        <v>838</v>
      </c>
      <c r="H129" s="34">
        <v>4.0</v>
      </c>
      <c r="I129" s="34" t="s">
        <v>527</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452</v>
      </c>
      <c r="F130" s="34" t="s">
        <v>860</v>
      </c>
      <c r="G130" s="34" t="s">
        <v>861</v>
      </c>
      <c r="H130" s="34">
        <v>2.0</v>
      </c>
      <c r="I130" s="34" t="s">
        <v>587</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870</v>
      </c>
      <c r="G131" s="34" t="s">
        <v>871</v>
      </c>
      <c r="H131" s="34">
        <v>6.0</v>
      </c>
      <c r="I131" s="34" t="s">
        <v>872</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589</v>
      </c>
      <c r="F132" s="34" t="s">
        <v>882</v>
      </c>
      <c r="G132" s="34"/>
      <c r="H132" s="34">
        <v>3.0</v>
      </c>
      <c r="I132" s="34" t="s">
        <v>639</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895</v>
      </c>
      <c r="D133" s="34">
        <v>2.0</v>
      </c>
      <c r="E133" s="34" t="s">
        <v>337</v>
      </c>
      <c r="F133" s="34" t="s">
        <v>896</v>
      </c>
      <c r="G133" s="34" t="s">
        <v>897</v>
      </c>
      <c r="H133" s="34">
        <v>3.0</v>
      </c>
      <c r="I133" s="34" t="s">
        <v>898</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448</v>
      </c>
      <c r="F134" s="34"/>
      <c r="G134" s="34" t="s">
        <v>900</v>
      </c>
      <c r="H134" s="34">
        <v>3.0</v>
      </c>
      <c r="I134" s="34" t="s">
        <v>587</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895</v>
      </c>
      <c r="D135" s="34">
        <v>2.0</v>
      </c>
      <c r="E135" s="34" t="s">
        <v>913</v>
      </c>
      <c r="F135" s="34" t="s">
        <v>914</v>
      </c>
      <c r="G135" s="34" t="s">
        <v>915</v>
      </c>
      <c r="H135" s="34">
        <v>6.0</v>
      </c>
      <c r="I135" s="34" t="s">
        <v>916</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918</v>
      </c>
      <c r="D136" s="34">
        <v>2.0</v>
      </c>
      <c r="E136" s="34" t="s">
        <v>919</v>
      </c>
      <c r="F136" s="34" t="s">
        <v>920</v>
      </c>
      <c r="G136" s="34" t="s">
        <v>921</v>
      </c>
      <c r="H136" s="34">
        <v>5.0</v>
      </c>
      <c r="I136" s="34" t="s">
        <v>922</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924</v>
      </c>
      <c r="G137" s="34" t="s">
        <v>925</v>
      </c>
      <c r="H137" s="34">
        <v>5.0</v>
      </c>
      <c r="I137" s="34" t="s">
        <v>572</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918</v>
      </c>
      <c r="D138" s="34">
        <v>0.0</v>
      </c>
      <c r="E138" s="34" t="s">
        <v>938</v>
      </c>
      <c r="F138" s="34" t="s">
        <v>939</v>
      </c>
      <c r="G138" s="34"/>
      <c r="H138" s="34">
        <v>8.0</v>
      </c>
      <c r="I138" s="34" t="s">
        <v>940</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918</v>
      </c>
      <c r="D139" s="34">
        <v>2.0</v>
      </c>
      <c r="E139" s="34" t="s">
        <v>151</v>
      </c>
      <c r="F139" s="34" t="s">
        <v>942</v>
      </c>
      <c r="G139" s="34" t="s">
        <v>943</v>
      </c>
      <c r="H139" s="34">
        <v>4.0</v>
      </c>
      <c r="I139" s="34" t="s">
        <v>944</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793</v>
      </c>
      <c r="F140" s="34" t="s">
        <v>946</v>
      </c>
      <c r="G140" s="34" t="s">
        <v>947</v>
      </c>
      <c r="H140" s="34">
        <v>4.0</v>
      </c>
      <c r="I140" s="34" t="s">
        <v>527</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918</v>
      </c>
      <c r="D141" s="34">
        <v>2.0</v>
      </c>
      <c r="E141" s="34" t="s">
        <v>938</v>
      </c>
      <c r="F141" s="34" t="s">
        <v>960</v>
      </c>
      <c r="G141" s="34" t="s">
        <v>961</v>
      </c>
      <c r="H141" s="34">
        <v>5.0</v>
      </c>
      <c r="I141" s="34" t="s">
        <v>944</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520</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972</v>
      </c>
      <c r="D143" s="34">
        <v>2.0</v>
      </c>
      <c r="E143" s="34" t="s">
        <v>540</v>
      </c>
      <c r="F143" s="34" t="s">
        <v>973</v>
      </c>
      <c r="G143" s="34" t="s">
        <v>664</v>
      </c>
      <c r="H143" s="34">
        <v>0.0</v>
      </c>
      <c r="I143" s="34" t="s">
        <v>974</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972</v>
      </c>
      <c r="D144" s="34">
        <v>2.0</v>
      </c>
      <c r="E144" s="34" t="s">
        <v>976</v>
      </c>
      <c r="F144" s="34" t="s">
        <v>977</v>
      </c>
      <c r="G144" s="34" t="s">
        <v>978</v>
      </c>
      <c r="H144" s="34">
        <v>3.0</v>
      </c>
      <c r="I144" s="34" t="s">
        <v>979</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972</v>
      </c>
      <c r="D145" s="34">
        <v>0.0</v>
      </c>
      <c r="E145" s="34" t="s">
        <v>652</v>
      </c>
      <c r="F145" s="34" t="s">
        <v>981</v>
      </c>
      <c r="G145" s="34" t="s">
        <v>982</v>
      </c>
      <c r="H145" s="34">
        <v>7.0</v>
      </c>
      <c r="I145" s="34" t="s">
        <v>983</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985</v>
      </c>
      <c r="F146" s="34"/>
      <c r="G146" s="34"/>
      <c r="H146" s="34">
        <v>4.0</v>
      </c>
      <c r="I146" s="34" t="s">
        <v>639</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972</v>
      </c>
      <c r="D147" s="34">
        <v>2.0</v>
      </c>
      <c r="E147" s="34" t="s">
        <v>998</v>
      </c>
      <c r="F147" s="34" t="s">
        <v>999</v>
      </c>
      <c r="G147" s="34" t="s">
        <v>1000</v>
      </c>
      <c r="H147" s="34">
        <v>4.0</v>
      </c>
      <c r="I147" s="34" t="s">
        <v>979</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589</v>
      </c>
      <c r="F148" s="34" t="s">
        <v>1002</v>
      </c>
      <c r="G148" s="34" t="s">
        <v>1003</v>
      </c>
      <c r="H148" s="34">
        <v>7.0</v>
      </c>
      <c r="I148" s="34" t="s">
        <v>1004</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972</v>
      </c>
      <c r="D149" s="34">
        <v>2.0</v>
      </c>
      <c r="E149" s="34" t="s">
        <v>1017</v>
      </c>
      <c r="F149" s="34" t="s">
        <v>1018</v>
      </c>
      <c r="G149" s="34" t="s">
        <v>1019</v>
      </c>
      <c r="H149" s="34">
        <v>5.0</v>
      </c>
      <c r="I149" s="34" t="s">
        <v>979</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1021</v>
      </c>
      <c r="H150" s="34">
        <v>5.0</v>
      </c>
      <c r="I150" s="34" t="s">
        <v>523</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1034</v>
      </c>
      <c r="H151" s="34">
        <v>9.0</v>
      </c>
      <c r="I151" s="34" t="s">
        <v>1035</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1048</v>
      </c>
      <c r="F152" s="34" t="s">
        <v>1049</v>
      </c>
      <c r="G152" s="34" t="s">
        <v>1050</v>
      </c>
      <c r="H152" s="34">
        <v>3.0</v>
      </c>
      <c r="I152" s="34" t="s">
        <v>527</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1058</v>
      </c>
      <c r="D153" s="34">
        <v>2.0</v>
      </c>
      <c r="E153" s="34" t="s">
        <v>39</v>
      </c>
      <c r="F153" s="34" t="s">
        <v>1059</v>
      </c>
      <c r="G153" s="34" t="s">
        <v>1060</v>
      </c>
      <c r="H153" s="34">
        <v>2.0</v>
      </c>
      <c r="I153" s="34" t="s">
        <v>1061</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1063</v>
      </c>
      <c r="G154" s="34" t="s">
        <v>1064</v>
      </c>
      <c r="H154" s="34">
        <v>4.0</v>
      </c>
      <c r="I154" s="34" t="s">
        <v>518</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1074</v>
      </c>
      <c r="G155" s="34" t="s">
        <v>1075</v>
      </c>
      <c r="H155" s="34">
        <v>4.0</v>
      </c>
      <c r="I155" s="34" t="s">
        <v>872</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1058</v>
      </c>
      <c r="D156" s="34">
        <v>2.0</v>
      </c>
      <c r="E156" s="34" t="s">
        <v>697</v>
      </c>
      <c r="F156" s="34" t="s">
        <v>1087</v>
      </c>
      <c r="G156" s="34" t="s">
        <v>698</v>
      </c>
      <c r="H156" s="34">
        <v>2.0</v>
      </c>
      <c r="I156" s="34" t="s">
        <v>1088</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1090</v>
      </c>
      <c r="F157" s="34" t="s">
        <v>1091</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1100</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2" t="s">
        <v>1110</v>
      </c>
      <c r="G159" s="34" t="s">
        <v>1111</v>
      </c>
      <c r="H159" s="34">
        <v>1.0</v>
      </c>
      <c r="I159" s="34" t="s">
        <v>1112</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1058</v>
      </c>
      <c r="D160" s="34">
        <v>2.0</v>
      </c>
      <c r="E160" s="34" t="s">
        <v>1119</v>
      </c>
      <c r="F160" s="34" t="s">
        <v>1120</v>
      </c>
      <c r="G160" s="34" t="s">
        <v>1121</v>
      </c>
      <c r="H160" s="34">
        <v>4.0</v>
      </c>
      <c r="I160" s="34" t="s">
        <v>1122</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895</v>
      </c>
      <c r="D161" s="34">
        <v>1.0</v>
      </c>
      <c r="E161" s="34" t="s">
        <v>1124</v>
      </c>
      <c r="F161" s="34" t="s">
        <v>1125</v>
      </c>
      <c r="G161" s="34" t="s">
        <v>1126</v>
      </c>
      <c r="H161" s="34">
        <v>2.0</v>
      </c>
      <c r="I161" s="34" t="s">
        <v>898</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895</v>
      </c>
      <c r="D162" s="34">
        <v>1.0</v>
      </c>
      <c r="E162" s="34" t="s">
        <v>337</v>
      </c>
      <c r="F162" s="34" t="s">
        <v>1139</v>
      </c>
      <c r="G162" s="34" t="s">
        <v>1140</v>
      </c>
      <c r="H162" s="34">
        <v>5.0</v>
      </c>
      <c r="I162" s="34" t="s">
        <v>1141</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1058</v>
      </c>
      <c r="D163" s="34">
        <v>2.0</v>
      </c>
      <c r="E163" s="34" t="s">
        <v>39</v>
      </c>
      <c r="F163" s="34" t="s">
        <v>1152</v>
      </c>
      <c r="G163" s="34" t="s">
        <v>215</v>
      </c>
      <c r="H163" s="34">
        <v>2.0</v>
      </c>
      <c r="I163" s="34" t="s">
        <v>1153</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1058</v>
      </c>
      <c r="D164" s="34">
        <v>2.0</v>
      </c>
      <c r="E164" s="34" t="s">
        <v>151</v>
      </c>
      <c r="F164" s="34" t="s">
        <v>1155</v>
      </c>
      <c r="G164" s="34" t="s">
        <v>1156</v>
      </c>
      <c r="H164" s="34">
        <v>4.0</v>
      </c>
      <c r="I164" s="34" t="s">
        <v>1153</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895</v>
      </c>
      <c r="D165" s="34">
        <v>1.0</v>
      </c>
      <c r="E165" s="34" t="s">
        <v>1158</v>
      </c>
      <c r="F165" s="34"/>
      <c r="G165" s="34" t="s">
        <v>1159</v>
      </c>
      <c r="H165" s="34">
        <v>2.0</v>
      </c>
      <c r="I165" s="34" t="s">
        <v>1160</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918</v>
      </c>
      <c r="D166" s="34">
        <v>1.0</v>
      </c>
      <c r="E166" s="34" t="s">
        <v>589</v>
      </c>
      <c r="F166" s="34" t="s">
        <v>1173</v>
      </c>
      <c r="G166" s="34" t="s">
        <v>1174</v>
      </c>
      <c r="H166" s="34">
        <v>5.0</v>
      </c>
      <c r="I166" s="34" t="s">
        <v>944</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1058</v>
      </c>
      <c r="D167" s="34">
        <v>2.0</v>
      </c>
      <c r="E167" s="34" t="s">
        <v>39</v>
      </c>
      <c r="F167" s="34" t="s">
        <v>1187</v>
      </c>
      <c r="G167" s="34" t="s">
        <v>660</v>
      </c>
      <c r="H167" s="34">
        <v>3.0</v>
      </c>
      <c r="I167" s="34" t="s">
        <v>1088</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918</v>
      </c>
      <c r="D168" s="34">
        <v>1.0</v>
      </c>
      <c r="E168" s="34" t="s">
        <v>329</v>
      </c>
      <c r="F168" s="34" t="s">
        <v>1189</v>
      </c>
      <c r="G168" s="34" t="s">
        <v>1190</v>
      </c>
      <c r="H168" s="34">
        <v>6.0</v>
      </c>
      <c r="I168" s="34" t="s">
        <v>1191</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918</v>
      </c>
      <c r="D169" s="34">
        <v>1.0</v>
      </c>
      <c r="E169" s="34" t="s">
        <v>1204</v>
      </c>
      <c r="F169" s="34"/>
      <c r="G169" s="34" t="s">
        <v>1205</v>
      </c>
      <c r="H169" s="34">
        <v>2.0</v>
      </c>
      <c r="I169" s="34" t="s">
        <v>1206</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1058</v>
      </c>
      <c r="D170" s="34">
        <v>2.0</v>
      </c>
      <c r="E170" s="34" t="s">
        <v>324</v>
      </c>
      <c r="F170" s="34" t="s">
        <v>1217</v>
      </c>
      <c r="G170" s="34" t="s">
        <v>1218</v>
      </c>
      <c r="H170" s="34">
        <v>3.0</v>
      </c>
      <c r="I170" s="34" t="s">
        <v>1061</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1058</v>
      </c>
      <c r="D171" s="34">
        <v>2.0</v>
      </c>
      <c r="E171" s="34" t="s">
        <v>448</v>
      </c>
      <c r="F171" s="34" t="s">
        <v>1220</v>
      </c>
      <c r="G171" s="34" t="s">
        <v>1221</v>
      </c>
      <c r="H171" s="34">
        <v>2.0</v>
      </c>
      <c r="I171" s="34" t="s">
        <v>1222</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1058</v>
      </c>
      <c r="D172" s="34">
        <v>2.0</v>
      </c>
      <c r="E172" s="34" t="s">
        <v>151</v>
      </c>
      <c r="F172" s="34" t="s">
        <v>1224</v>
      </c>
      <c r="G172" s="34" t="s">
        <v>664</v>
      </c>
      <c r="H172" s="34">
        <v>4.0</v>
      </c>
      <c r="I172" s="34" t="s">
        <v>1225</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1058</v>
      </c>
      <c r="D173" s="34">
        <v>2.0</v>
      </c>
      <c r="E173" s="34" t="s">
        <v>324</v>
      </c>
      <c r="F173" s="34" t="s">
        <v>1227</v>
      </c>
      <c r="G173" s="34" t="s">
        <v>1228</v>
      </c>
      <c r="H173" s="34">
        <v>4.0</v>
      </c>
      <c r="I173" s="34" t="s">
        <v>1225</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1058</v>
      </c>
      <c r="D174" s="34">
        <v>2.0</v>
      </c>
      <c r="E174" s="34" t="s">
        <v>39</v>
      </c>
      <c r="F174" s="34" t="s">
        <v>1230</v>
      </c>
      <c r="G174" s="34" t="s">
        <v>1231</v>
      </c>
      <c r="H174" s="34">
        <v>1.0</v>
      </c>
      <c r="I174" s="34" t="s">
        <v>1222</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972</v>
      </c>
      <c r="D175" s="34">
        <v>1.0</v>
      </c>
      <c r="E175" s="34" t="s">
        <v>1233</v>
      </c>
      <c r="F175" s="34" t="s">
        <v>1234</v>
      </c>
      <c r="G175" s="34" t="s">
        <v>1235</v>
      </c>
      <c r="H175" s="34">
        <v>5.0</v>
      </c>
      <c r="I175" s="34" t="s">
        <v>979</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1058</v>
      </c>
      <c r="D176" s="34">
        <v>2.0</v>
      </c>
      <c r="E176" s="34" t="s">
        <v>151</v>
      </c>
      <c r="F176" s="34" t="s">
        <v>1244</v>
      </c>
      <c r="G176" s="34" t="s">
        <v>1245</v>
      </c>
      <c r="H176" s="34">
        <v>3.0</v>
      </c>
      <c r="I176" s="34" t="s">
        <v>1225</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972</v>
      </c>
      <c r="D177" s="34">
        <v>1.0</v>
      </c>
      <c r="E177" s="34" t="s">
        <v>814</v>
      </c>
      <c r="F177" s="34" t="s">
        <v>1247</v>
      </c>
      <c r="G177" s="34" t="s">
        <v>1248</v>
      </c>
      <c r="H177" s="34">
        <v>5.0</v>
      </c>
      <c r="I177" s="34" t="s">
        <v>1249</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1058</v>
      </c>
      <c r="D178" s="34">
        <v>2.0</v>
      </c>
      <c r="E178" s="34" t="s">
        <v>337</v>
      </c>
      <c r="F178" s="34" t="s">
        <v>1255</v>
      </c>
      <c r="G178" s="34" t="s">
        <v>1256</v>
      </c>
      <c r="H178" s="34">
        <v>3.0</v>
      </c>
      <c r="I178" s="34" t="s">
        <v>1153</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972</v>
      </c>
      <c r="D179" s="34">
        <v>1.0</v>
      </c>
      <c r="E179" s="34" t="s">
        <v>1258</v>
      </c>
      <c r="F179" s="34"/>
      <c r="G179" s="34" t="s">
        <v>1259</v>
      </c>
      <c r="H179" s="34">
        <v>2.0</v>
      </c>
      <c r="I179" s="34" t="s">
        <v>974</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1058</v>
      </c>
      <c r="D180" s="34">
        <v>1.0</v>
      </c>
      <c r="E180" s="34" t="s">
        <v>655</v>
      </c>
      <c r="F180" s="34" t="s">
        <v>1272</v>
      </c>
      <c r="G180" s="34" t="s">
        <v>1273</v>
      </c>
      <c r="H180" s="34">
        <v>3.0</v>
      </c>
      <c r="I180" s="34" t="s">
        <v>1061</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1058</v>
      </c>
      <c r="D181" s="34">
        <v>2.0</v>
      </c>
      <c r="E181" s="34" t="s">
        <v>82</v>
      </c>
      <c r="F181" s="34" t="s">
        <v>1282</v>
      </c>
      <c r="G181" s="34" t="s">
        <v>1283</v>
      </c>
      <c r="H181" s="34">
        <v>3.0</v>
      </c>
      <c r="I181" s="34" t="s">
        <v>1153</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1058</v>
      </c>
      <c r="D182" s="34">
        <v>1.0</v>
      </c>
      <c r="E182" s="34" t="s">
        <v>662</v>
      </c>
      <c r="F182" s="34" t="s">
        <v>1285</v>
      </c>
      <c r="G182" s="34" t="s">
        <v>1286</v>
      </c>
      <c r="H182" s="34">
        <v>1.0</v>
      </c>
      <c r="I182" s="34" t="s">
        <v>1088</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1058</v>
      </c>
      <c r="D183" s="34">
        <v>2.0</v>
      </c>
      <c r="E183" s="34" t="s">
        <v>39</v>
      </c>
      <c r="F183" s="34" t="s">
        <v>1296</v>
      </c>
      <c r="G183" s="34" t="s">
        <v>1297</v>
      </c>
      <c r="H183" s="34">
        <v>3.0</v>
      </c>
      <c r="I183" s="34" t="s">
        <v>1153</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1058</v>
      </c>
      <c r="D184" s="34">
        <v>0.0</v>
      </c>
      <c r="E184" s="34" t="s">
        <v>240</v>
      </c>
      <c r="F184" s="34" t="s">
        <v>1299</v>
      </c>
      <c r="G184" s="34" t="s">
        <v>1300</v>
      </c>
      <c r="H184" s="34">
        <v>4.0</v>
      </c>
      <c r="I184" s="34" t="s">
        <v>1225</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1058</v>
      </c>
      <c r="D185" s="34">
        <v>2.0</v>
      </c>
      <c r="E185" s="34" t="s">
        <v>1017</v>
      </c>
      <c r="F185" s="34" t="s">
        <v>1302</v>
      </c>
      <c r="G185" s="34" t="s">
        <v>660</v>
      </c>
      <c r="H185" s="34">
        <v>2.0</v>
      </c>
      <c r="I185" s="34" t="s">
        <v>1303</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1058</v>
      </c>
      <c r="D186" s="34">
        <v>1.0</v>
      </c>
      <c r="E186" s="34" t="s">
        <v>39</v>
      </c>
      <c r="F186" s="34" t="s">
        <v>62</v>
      </c>
      <c r="G186" s="34" t="s">
        <v>1305</v>
      </c>
      <c r="H186" s="34">
        <v>1.0</v>
      </c>
      <c r="I186" s="34" t="s">
        <v>1222</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1058</v>
      </c>
      <c r="D187" s="34">
        <v>2.0</v>
      </c>
      <c r="E187" s="34" t="s">
        <v>113</v>
      </c>
      <c r="F187" s="34" t="s">
        <v>1317</v>
      </c>
      <c r="G187" s="34" t="s">
        <v>1318</v>
      </c>
      <c r="H187" s="34">
        <v>1.0</v>
      </c>
      <c r="I187" s="34" t="s">
        <v>1222</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1058</v>
      </c>
      <c r="D188" s="34">
        <v>1.0</v>
      </c>
      <c r="E188" s="34" t="s">
        <v>135</v>
      </c>
      <c r="F188" s="34" t="s">
        <v>1320</v>
      </c>
      <c r="G188" s="34" t="s">
        <v>1321</v>
      </c>
      <c r="H188" s="34">
        <v>3.0</v>
      </c>
      <c r="I188" s="34" t="s">
        <v>1322</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1058</v>
      </c>
      <c r="D189" s="34">
        <v>1.0</v>
      </c>
      <c r="E189" s="34" t="s">
        <v>435</v>
      </c>
      <c r="F189" s="34" t="s">
        <v>1330</v>
      </c>
      <c r="G189" s="34" t="s">
        <v>1331</v>
      </c>
      <c r="H189" s="34">
        <v>2.0</v>
      </c>
      <c r="I189" s="34" t="s">
        <v>1153</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1058</v>
      </c>
      <c r="D190" s="34">
        <v>1.0</v>
      </c>
      <c r="E190" s="34" t="s">
        <v>82</v>
      </c>
      <c r="F190" s="34" t="s">
        <v>1341</v>
      </c>
      <c r="G190" s="34" t="s">
        <v>1342</v>
      </c>
      <c r="H190" s="34">
        <v>4.0</v>
      </c>
      <c r="I190" s="34" t="s">
        <v>1343</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1058</v>
      </c>
      <c r="D191" s="34">
        <v>1.0</v>
      </c>
      <c r="E191" s="34" t="s">
        <v>1017</v>
      </c>
      <c r="F191" s="34" t="s">
        <v>1351</v>
      </c>
      <c r="G191" s="34" t="s">
        <v>1352</v>
      </c>
      <c r="H191" s="34">
        <v>6.0</v>
      </c>
      <c r="I191" s="34" t="s">
        <v>1353</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1058</v>
      </c>
      <c r="D192" s="34">
        <v>2.0</v>
      </c>
      <c r="E192" s="34" t="s">
        <v>113</v>
      </c>
      <c r="F192" s="34" t="s">
        <v>1362</v>
      </c>
      <c r="G192" s="34" t="s">
        <v>1363</v>
      </c>
      <c r="H192" s="34">
        <v>1.0</v>
      </c>
      <c r="I192" s="34" t="s">
        <v>1088</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1058</v>
      </c>
      <c r="D193" s="34">
        <v>2.0</v>
      </c>
      <c r="E193" s="34" t="s">
        <v>252</v>
      </c>
      <c r="F193" s="34" t="s">
        <v>1365</v>
      </c>
      <c r="G193" s="34" t="s">
        <v>26</v>
      </c>
      <c r="H193" s="34">
        <v>6.0</v>
      </c>
      <c r="I193" s="34" t="s">
        <v>1322</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1058</v>
      </c>
      <c r="D194" s="34">
        <v>1.0</v>
      </c>
      <c r="E194" s="34" t="s">
        <v>113</v>
      </c>
      <c r="F194" s="34" t="s">
        <v>1367</v>
      </c>
      <c r="G194" s="34" t="s">
        <v>1368</v>
      </c>
      <c r="H194" s="34">
        <v>2.0</v>
      </c>
      <c r="I194" s="34" t="s">
        <v>1369</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1058</v>
      </c>
      <c r="D195" s="34">
        <v>2.0</v>
      </c>
      <c r="E195" s="34" t="s">
        <v>1017</v>
      </c>
      <c r="F195" s="34" t="s">
        <v>1377</v>
      </c>
      <c r="G195" s="34" t="s">
        <v>26</v>
      </c>
      <c r="H195" s="34">
        <v>1.0</v>
      </c>
      <c r="I195" s="34" t="s">
        <v>1222</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1058</v>
      </c>
      <c r="D196" s="34">
        <v>1.0</v>
      </c>
      <c r="E196" s="34" t="s">
        <v>448</v>
      </c>
      <c r="F196" s="34" t="s">
        <v>1379</v>
      </c>
      <c r="G196" s="34" t="s">
        <v>1380</v>
      </c>
      <c r="H196" s="34">
        <v>1.0</v>
      </c>
      <c r="I196" s="34" t="s">
        <v>1088</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1058</v>
      </c>
      <c r="D197" s="34">
        <v>1.0</v>
      </c>
      <c r="E197" s="34" t="s">
        <v>1017</v>
      </c>
      <c r="F197" s="34" t="s">
        <v>1390</v>
      </c>
      <c r="G197" s="34" t="s">
        <v>1391</v>
      </c>
      <c r="H197" s="34">
        <v>0.0</v>
      </c>
      <c r="I197" s="34" t="s">
        <v>1343</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1058</v>
      </c>
      <c r="D198" s="34">
        <v>1.0</v>
      </c>
      <c r="E198" s="34" t="s">
        <v>113</v>
      </c>
      <c r="F198" s="34" t="s">
        <v>1399</v>
      </c>
      <c r="G198" s="34" t="s">
        <v>1400</v>
      </c>
      <c r="H198" s="34">
        <v>2.0</v>
      </c>
      <c r="I198" s="34" t="s">
        <v>1061</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1058</v>
      </c>
      <c r="D199" s="34">
        <v>1.0</v>
      </c>
      <c r="E199" s="34" t="s">
        <v>151</v>
      </c>
      <c r="F199" s="34" t="s">
        <v>1405</v>
      </c>
      <c r="G199" s="34" t="s">
        <v>1406</v>
      </c>
      <c r="H199" s="34">
        <v>4.0</v>
      </c>
      <c r="I199" s="34" t="s">
        <v>1153</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1058</v>
      </c>
      <c r="D200" s="34">
        <v>1.0</v>
      </c>
      <c r="E200" s="34" t="s">
        <v>39</v>
      </c>
      <c r="F200" s="34" t="s">
        <v>1416</v>
      </c>
      <c r="G200" s="34" t="s">
        <v>1417</v>
      </c>
      <c r="H200" s="34">
        <v>1.0</v>
      </c>
      <c r="I200" s="34" t="s">
        <v>1088</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1058</v>
      </c>
      <c r="D201" s="34">
        <v>2.0</v>
      </c>
      <c r="E201" s="34" t="s">
        <v>1423</v>
      </c>
      <c r="F201" s="34" t="s">
        <v>1424</v>
      </c>
      <c r="G201" s="34" t="s">
        <v>1425</v>
      </c>
      <c r="H201" s="34">
        <v>5.0</v>
      </c>
      <c r="I201" s="34" t="s">
        <v>1122</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1427</v>
      </c>
      <c r="D202" s="34">
        <v>2.0</v>
      </c>
      <c r="E202" s="34" t="s">
        <v>1428</v>
      </c>
      <c r="F202" s="34" t="s">
        <v>1429</v>
      </c>
      <c r="G202" s="34" t="s">
        <v>26</v>
      </c>
      <c r="H202" s="34">
        <v>7.0</v>
      </c>
      <c r="I202" s="34" t="s">
        <v>1430</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1058</v>
      </c>
      <c r="D203" s="34">
        <v>1.0</v>
      </c>
      <c r="E203" s="34" t="s">
        <v>252</v>
      </c>
      <c r="F203" s="34" t="s">
        <v>1432</v>
      </c>
      <c r="G203" s="34" t="s">
        <v>1433</v>
      </c>
      <c r="H203" s="34">
        <v>2.0</v>
      </c>
      <c r="I203" s="34" t="s">
        <v>1061</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1427</v>
      </c>
      <c r="D204" s="34">
        <v>2.0</v>
      </c>
      <c r="E204" s="34" t="s">
        <v>410</v>
      </c>
      <c r="F204" s="34" t="s">
        <v>1439</v>
      </c>
      <c r="G204" s="34" t="s">
        <v>1440</v>
      </c>
      <c r="H204" s="34">
        <v>3.0</v>
      </c>
      <c r="I204" s="34" t="s">
        <v>1441</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1058</v>
      </c>
      <c r="D205" s="34">
        <v>1.0</v>
      </c>
      <c r="E205" s="34" t="s">
        <v>82</v>
      </c>
      <c r="F205" s="34" t="s">
        <v>1443</v>
      </c>
      <c r="G205" s="34" t="s">
        <v>1444</v>
      </c>
      <c r="H205" s="34">
        <v>2.0</v>
      </c>
      <c r="I205" s="34" t="s">
        <v>1153</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1427</v>
      </c>
      <c r="D206" s="34">
        <v>2.0</v>
      </c>
      <c r="E206" s="34" t="s">
        <v>240</v>
      </c>
      <c r="F206" s="34" t="s">
        <v>1452</v>
      </c>
      <c r="G206" s="34" t="s">
        <v>169</v>
      </c>
      <c r="H206" s="34">
        <v>2.0</v>
      </c>
      <c r="I206" s="34" t="s">
        <v>1453</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1427</v>
      </c>
      <c r="D207" s="34">
        <v>2.0</v>
      </c>
      <c r="E207" s="34" t="s">
        <v>1455</v>
      </c>
      <c r="F207" s="34" t="s">
        <v>1456</v>
      </c>
      <c r="G207" s="34"/>
      <c r="H207" s="34">
        <v>3.0</v>
      </c>
      <c r="I207" s="34" t="s">
        <v>1441</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1058</v>
      </c>
      <c r="D208" s="34">
        <v>1.0</v>
      </c>
      <c r="E208" s="34" t="s">
        <v>938</v>
      </c>
      <c r="F208" s="34" t="s">
        <v>1458</v>
      </c>
      <c r="G208" s="34" t="s">
        <v>1459</v>
      </c>
      <c r="H208" s="34">
        <v>3.0</v>
      </c>
      <c r="I208" s="34" t="s">
        <v>1153</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1427</v>
      </c>
      <c r="D209" s="34">
        <v>2.0</v>
      </c>
      <c r="E209" s="34" t="s">
        <v>448</v>
      </c>
      <c r="F209" s="34" t="s">
        <v>1470</v>
      </c>
      <c r="G209" s="34" t="s">
        <v>1471</v>
      </c>
      <c r="H209" s="34">
        <v>3.0</v>
      </c>
      <c r="I209" s="34" t="s">
        <v>1441</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1058</v>
      </c>
      <c r="D210" s="34">
        <v>1.0</v>
      </c>
      <c r="E210" s="34" t="s">
        <v>151</v>
      </c>
      <c r="F210" s="34" t="s">
        <v>1473</v>
      </c>
      <c r="G210" s="34" t="s">
        <v>1474</v>
      </c>
      <c r="H210" s="34">
        <v>3.0</v>
      </c>
      <c r="I210" s="34" t="s">
        <v>1343</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1487</v>
      </c>
      <c r="D211" s="34">
        <v>2.0</v>
      </c>
      <c r="E211" s="34" t="s">
        <v>39</v>
      </c>
      <c r="F211" s="34" t="s">
        <v>1488</v>
      </c>
      <c r="G211" s="34" t="s">
        <v>838</v>
      </c>
      <c r="H211" s="34">
        <v>3.0</v>
      </c>
      <c r="I211" s="34" t="s">
        <v>1489</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1058</v>
      </c>
      <c r="D212" s="34">
        <v>1.0</v>
      </c>
      <c r="E212" s="34" t="s">
        <v>151</v>
      </c>
      <c r="F212" s="34" t="s">
        <v>1491</v>
      </c>
      <c r="G212" s="34" t="s">
        <v>1492</v>
      </c>
      <c r="H212" s="34">
        <v>2.0</v>
      </c>
      <c r="I212" s="34" t="s">
        <v>1303</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1487</v>
      </c>
      <c r="D213" s="34">
        <v>2.0</v>
      </c>
      <c r="E213" s="34" t="s">
        <v>1504</v>
      </c>
      <c r="F213" s="34" t="s">
        <v>1505</v>
      </c>
      <c r="G213" s="34" t="s">
        <v>838</v>
      </c>
      <c r="H213" s="34">
        <v>3.0</v>
      </c>
      <c r="I213" s="34" t="s">
        <v>1506</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1058</v>
      </c>
      <c r="D214" s="34">
        <v>1.0</v>
      </c>
      <c r="E214" s="34" t="s">
        <v>324</v>
      </c>
      <c r="F214" s="34" t="s">
        <v>1508</v>
      </c>
      <c r="G214" s="34"/>
      <c r="H214" s="34">
        <v>4.0</v>
      </c>
      <c r="I214" s="34" t="s">
        <v>1122</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1487</v>
      </c>
      <c r="D215" s="34">
        <v>2.0</v>
      </c>
      <c r="E215" s="34" t="s">
        <v>344</v>
      </c>
      <c r="F215" s="34" t="s">
        <v>1519</v>
      </c>
      <c r="G215" s="34" t="s">
        <v>1520</v>
      </c>
      <c r="H215" s="34">
        <v>2.0</v>
      </c>
      <c r="I215" s="34" t="s">
        <v>1489</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1487</v>
      </c>
      <c r="D216" s="34">
        <v>2.0</v>
      </c>
      <c r="E216" s="34" t="s">
        <v>1522</v>
      </c>
      <c r="F216" s="34" t="s">
        <v>1523</v>
      </c>
      <c r="G216" s="34"/>
      <c r="H216" s="34">
        <v>3.0</v>
      </c>
      <c r="I216" s="34" t="s">
        <v>1524</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1487</v>
      </c>
      <c r="D217" s="34">
        <v>2.0</v>
      </c>
      <c r="E217" s="34" t="s">
        <v>1233</v>
      </c>
      <c r="F217" s="34" t="s">
        <v>1526</v>
      </c>
      <c r="G217" s="34"/>
      <c r="H217" s="34">
        <v>7.0</v>
      </c>
      <c r="I217" s="34" t="s">
        <v>1527</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1487</v>
      </c>
      <c r="D218" s="34">
        <v>2.0</v>
      </c>
      <c r="E218" s="34" t="s">
        <v>39</v>
      </c>
      <c r="F218" s="34" t="s">
        <v>1529</v>
      </c>
      <c r="G218" s="34"/>
      <c r="H218" s="34">
        <v>1.0</v>
      </c>
      <c r="I218" s="34" t="s">
        <v>1530</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1058</v>
      </c>
      <c r="D219" s="34">
        <v>1.0</v>
      </c>
      <c r="E219" s="34" t="s">
        <v>151</v>
      </c>
      <c r="F219" s="34" t="s">
        <v>1532</v>
      </c>
      <c r="G219" s="34" t="s">
        <v>1533</v>
      </c>
      <c r="H219" s="34">
        <v>2.0</v>
      </c>
      <c r="I219" s="34" t="s">
        <v>1122</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1058</v>
      </c>
      <c r="D220" s="34">
        <v>1.0</v>
      </c>
      <c r="E220" s="34" t="s">
        <v>135</v>
      </c>
      <c r="F220" s="34" t="s">
        <v>1541</v>
      </c>
      <c r="G220" s="34" t="s">
        <v>1542</v>
      </c>
      <c r="H220" s="34">
        <v>3.0</v>
      </c>
      <c r="I220" s="34" t="s">
        <v>1061</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1058</v>
      </c>
      <c r="D221" s="34">
        <v>1.0</v>
      </c>
      <c r="E221" s="34" t="s">
        <v>1522</v>
      </c>
      <c r="F221" s="34" t="s">
        <v>1549</v>
      </c>
      <c r="G221" s="34" t="s">
        <v>1550</v>
      </c>
      <c r="H221" s="34">
        <v>4.0</v>
      </c>
      <c r="I221" s="34" t="s">
        <v>1153</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1562</v>
      </c>
      <c r="D222" s="34">
        <v>2.0</v>
      </c>
      <c r="E222" s="34" t="s">
        <v>113</v>
      </c>
      <c r="F222" s="34" t="s">
        <v>1563</v>
      </c>
      <c r="G222" s="34" t="s">
        <v>26</v>
      </c>
      <c r="H222" s="34">
        <v>0.0</v>
      </c>
      <c r="I222" s="34" t="s">
        <v>1564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1058</v>
      </c>
      <c r="D223" s="34">
        <v>1.0</v>
      </c>
      <c r="E223" s="34" t="s">
        <v>448</v>
      </c>
      <c r="F223" s="34" t="s">
        <v>1566</v>
      </c>
      <c r="G223" s="34" t="s">
        <v>660</v>
      </c>
      <c r="H223" s="34">
        <v>7.0</v>
      </c>
      <c r="I223" s="34" t="s">
        <v>1567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1058</v>
      </c>
      <c r="D224" s="34">
        <v>1.0</v>
      </c>
      <c r="E224" s="34" t="s">
        <v>389</v>
      </c>
      <c r="F224" s="34" t="s">
        <v>1577</v>
      </c>
      <c r="G224" s="34" t="s">
        <v>1578</v>
      </c>
      <c r="H224" s="34">
        <v>4.0</v>
      </c>
      <c r="I224" s="34" t="s">
        <v>1322</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1562</v>
      </c>
      <c r="D225" s="34">
        <v>2.0</v>
      </c>
      <c r="E225" s="34" t="s">
        <v>1585</v>
      </c>
      <c r="F225" s="34" t="s">
        <v>1586</v>
      </c>
      <c r="G225" s="34" t="s">
        <v>242</v>
      </c>
      <c r="H225" s="34">
        <v>3.0</v>
      </c>
      <c r="I225" s="34" t="s">
        <v>1587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1562</v>
      </c>
      <c r="D226" s="34">
        <v>2.0</v>
      </c>
      <c r="E226" s="34" t="s">
        <v>39</v>
      </c>
      <c r="F226" s="34" t="s">
        <v>1589</v>
      </c>
      <c r="G226" s="34" t="s">
        <v>1590</v>
      </c>
      <c r="H226" s="34">
        <v>2.0</v>
      </c>
      <c r="I226" s="34" t="s">
        <v>1591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1562</v>
      </c>
      <c r="D227" s="34">
        <v>2.0</v>
      </c>
      <c r="E227" s="34" t="s">
        <v>1593</v>
      </c>
      <c r="F227" s="34" t="s">
        <v>1594</v>
      </c>
      <c r="G227" s="34" t="s">
        <v>1595</v>
      </c>
      <c r="H227" s="34">
        <v>5.0</v>
      </c>
      <c r="I227" s="34" t="s">
        <v>1596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1562</v>
      </c>
      <c r="D228" s="34">
        <v>2.0</v>
      </c>
      <c r="E228" s="34" t="s">
        <v>1598</v>
      </c>
      <c r="F228" s="34" t="s">
        <v>1599</v>
      </c>
      <c r="G228" s="34" t="s">
        <v>215</v>
      </c>
      <c r="H228" s="34">
        <v>4.0</v>
      </c>
      <c r="I228" s="34" t="s">
        <v>1587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1058</v>
      </c>
      <c r="D229" s="34">
        <v>1.0</v>
      </c>
      <c r="E229" s="34" t="s">
        <v>448</v>
      </c>
      <c r="F229" s="34" t="s">
        <v>1601</v>
      </c>
      <c r="G229" s="34"/>
      <c r="H229" s="34">
        <v>7.0</v>
      </c>
      <c r="I229" s="34" t="s">
        <v>1567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1058</v>
      </c>
      <c r="D230" s="34">
        <v>1.0</v>
      </c>
      <c r="E230" s="34" t="s">
        <v>252</v>
      </c>
      <c r="F230" s="34" t="s">
        <v>1610</v>
      </c>
      <c r="G230" s="34"/>
      <c r="H230" s="34">
        <v>3.0</v>
      </c>
      <c r="I230" s="34" t="s">
        <v>1088</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1058</v>
      </c>
      <c r="D231" s="34">
        <v>1.0</v>
      </c>
      <c r="E231" s="34" t="s">
        <v>337</v>
      </c>
      <c r="F231" s="34" t="s">
        <v>1619</v>
      </c>
      <c r="G231" s="34"/>
      <c r="H231" s="34">
        <v>2.0</v>
      </c>
      <c r="I231" s="34" t="s">
        <v>1222</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1058</v>
      </c>
      <c r="D232" s="34">
        <v>1.0</v>
      </c>
      <c r="E232" s="34" t="s">
        <v>448</v>
      </c>
      <c r="F232" s="34"/>
      <c r="G232" s="34" t="s">
        <v>1626</v>
      </c>
      <c r="H232" s="34">
        <v>5.0</v>
      </c>
      <c r="I232" s="34" t="s">
        <v>1225</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1058</v>
      </c>
      <c r="D233" s="34">
        <v>1.0</v>
      </c>
      <c r="E233" s="34" t="s">
        <v>151</v>
      </c>
      <c r="F233" s="34"/>
      <c r="G233" s="34" t="s">
        <v>1636</v>
      </c>
      <c r="H233" s="34">
        <v>4.0</v>
      </c>
      <c r="I233" s="34" t="s">
        <v>1343</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1058</v>
      </c>
      <c r="D234" s="34">
        <v>1.0</v>
      </c>
      <c r="E234" s="34" t="s">
        <v>1648</v>
      </c>
      <c r="F234" s="34"/>
      <c r="G234" s="34"/>
      <c r="H234" s="34">
        <v>3.0</v>
      </c>
      <c r="I234" s="34" t="s">
        <v>1061</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1562</v>
      </c>
      <c r="D235" s="34">
        <v>2.0</v>
      </c>
      <c r="E235" s="34" t="s">
        <v>919</v>
      </c>
      <c r="F235" s="34" t="s">
        <v>1654</v>
      </c>
      <c r="G235" s="34" t="s">
        <v>26</v>
      </c>
      <c r="H235" s="34">
        <v>2.0</v>
      </c>
      <c r="I235" s="34" t="s">
        <v>1564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1562</v>
      </c>
      <c r="D236" s="34">
        <v>0.0</v>
      </c>
      <c r="E236" s="34" t="s">
        <v>1656</v>
      </c>
      <c r="F236" s="34" t="s">
        <v>1657</v>
      </c>
      <c r="G236" s="34" t="s">
        <v>1658</v>
      </c>
      <c r="H236" s="34">
        <v>4.0</v>
      </c>
      <c r="I236" s="34" t="s">
        <v>1587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1058</v>
      </c>
      <c r="D237" s="34">
        <v>1.0</v>
      </c>
      <c r="E237" s="34" t="s">
        <v>197</v>
      </c>
      <c r="F237" s="34"/>
      <c r="G237" s="34" t="s">
        <v>1660</v>
      </c>
      <c r="H237" s="34">
        <v>2.0</v>
      </c>
      <c r="I237" s="34" t="s">
        <v>1088</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1562</v>
      </c>
      <c r="D238" s="34">
        <v>2.0</v>
      </c>
      <c r="E238" s="34" t="s">
        <v>662</v>
      </c>
      <c r="F238" s="34"/>
      <c r="G238" s="34" t="s">
        <v>1668</v>
      </c>
      <c r="H238" s="34">
        <v>7.0</v>
      </c>
      <c r="I238" s="34" t="s">
        <v>1669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1562</v>
      </c>
      <c r="D239" s="34">
        <v>2.0</v>
      </c>
      <c r="E239" s="34" t="s">
        <v>1671</v>
      </c>
      <c r="F239" s="34" t="s">
        <v>277</v>
      </c>
      <c r="G239" s="34" t="s">
        <v>698</v>
      </c>
      <c r="H239" s="34">
        <v>2.0</v>
      </c>
      <c r="I239" s="34" t="s">
        <v>1564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1562</v>
      </c>
      <c r="D240" s="34">
        <v>2.0</v>
      </c>
      <c r="E240" s="34" t="s">
        <v>135</v>
      </c>
      <c r="F240" s="34" t="s">
        <v>1673</v>
      </c>
      <c r="G240" s="34" t="s">
        <v>1674</v>
      </c>
      <c r="H240" s="34">
        <v>2.0</v>
      </c>
      <c r="I240" s="34" t="s">
        <v>1669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1058</v>
      </c>
      <c r="D241" s="34">
        <v>1.0</v>
      </c>
      <c r="E241" s="34" t="s">
        <v>1676</v>
      </c>
      <c r="F241" s="34" t="s">
        <v>1677</v>
      </c>
      <c r="G241" s="34"/>
      <c r="H241" s="34">
        <v>2.0</v>
      </c>
      <c r="I241" s="34" t="s">
        <v>1088</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1058</v>
      </c>
      <c r="D242" s="34">
        <v>1.0</v>
      </c>
      <c r="E242" s="34" t="s">
        <v>374</v>
      </c>
      <c r="F242" s="34" t="s">
        <v>1687</v>
      </c>
      <c r="G242" s="34"/>
      <c r="H242" s="34">
        <v>1.0</v>
      </c>
      <c r="I242" s="34" t="s">
        <v>1222</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1058</v>
      </c>
      <c r="D243" s="34">
        <v>1.0</v>
      </c>
      <c r="E243" s="34" t="s">
        <v>98</v>
      </c>
      <c r="F243" s="34" t="s">
        <v>1698</v>
      </c>
      <c r="G243" s="34"/>
      <c r="H243" s="34">
        <v>3.0</v>
      </c>
      <c r="I243" s="34" t="s">
        <v>1369</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1562</v>
      </c>
      <c r="D244" s="34">
        <v>2.0</v>
      </c>
      <c r="E244" s="34" t="s">
        <v>113</v>
      </c>
      <c r="F244" s="34" t="s">
        <v>1703</v>
      </c>
      <c r="G244" s="34" t="s">
        <v>26</v>
      </c>
      <c r="H244" s="34">
        <v>1.0</v>
      </c>
      <c r="I244" s="34" t="s">
        <v>1564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1058</v>
      </c>
      <c r="D245" s="34">
        <v>1.0</v>
      </c>
      <c r="E245" s="34" t="s">
        <v>1428</v>
      </c>
      <c r="F245" s="34" t="s">
        <v>1705</v>
      </c>
      <c r="G245" s="34" t="s">
        <v>1706</v>
      </c>
      <c r="H245" s="34">
        <v>5.0</v>
      </c>
      <c r="I245" s="34" t="s">
        <v>1707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1058</v>
      </c>
      <c r="D246" s="34">
        <v>1.0</v>
      </c>
      <c r="E246" s="34" t="s">
        <v>337</v>
      </c>
      <c r="F246" s="34" t="s">
        <v>1716</v>
      </c>
      <c r="G246" s="34"/>
      <c r="H246" s="34">
        <v>3.0</v>
      </c>
      <c r="I246" s="34" t="s">
        <v>1122</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1427</v>
      </c>
      <c r="D247" s="34">
        <v>1.0</v>
      </c>
      <c r="E247" s="34" t="s">
        <v>1017</v>
      </c>
      <c r="F247" s="34" t="s">
        <v>1722</v>
      </c>
      <c r="G247" s="34" t="s">
        <v>1723</v>
      </c>
      <c r="H247" s="34">
        <v>3.0</v>
      </c>
      <c r="I247" s="34" t="s">
        <v>1724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1427</v>
      </c>
      <c r="D248" s="34">
        <v>1.0</v>
      </c>
      <c r="E248" s="34" t="s">
        <v>1731</v>
      </c>
      <c r="F248" s="34" t="s">
        <v>1732</v>
      </c>
      <c r="G248" s="34" t="s">
        <v>1733</v>
      </c>
      <c r="H248" s="34">
        <v>3.0</v>
      </c>
      <c r="I248" s="34" t="s">
        <v>1734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1427</v>
      </c>
      <c r="D249" s="34">
        <v>1.0</v>
      </c>
      <c r="E249" s="34" t="s">
        <v>1742</v>
      </c>
      <c r="F249" s="34"/>
      <c r="G249" s="34" t="s">
        <v>1743</v>
      </c>
      <c r="H249" s="34">
        <v>2.0</v>
      </c>
      <c r="I249" s="34" t="s">
        <v>1744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1487</v>
      </c>
      <c r="D250" s="34">
        <v>1.0</v>
      </c>
      <c r="E250" s="34" t="s">
        <v>1752</v>
      </c>
      <c r="F250" s="34" t="s">
        <v>1753</v>
      </c>
      <c r="G250" s="34" t="s">
        <v>1754</v>
      </c>
      <c r="H250" s="34">
        <v>1.0</v>
      </c>
      <c r="I250" s="34" t="s">
        <v>1755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1562</v>
      </c>
      <c r="D251" s="34">
        <v>2.0</v>
      </c>
      <c r="E251" s="34" t="s">
        <v>1763</v>
      </c>
      <c r="F251" s="34" t="s">
        <v>1764</v>
      </c>
      <c r="G251" s="34" t="s">
        <v>943</v>
      </c>
      <c r="H251" s="34">
        <v>4.0</v>
      </c>
      <c r="I251" s="34" t="s">
        <v>1765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1562</v>
      </c>
      <c r="D252" s="34">
        <v>0.0</v>
      </c>
      <c r="E252" s="34" t="s">
        <v>1585</v>
      </c>
      <c r="F252" s="34" t="s">
        <v>1767</v>
      </c>
      <c r="G252" s="34" t="s">
        <v>1768</v>
      </c>
      <c r="H252" s="34">
        <v>5.0</v>
      </c>
      <c r="I252" s="34" t="s">
        <v>1765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1562</v>
      </c>
      <c r="D253" s="34">
        <v>2.0</v>
      </c>
      <c r="E253" s="34" t="s">
        <v>662</v>
      </c>
      <c r="F253" s="34" t="s">
        <v>1770</v>
      </c>
      <c r="G253" s="34" t="s">
        <v>1771</v>
      </c>
      <c r="H253" s="34">
        <v>1.0</v>
      </c>
      <c r="I253" s="34" t="s">
        <v>1591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1487</v>
      </c>
      <c r="D254" s="34">
        <v>1.0</v>
      </c>
      <c r="E254" s="34" t="s">
        <v>1504</v>
      </c>
      <c r="F254" s="34" t="s">
        <v>1773</v>
      </c>
      <c r="G254" s="34" t="s">
        <v>1774</v>
      </c>
      <c r="H254" s="34">
        <v>2.0</v>
      </c>
      <c r="I254" s="34" t="s">
        <v>1775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1562</v>
      </c>
      <c r="D255" s="34">
        <v>2.0</v>
      </c>
      <c r="E255" s="34" t="s">
        <v>1783</v>
      </c>
      <c r="F255" s="34" t="s">
        <v>1784</v>
      </c>
      <c r="G255" s="34" t="s">
        <v>1785</v>
      </c>
      <c r="H255" s="34">
        <v>4.0</v>
      </c>
      <c r="I255" s="34" t="s">
        <v>1596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1562</v>
      </c>
      <c r="D256" s="34">
        <v>2.0</v>
      </c>
      <c r="E256" s="34" t="s">
        <v>113</v>
      </c>
      <c r="F256" s="34" t="s">
        <v>1787</v>
      </c>
      <c r="G256" s="34" t="s">
        <v>1788</v>
      </c>
      <c r="H256" s="34">
        <v>6.0</v>
      </c>
      <c r="I256" s="34" t="s">
        <v>1789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1562</v>
      </c>
      <c r="D257" s="34">
        <v>2.0</v>
      </c>
      <c r="E257" s="34" t="s">
        <v>299</v>
      </c>
      <c r="F257" s="34" t="s">
        <v>1791</v>
      </c>
      <c r="G257" s="34" t="s">
        <v>1231</v>
      </c>
      <c r="H257" s="34">
        <v>3.0</v>
      </c>
      <c r="I257" s="34" t="s">
        <v>1765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1562</v>
      </c>
      <c r="D258" s="34">
        <v>0.0</v>
      </c>
      <c r="E258" s="34" t="s">
        <v>151</v>
      </c>
      <c r="F258" s="34" t="s">
        <v>1793</v>
      </c>
      <c r="G258" s="34" t="s">
        <v>1794</v>
      </c>
      <c r="H258" s="34">
        <v>3.0</v>
      </c>
      <c r="I258" s="34" t="s">
        <v>1795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1487</v>
      </c>
      <c r="D259" s="34">
        <v>1.0</v>
      </c>
      <c r="E259" s="34" t="s">
        <v>1258</v>
      </c>
      <c r="F259" s="34"/>
      <c r="G259" s="34" t="s">
        <v>1797</v>
      </c>
      <c r="H259" s="34">
        <v>2.0</v>
      </c>
      <c r="I259" s="34" t="s">
        <v>1530</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1562</v>
      </c>
      <c r="D260" s="34">
        <v>2.0</v>
      </c>
      <c r="E260" s="34" t="s">
        <v>1805</v>
      </c>
      <c r="F260" s="34" t="s">
        <v>1806</v>
      </c>
      <c r="G260" s="34" t="s">
        <v>1807</v>
      </c>
      <c r="H260" s="34">
        <v>6.0</v>
      </c>
      <c r="I260" s="34" t="s">
        <v>1789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1562</v>
      </c>
      <c r="D261" s="34">
        <v>2.0</v>
      </c>
      <c r="E261" s="34" t="s">
        <v>329</v>
      </c>
      <c r="F261" s="34" t="s">
        <v>1809</v>
      </c>
      <c r="G261" s="34" t="s">
        <v>1810</v>
      </c>
      <c r="H261" s="34">
        <v>3.0</v>
      </c>
      <c r="I261" s="34" t="s">
        <v>1811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1562</v>
      </c>
      <c r="D262" s="34">
        <v>1.0</v>
      </c>
      <c r="E262" s="34" t="s">
        <v>389</v>
      </c>
      <c r="F262" s="34" t="s">
        <v>1813</v>
      </c>
      <c r="G262" s="34" t="s">
        <v>943</v>
      </c>
      <c r="H262" s="34">
        <v>3.0</v>
      </c>
      <c r="I262" s="34" t="s">
        <v>1591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1562</v>
      </c>
      <c r="D263" s="34">
        <v>1.0</v>
      </c>
      <c r="E263" s="34" t="s">
        <v>385</v>
      </c>
      <c r="F263" s="34" t="s">
        <v>1821</v>
      </c>
      <c r="G263" s="34" t="s">
        <v>1822</v>
      </c>
      <c r="H263" s="34">
        <v>6.0</v>
      </c>
      <c r="I263" s="34" t="s">
        <v>1765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1562</v>
      </c>
      <c r="D264" s="34">
        <v>1.0</v>
      </c>
      <c r="E264" s="34" t="s">
        <v>113</v>
      </c>
      <c r="F264" s="34" t="s">
        <v>1830</v>
      </c>
      <c r="G264" s="34" t="s">
        <v>1831</v>
      </c>
      <c r="H264" s="34">
        <v>4.0</v>
      </c>
      <c r="I264" s="34" t="s">
        <v>1765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1562</v>
      </c>
      <c r="D265" s="34">
        <v>2.0</v>
      </c>
      <c r="E265" s="34" t="s">
        <v>1783</v>
      </c>
      <c r="F265" s="34" t="s">
        <v>1841</v>
      </c>
      <c r="G265" s="34" t="s">
        <v>1842</v>
      </c>
      <c r="H265" s="34">
        <v>3.0</v>
      </c>
      <c r="I265" s="34" t="s">
        <v>1811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1562</v>
      </c>
      <c r="D266" s="34">
        <v>1.0</v>
      </c>
      <c r="E266" s="34" t="s">
        <v>240</v>
      </c>
      <c r="F266" s="34" t="s">
        <v>83</v>
      </c>
      <c r="G266" s="34" t="s">
        <v>1844</v>
      </c>
      <c r="H266" s="34">
        <v>1.0</v>
      </c>
      <c r="I266" s="34" t="s">
        <v>1845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1562</v>
      </c>
      <c r="D267" s="34">
        <v>2.0</v>
      </c>
      <c r="E267" s="34" t="s">
        <v>1855</v>
      </c>
      <c r="F267" s="34" t="s">
        <v>1856</v>
      </c>
      <c r="G267" s="34" t="s">
        <v>1318</v>
      </c>
      <c r="H267" s="34">
        <v>4.0</v>
      </c>
      <c r="I267" s="34" t="s">
        <v>1811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1562</v>
      </c>
      <c r="D268" s="34">
        <v>2.0</v>
      </c>
      <c r="E268" s="34" t="s">
        <v>1858</v>
      </c>
      <c r="F268" s="34" t="s">
        <v>1859</v>
      </c>
      <c r="G268" s="34" t="s">
        <v>1860</v>
      </c>
      <c r="H268" s="34">
        <v>6.0</v>
      </c>
      <c r="I268" s="34" t="s">
        <v>1861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1562</v>
      </c>
      <c r="D269" s="34">
        <v>2.0</v>
      </c>
      <c r="E269" s="34" t="s">
        <v>919</v>
      </c>
      <c r="F269" s="34" t="s">
        <v>1863</v>
      </c>
      <c r="G269" s="34" t="s">
        <v>1864</v>
      </c>
      <c r="H269" s="34">
        <v>3.0</v>
      </c>
      <c r="I269" s="34" t="s">
        <v>1587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1562</v>
      </c>
      <c r="D270" s="34">
        <v>1.0</v>
      </c>
      <c r="E270" s="34" t="s">
        <v>389</v>
      </c>
      <c r="F270" s="34" t="s">
        <v>1866</v>
      </c>
      <c r="G270" s="34" t="s">
        <v>1867</v>
      </c>
      <c r="H270" s="34">
        <v>2.0</v>
      </c>
      <c r="I270" s="34" t="s">
        <v>1591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1562</v>
      </c>
      <c r="D271" s="34">
        <v>2.0</v>
      </c>
      <c r="E271" s="34" t="s">
        <v>540</v>
      </c>
      <c r="F271" s="34" t="s">
        <v>1879</v>
      </c>
      <c r="G271" s="34" t="s">
        <v>121</v>
      </c>
      <c r="H271" s="34">
        <v>2.0</v>
      </c>
      <c r="I271" s="34" t="s">
        <v>1591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1562</v>
      </c>
      <c r="D272" s="34">
        <v>2.0</v>
      </c>
      <c r="E272" s="34" t="s">
        <v>1585</v>
      </c>
      <c r="F272" s="34" t="s">
        <v>1881</v>
      </c>
      <c r="G272" s="34" t="s">
        <v>1882</v>
      </c>
      <c r="H272" s="34">
        <v>5.0</v>
      </c>
      <c r="I272" s="34" t="s">
        <v>1596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1562</v>
      </c>
      <c r="D273" s="34">
        <v>1.0</v>
      </c>
      <c r="E273" s="34" t="s">
        <v>1855</v>
      </c>
      <c r="F273" s="34" t="s">
        <v>1884</v>
      </c>
      <c r="G273" s="34" t="s">
        <v>1885</v>
      </c>
      <c r="H273" s="34">
        <v>3.0</v>
      </c>
      <c r="I273" s="34" t="s">
        <v>1591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1562</v>
      </c>
      <c r="D274" s="34">
        <v>2.0</v>
      </c>
      <c r="E274" s="34" t="s">
        <v>1455</v>
      </c>
      <c r="F274" s="34" t="s">
        <v>1894</v>
      </c>
      <c r="G274" s="34" t="s">
        <v>1895</v>
      </c>
      <c r="H274" s="34">
        <v>1.0</v>
      </c>
      <c r="I274" s="34" t="s">
        <v>1564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1897</v>
      </c>
      <c r="D275" s="34">
        <v>0.0</v>
      </c>
      <c r="E275" s="34" t="s">
        <v>1898</v>
      </c>
      <c r="F275" s="34" t="s">
        <v>1899</v>
      </c>
      <c r="G275" s="34" t="s">
        <v>1900</v>
      </c>
      <c r="H275" s="34">
        <v>7.0</v>
      </c>
      <c r="I275" s="34" t="s">
        <v>1901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1897</v>
      </c>
      <c r="D276" s="34">
        <v>2.0</v>
      </c>
      <c r="E276" s="34" t="s">
        <v>1903</v>
      </c>
      <c r="F276" s="34" t="s">
        <v>1904</v>
      </c>
      <c r="G276" s="34" t="s">
        <v>1905</v>
      </c>
      <c r="H276" s="34">
        <v>3.0</v>
      </c>
      <c r="I276" s="34" t="s">
        <v>1906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1562</v>
      </c>
      <c r="D277" s="34">
        <v>1.0</v>
      </c>
      <c r="E277" s="34" t="s">
        <v>299</v>
      </c>
      <c r="F277" s="34" t="s">
        <v>1908</v>
      </c>
      <c r="G277" s="34" t="s">
        <v>1909</v>
      </c>
      <c r="H277" s="34">
        <v>3.0</v>
      </c>
      <c r="I277" s="34" t="s">
        <v>1591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1562</v>
      </c>
      <c r="D278" s="34">
        <v>1.0</v>
      </c>
      <c r="E278" s="34" t="s">
        <v>1783</v>
      </c>
      <c r="F278" s="34" t="s">
        <v>1916</v>
      </c>
      <c r="G278" s="34"/>
      <c r="H278" s="34">
        <v>4.0</v>
      </c>
      <c r="I278" s="34" t="s">
        <v>1811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1562</v>
      </c>
      <c r="D279" s="34">
        <v>1.0</v>
      </c>
      <c r="E279" s="34" t="s">
        <v>385</v>
      </c>
      <c r="F279" s="34" t="s">
        <v>1922</v>
      </c>
      <c r="G279" s="34" t="s">
        <v>1923</v>
      </c>
      <c r="H279" s="34">
        <v>5.0</v>
      </c>
      <c r="I279" s="34" t="s">
        <v>1765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1562</v>
      </c>
      <c r="D280" s="34">
        <v>0.0</v>
      </c>
      <c r="E280" s="34" t="s">
        <v>113</v>
      </c>
      <c r="F280" s="34" t="s">
        <v>1928</v>
      </c>
      <c r="G280" s="34" t="s">
        <v>1929</v>
      </c>
      <c r="H280" s="34">
        <v>2.0</v>
      </c>
      <c r="I280" s="34" t="s">
        <v>1564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1562</v>
      </c>
      <c r="D281" s="34">
        <v>1.0</v>
      </c>
      <c r="E281" s="34" t="s">
        <v>662</v>
      </c>
      <c r="F281" s="34" t="s">
        <v>1931</v>
      </c>
      <c r="G281" s="34" t="s">
        <v>1932</v>
      </c>
      <c r="H281" s="34">
        <v>3.0</v>
      </c>
      <c r="I281" s="34" t="s">
        <v>1587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1562</v>
      </c>
      <c r="D282" s="34">
        <v>1.0</v>
      </c>
      <c r="E282" s="34" t="s">
        <v>1455</v>
      </c>
      <c r="F282" s="34" t="s">
        <v>1938</v>
      </c>
      <c r="G282" s="34" t="s">
        <v>1939</v>
      </c>
      <c r="H282" s="34">
        <v>3.0</v>
      </c>
      <c r="I282" s="34" t="s">
        <v>1795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1948</v>
      </c>
      <c r="D283" s="34">
        <v>2.0</v>
      </c>
      <c r="E283" s="34" t="s">
        <v>126</v>
      </c>
      <c r="F283" s="34" t="s">
        <v>1949</v>
      </c>
      <c r="G283" s="34" t="s">
        <v>1950</v>
      </c>
      <c r="H283" s="34">
        <v>1.0</v>
      </c>
      <c r="I283" s="34" t="s">
        <v>1951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1562</v>
      </c>
      <c r="D284" s="34">
        <v>1.0</v>
      </c>
      <c r="E284" s="34" t="s">
        <v>1858</v>
      </c>
      <c r="F284" s="34" t="s">
        <v>1953</v>
      </c>
      <c r="G284" s="34" t="s">
        <v>1954</v>
      </c>
      <c r="H284" s="34">
        <v>2.0</v>
      </c>
      <c r="I284" s="34" t="s">
        <v>1564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1948</v>
      </c>
      <c r="D285" s="34">
        <v>2.0</v>
      </c>
      <c r="E285" s="34" t="s">
        <v>1962</v>
      </c>
      <c r="F285" s="34" t="s">
        <v>1963</v>
      </c>
      <c r="G285" s="34" t="s">
        <v>1964</v>
      </c>
      <c r="H285" s="34">
        <v>4.0</v>
      </c>
      <c r="I285" s="34" t="s">
        <v>1965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1948</v>
      </c>
      <c r="D286" s="34">
        <v>2.0</v>
      </c>
      <c r="E286" s="34" t="s">
        <v>1967</v>
      </c>
      <c r="F286" s="34" t="s">
        <v>1968</v>
      </c>
      <c r="G286" s="34" t="s">
        <v>1969</v>
      </c>
      <c r="H286" s="34">
        <v>4.0</v>
      </c>
      <c r="I286" s="34" t="s">
        <v>1970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1948</v>
      </c>
      <c r="D287" s="34">
        <v>2.0</v>
      </c>
      <c r="E287" s="34" t="s">
        <v>1972</v>
      </c>
      <c r="F287" s="34" t="s">
        <v>1973</v>
      </c>
      <c r="G287" s="34" t="s">
        <v>1974</v>
      </c>
      <c r="H287" s="34">
        <v>3.0</v>
      </c>
      <c r="I287" s="34" t="s">
        <v>1975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1948</v>
      </c>
      <c r="D288" s="34">
        <v>2.0</v>
      </c>
      <c r="E288" s="34" t="s">
        <v>183</v>
      </c>
      <c r="F288" s="34" t="s">
        <v>1977</v>
      </c>
      <c r="G288" s="34" t="s">
        <v>1978</v>
      </c>
      <c r="H288" s="34">
        <v>0.0</v>
      </c>
      <c r="I288" s="34" t="s">
        <v>1979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1948</v>
      </c>
      <c r="D289" s="34">
        <v>2.0</v>
      </c>
      <c r="E289" s="34" t="s">
        <v>126</v>
      </c>
      <c r="F289" s="34" t="s">
        <v>1981</v>
      </c>
      <c r="G289" s="34" t="s">
        <v>1982</v>
      </c>
      <c r="H289" s="34">
        <v>3.0</v>
      </c>
      <c r="I289" s="34" t="s">
        <v>1975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1948</v>
      </c>
      <c r="D290" s="34">
        <v>2.0</v>
      </c>
      <c r="E290" s="34" t="s">
        <v>998</v>
      </c>
      <c r="F290" s="34" t="s">
        <v>1984</v>
      </c>
      <c r="G290" s="34" t="s">
        <v>1985</v>
      </c>
      <c r="H290" s="34">
        <v>0.0</v>
      </c>
      <c r="I290" s="34" t="s">
        <v>1979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1948</v>
      </c>
      <c r="D291" s="34">
        <v>2.0</v>
      </c>
      <c r="E291" s="34" t="s">
        <v>126</v>
      </c>
      <c r="F291" s="34" t="s">
        <v>1987</v>
      </c>
      <c r="G291" s="34" t="s">
        <v>664</v>
      </c>
      <c r="H291" s="34">
        <v>4.0</v>
      </c>
      <c r="I291" s="34" t="s">
        <v>1988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1948</v>
      </c>
      <c r="D292" s="34">
        <v>2.0</v>
      </c>
      <c r="E292" s="34" t="s">
        <v>1972</v>
      </c>
      <c r="F292" s="34" t="s">
        <v>1990</v>
      </c>
      <c r="G292" s="34" t="s">
        <v>664</v>
      </c>
      <c r="H292" s="34">
        <v>1.0</v>
      </c>
      <c r="I292" s="34" t="s">
        <v>1991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1948</v>
      </c>
      <c r="D293" s="34">
        <v>2.0</v>
      </c>
      <c r="E293" s="34" t="s">
        <v>203</v>
      </c>
      <c r="F293" s="34" t="s">
        <v>1993</v>
      </c>
      <c r="G293" s="34" t="s">
        <v>1982</v>
      </c>
      <c r="H293" s="34">
        <v>5.0</v>
      </c>
      <c r="I293" s="34" t="s">
        <v>1965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1562</v>
      </c>
      <c r="D294" s="34">
        <v>1.0</v>
      </c>
      <c r="E294" s="34" t="s">
        <v>1455</v>
      </c>
      <c r="F294" s="34" t="s">
        <v>1995</v>
      </c>
      <c r="G294" s="34" t="s">
        <v>1996</v>
      </c>
      <c r="H294" s="34">
        <v>2.0</v>
      </c>
      <c r="I294" s="34" t="s">
        <v>1564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1948</v>
      </c>
      <c r="D295" s="34">
        <v>2.0</v>
      </c>
      <c r="E295" s="34" t="s">
        <v>1972</v>
      </c>
      <c r="F295" s="34" t="s">
        <v>2003</v>
      </c>
      <c r="G295" s="34" t="s">
        <v>664</v>
      </c>
      <c r="H295" s="34">
        <v>1.0</v>
      </c>
      <c r="I295" s="34" t="s">
        <v>1951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1562</v>
      </c>
      <c r="D296" s="34">
        <v>1.0</v>
      </c>
      <c r="E296" s="34" t="s">
        <v>2005</v>
      </c>
      <c r="F296" s="34" t="s">
        <v>2006</v>
      </c>
      <c r="G296" s="34" t="s">
        <v>2007</v>
      </c>
      <c r="H296" s="34">
        <v>5.0</v>
      </c>
      <c r="I296" s="34" t="s">
        <v>2008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1562</v>
      </c>
      <c r="D297" s="34">
        <v>0.0</v>
      </c>
      <c r="E297" s="34" t="s">
        <v>662</v>
      </c>
      <c r="F297" s="34" t="s">
        <v>2016</v>
      </c>
      <c r="G297" s="34" t="s">
        <v>2017</v>
      </c>
      <c r="H297" s="34">
        <v>2.0</v>
      </c>
      <c r="I297" s="34" t="s">
        <v>1564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1562</v>
      </c>
      <c r="D298" s="34">
        <v>1.0</v>
      </c>
      <c r="E298" s="34" t="s">
        <v>1763</v>
      </c>
      <c r="F298" s="34" t="s">
        <v>2019</v>
      </c>
      <c r="G298" s="34" t="s">
        <v>2020</v>
      </c>
      <c r="H298" s="34">
        <v>7.0</v>
      </c>
      <c r="I298" s="34" t="s">
        <v>1789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1562</v>
      </c>
      <c r="D299" s="34">
        <v>1.0</v>
      </c>
      <c r="E299" s="34" t="s">
        <v>1805</v>
      </c>
      <c r="F299" s="34" t="s">
        <v>2028</v>
      </c>
      <c r="G299" s="34" t="s">
        <v>2029</v>
      </c>
      <c r="H299" s="34">
        <v>4.0</v>
      </c>
      <c r="I299" s="34" t="s">
        <v>1765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1948</v>
      </c>
      <c r="D300" s="34">
        <v>2.0</v>
      </c>
      <c r="E300" s="34" t="s">
        <v>1233</v>
      </c>
      <c r="F300" s="34" t="s">
        <v>2039</v>
      </c>
      <c r="G300" s="34" t="s">
        <v>2040</v>
      </c>
      <c r="H300" s="34">
        <v>3.0</v>
      </c>
      <c r="I300" s="34" t="s">
        <v>1975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1948</v>
      </c>
      <c r="D301" s="34">
        <v>2.0</v>
      </c>
      <c r="E301" s="34" t="s">
        <v>39</v>
      </c>
      <c r="F301" s="34" t="s">
        <v>2042</v>
      </c>
      <c r="G301" s="34" t="s">
        <v>2043</v>
      </c>
      <c r="H301" s="34">
        <v>6.0</v>
      </c>
      <c r="I301" s="34" t="s">
        <v>2044</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1948</v>
      </c>
      <c r="D302" s="34">
        <v>2.0</v>
      </c>
      <c r="E302" s="34" t="s">
        <v>1972</v>
      </c>
      <c r="F302" s="34" t="s">
        <v>2046</v>
      </c>
      <c r="G302" s="34" t="s">
        <v>2047</v>
      </c>
      <c r="H302" s="34">
        <v>2.0</v>
      </c>
      <c r="I302" s="34" t="s">
        <v>1979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1948</v>
      </c>
      <c r="D303" s="34">
        <v>2.0</v>
      </c>
      <c r="E303" s="34" t="s">
        <v>1048</v>
      </c>
      <c r="F303" s="34" t="s">
        <v>2049</v>
      </c>
      <c r="G303" s="34" t="s">
        <v>838</v>
      </c>
      <c r="H303" s="34">
        <v>5.0</v>
      </c>
      <c r="I303" s="34" t="s">
        <v>2050</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1562</v>
      </c>
      <c r="D304" s="34">
        <v>1.0</v>
      </c>
      <c r="E304" s="34" t="s">
        <v>299</v>
      </c>
      <c r="F304" s="34" t="s">
        <v>2052</v>
      </c>
      <c r="G304" s="34" t="s">
        <v>2053</v>
      </c>
      <c r="H304" s="34">
        <v>5.0</v>
      </c>
      <c r="I304" s="34" t="s">
        <v>1765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1562</v>
      </c>
      <c r="D305" s="34">
        <v>1.0</v>
      </c>
      <c r="E305" s="34" t="s">
        <v>389</v>
      </c>
      <c r="F305" s="34" t="s">
        <v>2059</v>
      </c>
      <c r="G305" s="34"/>
      <c r="H305" s="34">
        <v>4.0</v>
      </c>
      <c r="I305" s="34" t="s">
        <v>1765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1948</v>
      </c>
      <c r="D306" s="34">
        <v>2.0</v>
      </c>
      <c r="E306" s="34" t="s">
        <v>2065</v>
      </c>
      <c r="F306" s="34" t="s">
        <v>2066</v>
      </c>
      <c r="G306" s="34" t="s">
        <v>2067</v>
      </c>
      <c r="H306" s="34">
        <v>3.0</v>
      </c>
      <c r="I306" s="34" t="s">
        <v>1979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1562</v>
      </c>
      <c r="D307" s="34">
        <v>1.0</v>
      </c>
      <c r="E307" s="34" t="s">
        <v>2069</v>
      </c>
      <c r="F307" s="34" t="s">
        <v>2070</v>
      </c>
      <c r="G307" s="34" t="s">
        <v>2071</v>
      </c>
      <c r="H307" s="34">
        <v>1.0</v>
      </c>
      <c r="I307" s="34" t="s">
        <v>1564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1562</v>
      </c>
      <c r="D308" s="34">
        <v>1.0</v>
      </c>
      <c r="E308" s="34" t="s">
        <v>299</v>
      </c>
      <c r="F308" s="34" t="s">
        <v>2084</v>
      </c>
      <c r="G308" s="34" t="s">
        <v>2085</v>
      </c>
      <c r="H308" s="34">
        <v>1.0</v>
      </c>
      <c r="I308" s="34" t="s">
        <v>1591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1948</v>
      </c>
      <c r="D309" s="34">
        <v>2.0</v>
      </c>
      <c r="E309" s="34" t="s">
        <v>203</v>
      </c>
      <c r="F309" s="34" t="s">
        <v>2091</v>
      </c>
      <c r="G309" s="34" t="s">
        <v>1982</v>
      </c>
      <c r="H309" s="34">
        <v>2.0</v>
      </c>
      <c r="I309" s="34" t="s">
        <v>1975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1948</v>
      </c>
      <c r="D310" s="34">
        <v>2.0</v>
      </c>
      <c r="E310" s="34" t="s">
        <v>1903</v>
      </c>
      <c r="F310" s="34" t="s">
        <v>2093</v>
      </c>
      <c r="G310" s="34" t="s">
        <v>2094</v>
      </c>
      <c r="H310" s="34">
        <v>1.0</v>
      </c>
      <c r="I310" s="34" t="s">
        <v>2050</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1562</v>
      </c>
      <c r="D311" s="34">
        <v>1.0</v>
      </c>
      <c r="E311" s="34" t="s">
        <v>1855</v>
      </c>
      <c r="F311" s="34" t="s">
        <v>2096</v>
      </c>
      <c r="G311" s="34" t="s">
        <v>2097</v>
      </c>
      <c r="H311" s="34">
        <v>2.0</v>
      </c>
      <c r="I311" s="34" t="s">
        <v>1587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1562</v>
      </c>
      <c r="D312" s="34">
        <v>1.0</v>
      </c>
      <c r="E312" s="34" t="s">
        <v>2104</v>
      </c>
      <c r="F312" s="34" t="s">
        <v>2105</v>
      </c>
      <c r="G312" s="34" t="s">
        <v>2106</v>
      </c>
      <c r="H312" s="34">
        <v>4.0</v>
      </c>
      <c r="I312" s="34" t="s">
        <v>2107</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1562</v>
      </c>
      <c r="D313" s="34">
        <v>1.0</v>
      </c>
      <c r="E313" s="34" t="s">
        <v>1048</v>
      </c>
      <c r="F313" s="34" t="s">
        <v>2115</v>
      </c>
      <c r="G313" s="34" t="s">
        <v>2116</v>
      </c>
      <c r="H313" s="34">
        <v>6.0</v>
      </c>
      <c r="I313" s="34" t="s">
        <v>1587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1562</v>
      </c>
      <c r="D314" s="34">
        <v>1.0</v>
      </c>
      <c r="E314" s="34" t="s">
        <v>197</v>
      </c>
      <c r="F314" s="34" t="s">
        <v>2122</v>
      </c>
      <c r="G314" s="34" t="s">
        <v>2123</v>
      </c>
      <c r="H314" s="34">
        <v>4.0</v>
      </c>
      <c r="I314" s="34" t="s">
        <v>2008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1948</v>
      </c>
      <c r="D315" s="34">
        <v>2.0</v>
      </c>
      <c r="E315" s="34" t="s">
        <v>1972</v>
      </c>
      <c r="F315" s="34" t="s">
        <v>2136</v>
      </c>
      <c r="G315" s="34" t="s">
        <v>2137</v>
      </c>
      <c r="H315" s="34">
        <v>3.0</v>
      </c>
      <c r="I315" s="34" t="s">
        <v>1975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1562</v>
      </c>
      <c r="D316" s="34">
        <v>1.0</v>
      </c>
      <c r="E316" s="34" t="s">
        <v>1962</v>
      </c>
      <c r="F316" s="34" t="s">
        <v>2139</v>
      </c>
      <c r="G316" s="34" t="s">
        <v>2140</v>
      </c>
      <c r="H316" s="34">
        <v>5.0</v>
      </c>
      <c r="I316" s="34" t="s">
        <v>1765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1948</v>
      </c>
      <c r="D317" s="34">
        <v>2.0</v>
      </c>
      <c r="E317" s="34" t="s">
        <v>1671</v>
      </c>
      <c r="F317" s="34" t="s">
        <v>277</v>
      </c>
      <c r="G317" s="34" t="s">
        <v>2149</v>
      </c>
      <c r="H317" s="34">
        <v>2.0</v>
      </c>
      <c r="I317" s="34" t="s">
        <v>1979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1948</v>
      </c>
      <c r="D318" s="34">
        <v>2.0</v>
      </c>
      <c r="E318" s="34" t="s">
        <v>126</v>
      </c>
      <c r="F318" s="34" t="s">
        <v>2151</v>
      </c>
      <c r="G318" s="34" t="s">
        <v>2152</v>
      </c>
      <c r="H318" s="34">
        <v>2.0</v>
      </c>
      <c r="I318" s="34" t="s">
        <v>1979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1948</v>
      </c>
      <c r="D319" s="34">
        <v>2.0</v>
      </c>
      <c r="E319" s="34" t="s">
        <v>2154</v>
      </c>
      <c r="F319" s="34" t="s">
        <v>2155</v>
      </c>
      <c r="G319" s="34" t="s">
        <v>2156</v>
      </c>
      <c r="H319" s="34">
        <v>3.0</v>
      </c>
      <c r="I319" s="34" t="s">
        <v>2157</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1948</v>
      </c>
      <c r="D320" s="34">
        <v>2.0</v>
      </c>
      <c r="E320" s="34" t="s">
        <v>1962</v>
      </c>
      <c r="F320" s="34" t="s">
        <v>2159</v>
      </c>
      <c r="G320" s="34" t="s">
        <v>2160</v>
      </c>
      <c r="H320" s="34">
        <v>2.0</v>
      </c>
      <c r="I320" s="34" t="s">
        <v>2050</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1948</v>
      </c>
      <c r="D321" s="34">
        <v>2.0</v>
      </c>
      <c r="E321" s="34" t="s">
        <v>90</v>
      </c>
      <c r="F321" s="34" t="s">
        <v>2162</v>
      </c>
      <c r="G321" s="34" t="s">
        <v>2163</v>
      </c>
      <c r="H321" s="34">
        <v>0.0</v>
      </c>
      <c r="I321" s="34" t="s">
        <v>2050</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1562</v>
      </c>
      <c r="D322" s="34">
        <v>1.0</v>
      </c>
      <c r="E322" s="34" t="s">
        <v>389</v>
      </c>
      <c r="F322" s="34" t="s">
        <v>2165</v>
      </c>
      <c r="G322" s="34"/>
      <c r="H322" s="34">
        <v>6.0</v>
      </c>
      <c r="I322" s="34" t="s">
        <v>2166</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1562</v>
      </c>
      <c r="D323" s="34">
        <v>1.0</v>
      </c>
      <c r="E323" s="34" t="s">
        <v>299</v>
      </c>
      <c r="F323" s="34"/>
      <c r="G323" s="34"/>
      <c r="H323" s="34">
        <v>2.0</v>
      </c>
      <c r="I323" s="34" t="s">
        <v>1845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1562</v>
      </c>
      <c r="D324" s="34">
        <v>1.0</v>
      </c>
      <c r="E324" s="34" t="s">
        <v>2069</v>
      </c>
      <c r="F324" s="34"/>
      <c r="G324" s="34" t="s">
        <v>2177</v>
      </c>
      <c r="H324" s="34">
        <v>4.0</v>
      </c>
      <c r="I324" s="34" t="s">
        <v>1795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1948</v>
      </c>
      <c r="D325" s="34">
        <v>2.0</v>
      </c>
      <c r="E325" s="34" t="s">
        <v>2184</v>
      </c>
      <c r="F325" s="34" t="s">
        <v>2185</v>
      </c>
      <c r="G325" s="34" t="s">
        <v>2186</v>
      </c>
      <c r="H325" s="34">
        <v>4.0</v>
      </c>
      <c r="I325" s="34" t="s">
        <v>2050</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1562</v>
      </c>
      <c r="D326" s="34">
        <v>1.0</v>
      </c>
      <c r="E326" s="34" t="s">
        <v>919</v>
      </c>
      <c r="F326" s="34"/>
      <c r="G326" s="34"/>
      <c r="H326" s="34">
        <v>5.0</v>
      </c>
      <c r="I326" s="34" t="s">
        <v>2188</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1948</v>
      </c>
      <c r="D327" s="34">
        <v>2.0</v>
      </c>
      <c r="E327" s="34" t="s">
        <v>1233</v>
      </c>
      <c r="F327" s="34" t="s">
        <v>2197</v>
      </c>
      <c r="G327" s="34" t="s">
        <v>2198</v>
      </c>
      <c r="H327" s="34">
        <v>2.0</v>
      </c>
      <c r="I327" s="34" t="s">
        <v>1975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1562</v>
      </c>
      <c r="D328" s="34">
        <v>1.0</v>
      </c>
      <c r="E328" s="34" t="s">
        <v>1455</v>
      </c>
      <c r="F328" s="34" t="s">
        <v>2200</v>
      </c>
      <c r="G328" s="34" t="s">
        <v>2201</v>
      </c>
      <c r="H328" s="34">
        <v>1.0</v>
      </c>
      <c r="I328" s="34" t="s">
        <v>1845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1562</v>
      </c>
      <c r="D329" s="34">
        <v>1.0</v>
      </c>
      <c r="E329" s="34" t="s">
        <v>1858</v>
      </c>
      <c r="F329" s="34" t="s">
        <v>2210</v>
      </c>
      <c r="G329" s="34"/>
      <c r="H329" s="34">
        <v>6.0</v>
      </c>
      <c r="I329" s="34" t="s">
        <v>1596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1562</v>
      </c>
      <c r="D330" s="34">
        <v>1.0</v>
      </c>
      <c r="E330" s="34" t="s">
        <v>252</v>
      </c>
      <c r="F330" s="34" t="s">
        <v>2218</v>
      </c>
      <c r="G330" s="34"/>
      <c r="H330" s="34">
        <v>4.0</v>
      </c>
      <c r="I330" s="34" t="s">
        <v>2008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1948</v>
      </c>
      <c r="D331" s="34">
        <v>2.0</v>
      </c>
      <c r="E331" s="34" t="s">
        <v>652</v>
      </c>
      <c r="F331" s="34" t="s">
        <v>2226</v>
      </c>
      <c r="G331" s="34" t="s">
        <v>2227</v>
      </c>
      <c r="H331" s="34">
        <v>0.0</v>
      </c>
      <c r="I331" s="34" t="s">
        <v>1965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1948</v>
      </c>
      <c r="D332" s="34">
        <v>2.0</v>
      </c>
      <c r="E332" s="34" t="s">
        <v>344</v>
      </c>
      <c r="F332" s="34" t="s">
        <v>2229</v>
      </c>
      <c r="G332" s="34" t="s">
        <v>2230</v>
      </c>
      <c r="H332" s="34">
        <v>2.0</v>
      </c>
      <c r="I332" s="34" t="s">
        <v>2050</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1948</v>
      </c>
      <c r="D333" s="34">
        <v>2.0</v>
      </c>
      <c r="E333" s="34" t="s">
        <v>2232</v>
      </c>
      <c r="F333" s="34" t="s">
        <v>2233</v>
      </c>
      <c r="G333" s="34" t="s">
        <v>2234</v>
      </c>
      <c r="H333" s="34">
        <v>3.0</v>
      </c>
      <c r="I333" s="34" t="s">
        <v>1975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1948</v>
      </c>
      <c r="D334" s="34">
        <v>2.0</v>
      </c>
      <c r="E334" s="34" t="s">
        <v>2236</v>
      </c>
      <c r="F334" s="34" t="s">
        <v>2237</v>
      </c>
      <c r="G334" s="34" t="s">
        <v>2238</v>
      </c>
      <c r="H334" s="34">
        <v>4.0</v>
      </c>
      <c r="I334" s="34" t="s">
        <v>1965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1562</v>
      </c>
      <c r="D335" s="34">
        <v>1.0</v>
      </c>
      <c r="E335" s="34" t="s">
        <v>2240</v>
      </c>
      <c r="F335" s="34" t="s">
        <v>2241</v>
      </c>
      <c r="G335" s="34"/>
      <c r="H335" s="34">
        <v>0.0</v>
      </c>
      <c r="I335" s="34" t="s">
        <v>1596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1948</v>
      </c>
      <c r="D336" s="34">
        <v>2.0</v>
      </c>
      <c r="E336" s="34" t="s">
        <v>2247</v>
      </c>
      <c r="F336" s="34" t="s">
        <v>2248</v>
      </c>
      <c r="G336" s="34" t="s">
        <v>2249</v>
      </c>
      <c r="H336" s="34">
        <v>2.0</v>
      </c>
      <c r="I336" s="34" t="s">
        <v>1979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1948</v>
      </c>
      <c r="D337" s="34">
        <v>2.0</v>
      </c>
      <c r="E337" s="34" t="s">
        <v>183</v>
      </c>
      <c r="F337" s="34" t="s">
        <v>2251</v>
      </c>
      <c r="G337" s="34" t="s">
        <v>2252</v>
      </c>
      <c r="H337" s="34">
        <v>0.0</v>
      </c>
      <c r="I337" s="34" t="s">
        <v>2050</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2254</v>
      </c>
      <c r="F338" s="34" t="s">
        <v>2255</v>
      </c>
      <c r="G338" s="34" t="s">
        <v>2256</v>
      </c>
      <c r="H338" s="34">
        <v>3.0</v>
      </c>
      <c r="I338" s="34" t="s">
        <v>2257</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1562</v>
      </c>
      <c r="D339" s="34">
        <v>1.0</v>
      </c>
      <c r="E339" s="34" t="s">
        <v>42</v>
      </c>
      <c r="F339" s="34"/>
      <c r="G339" s="34"/>
      <c r="H339" s="34">
        <v>6.0</v>
      </c>
      <c r="I339" s="34" t="s">
        <v>2259</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1671</v>
      </c>
      <c r="F340" s="34" t="s">
        <v>277</v>
      </c>
      <c r="G340" s="34" t="s">
        <v>2270</v>
      </c>
      <c r="H340" s="34">
        <v>2.0</v>
      </c>
      <c r="I340" s="34" t="s">
        <v>2271</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2184</v>
      </c>
      <c r="F341" s="34" t="s">
        <v>2273</v>
      </c>
      <c r="G341" s="34" t="s">
        <v>2274</v>
      </c>
      <c r="H341" s="34">
        <v>9.0</v>
      </c>
      <c r="I341" s="34" t="s">
        <v>2275</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2277</v>
      </c>
      <c r="F342" s="34" t="s">
        <v>2278</v>
      </c>
      <c r="G342" s="34" t="s">
        <v>2279</v>
      </c>
      <c r="H342" s="34">
        <v>6.0</v>
      </c>
      <c r="I342" s="34" t="s">
        <v>2280</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2282</v>
      </c>
      <c r="G343" s="34" t="s">
        <v>2283</v>
      </c>
      <c r="H343" s="34">
        <v>2.0</v>
      </c>
      <c r="I343" s="34" t="s">
        <v>2271</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1562</v>
      </c>
      <c r="D344" s="34">
        <v>1.0</v>
      </c>
      <c r="E344" s="34" t="s">
        <v>389</v>
      </c>
      <c r="F344" s="34"/>
      <c r="G344" s="34" t="s">
        <v>2285</v>
      </c>
      <c r="H344" s="34">
        <v>8.0</v>
      </c>
      <c r="I344" s="34" t="s">
        <v>1789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2296</v>
      </c>
      <c r="F345" s="34" t="s">
        <v>2297</v>
      </c>
      <c r="G345" s="34" t="s">
        <v>838</v>
      </c>
      <c r="H345" s="34">
        <v>0.0</v>
      </c>
      <c r="I345" s="34" t="s">
        <v>2271</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1562</v>
      </c>
      <c r="D346" s="34">
        <v>1.0</v>
      </c>
      <c r="E346" s="34" t="s">
        <v>1017</v>
      </c>
      <c r="F346" s="34"/>
      <c r="G346" s="34"/>
      <c r="H346" s="34">
        <v>3.0</v>
      </c>
      <c r="I346" s="34" t="s">
        <v>1564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1897</v>
      </c>
      <c r="D347" s="34">
        <v>1.0</v>
      </c>
      <c r="E347" s="34" t="s">
        <v>1903</v>
      </c>
      <c r="F347" s="34" t="s">
        <v>2304</v>
      </c>
      <c r="G347" s="34" t="s">
        <v>2305</v>
      </c>
      <c r="H347" s="34">
        <v>0.0</v>
      </c>
      <c r="I347" s="34" t="s">
        <v>2306</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1897</v>
      </c>
      <c r="D348" s="34">
        <v>1.0</v>
      </c>
      <c r="E348" s="34" t="s">
        <v>998</v>
      </c>
      <c r="F348" s="34" t="s">
        <v>2314</v>
      </c>
      <c r="G348" s="34" t="s">
        <v>2315</v>
      </c>
      <c r="H348" s="34">
        <v>1.0</v>
      </c>
      <c r="I348" s="34" t="s">
        <v>2316</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1897</v>
      </c>
      <c r="D349" s="34">
        <v>1.0</v>
      </c>
      <c r="E349" s="34" t="s">
        <v>2326</v>
      </c>
      <c r="F349" s="34"/>
      <c r="G349" s="34" t="s">
        <v>2327</v>
      </c>
      <c r="H349" s="34">
        <v>2.0</v>
      </c>
      <c r="I349" s="34" t="s">
        <v>2328</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1948</v>
      </c>
      <c r="D350" s="34">
        <v>1.0</v>
      </c>
      <c r="E350" s="34" t="s">
        <v>2338</v>
      </c>
      <c r="F350" s="34" t="s">
        <v>2339</v>
      </c>
      <c r="G350" s="34" t="s">
        <v>2340</v>
      </c>
      <c r="H350" s="34">
        <v>2.0</v>
      </c>
      <c r="I350" s="34" t="s">
        <v>2341</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1948</v>
      </c>
      <c r="D351" s="34">
        <v>1.0</v>
      </c>
      <c r="E351" s="34" t="s">
        <v>2236</v>
      </c>
      <c r="F351" s="34" t="s">
        <v>2345</v>
      </c>
      <c r="G351" s="34" t="s">
        <v>2346</v>
      </c>
      <c r="H351" s="34">
        <v>4.0</v>
      </c>
      <c r="I351" s="34" t="s">
        <v>2050</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1948</v>
      </c>
      <c r="D352" s="34">
        <v>1.0</v>
      </c>
      <c r="E352" s="34" t="s">
        <v>2247</v>
      </c>
      <c r="F352" s="34" t="s">
        <v>2353</v>
      </c>
      <c r="G352" s="34" t="s">
        <v>2354</v>
      </c>
      <c r="H352" s="34">
        <v>2.0</v>
      </c>
      <c r="I352" s="34" t="s">
        <v>1975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1948</v>
      </c>
      <c r="D353" s="34">
        <v>1.0</v>
      </c>
      <c r="E353" s="34" t="s">
        <v>1233</v>
      </c>
      <c r="F353" s="34" t="s">
        <v>2359</v>
      </c>
      <c r="G353" s="34" t="s">
        <v>2360</v>
      </c>
      <c r="H353" s="34">
        <v>2.0</v>
      </c>
      <c r="I353" s="34" t="s">
        <v>1979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1948</v>
      </c>
      <c r="D354" s="34">
        <v>1.0</v>
      </c>
      <c r="E354" s="34" t="s">
        <v>2367</v>
      </c>
      <c r="F354" s="34" t="s">
        <v>2368</v>
      </c>
      <c r="G354" s="34" t="s">
        <v>2369</v>
      </c>
      <c r="H354" s="34">
        <v>2.0</v>
      </c>
      <c r="I354" s="34" t="s">
        <v>2157</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1948</v>
      </c>
      <c r="D355" s="34">
        <v>1.0</v>
      </c>
      <c r="E355" s="34" t="s">
        <v>337</v>
      </c>
      <c r="F355" s="34" t="s">
        <v>2378</v>
      </c>
      <c r="G355" s="34" t="s">
        <v>2379</v>
      </c>
      <c r="H355" s="34">
        <v>3.0</v>
      </c>
      <c r="I355" s="34" t="s">
        <v>2157</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1948</v>
      </c>
      <c r="D356" s="34">
        <v>1.0</v>
      </c>
      <c r="E356" s="34" t="s">
        <v>1233</v>
      </c>
      <c r="F356" s="34" t="s">
        <v>2385</v>
      </c>
      <c r="G356" s="34" t="s">
        <v>2386</v>
      </c>
      <c r="H356" s="34">
        <v>3.0</v>
      </c>
      <c r="I356" s="34" t="s">
        <v>1975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1948</v>
      </c>
      <c r="D357" s="34">
        <v>1.0</v>
      </c>
      <c r="E357" s="34" t="s">
        <v>1233</v>
      </c>
      <c r="F357" s="34" t="s">
        <v>2391</v>
      </c>
      <c r="G357" s="34" t="s">
        <v>2392</v>
      </c>
      <c r="H357" s="34">
        <v>3.0</v>
      </c>
      <c r="I357" s="34" t="s">
        <v>1975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1948</v>
      </c>
      <c r="D358" s="34">
        <v>1.0</v>
      </c>
      <c r="E358" s="34" t="s">
        <v>1972</v>
      </c>
      <c r="F358" s="34" t="s">
        <v>2399</v>
      </c>
      <c r="G358" s="34" t="s">
        <v>2400</v>
      </c>
      <c r="H358" s="34">
        <v>2.0</v>
      </c>
      <c r="I358" s="34" t="s">
        <v>1979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1948</v>
      </c>
      <c r="D359" s="34">
        <v>1.0</v>
      </c>
      <c r="E359" s="34" t="s">
        <v>1898</v>
      </c>
      <c r="F359" s="34" t="s">
        <v>2412</v>
      </c>
      <c r="G359" s="34" t="s">
        <v>2413</v>
      </c>
      <c r="H359" s="34">
        <v>4.0</v>
      </c>
      <c r="I359" s="34" t="s">
        <v>2157</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1948</v>
      </c>
      <c r="D360" s="34">
        <v>1.0</v>
      </c>
      <c r="E360" s="34" t="s">
        <v>183</v>
      </c>
      <c r="F360" s="34" t="s">
        <v>2422</v>
      </c>
      <c r="G360" s="34" t="s">
        <v>2423</v>
      </c>
      <c r="H360" s="34">
        <v>0.0</v>
      </c>
      <c r="I360" s="34" t="s">
        <v>1975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1948</v>
      </c>
      <c r="D361" s="34">
        <v>1.0</v>
      </c>
      <c r="E361" s="34" t="s">
        <v>1522</v>
      </c>
      <c r="F361" s="34" t="s">
        <v>2434</v>
      </c>
      <c r="G361" s="34" t="s">
        <v>2435</v>
      </c>
      <c r="H361" s="34">
        <v>4.0</v>
      </c>
      <c r="I361" s="34" t="s">
        <v>1965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2443</v>
      </c>
      <c r="F362" s="34" t="s">
        <v>2444</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1948</v>
      </c>
      <c r="D363" s="34">
        <v>3.0</v>
      </c>
      <c r="E363" s="34" t="s">
        <v>2446</v>
      </c>
      <c r="F363" s="34" t="s">
        <v>2447</v>
      </c>
      <c r="G363" s="34"/>
      <c r="H363" s="34">
        <v>3.0</v>
      </c>
      <c r="I363" s="34" t="s">
        <v>2448</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1058</v>
      </c>
      <c r="D364" s="34">
        <v>3.0</v>
      </c>
      <c r="E364" s="34" t="s">
        <v>39</v>
      </c>
      <c r="F364" s="34" t="s">
        <v>2450</v>
      </c>
      <c r="G364" s="34"/>
      <c r="H364" s="34">
        <v>1.0</v>
      </c>
      <c r="I364" s="34" t="s">
        <v>1088</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632</v>
      </c>
      <c r="F365" s="34" t="s">
        <v>2452</v>
      </c>
      <c r="G365" s="34"/>
      <c r="H365" s="34">
        <v>3.0</v>
      </c>
      <c r="I365" s="34" t="s">
        <v>587</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972</v>
      </c>
      <c r="D366" s="34">
        <v>3.0</v>
      </c>
      <c r="E366" s="34" t="s">
        <v>2454</v>
      </c>
      <c r="F366" s="34" t="s">
        <v>2455</v>
      </c>
      <c r="G366" s="34"/>
      <c r="H366" s="34">
        <v>6.0</v>
      </c>
      <c r="I366" s="34" t="s">
        <v>2456</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2458</v>
      </c>
      <c r="F367" s="34" t="s">
        <v>2459</v>
      </c>
      <c r="G367" s="34"/>
      <c r="H367" s="34">
        <v>5.0</v>
      </c>
      <c r="I367" s="34" t="s">
        <v>2460</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1562</v>
      </c>
      <c r="D368" s="34">
        <v>3.0</v>
      </c>
      <c r="E368" s="34" t="s">
        <v>2462</v>
      </c>
      <c r="F368" s="34" t="s">
        <v>2463</v>
      </c>
      <c r="G368" s="34"/>
      <c r="H368" s="34">
        <v>5.0</v>
      </c>
      <c r="I368" s="34" t="s">
        <v>1596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2465</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2467</v>
      </c>
      <c r="F370" s="34" t="s">
        <v>2468</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895</v>
      </c>
      <c r="D371" s="34">
        <v>3.0</v>
      </c>
      <c r="E371" s="34" t="s">
        <v>2470</v>
      </c>
      <c r="F371" s="34" t="s">
        <v>2471</v>
      </c>
      <c r="G371" s="34"/>
      <c r="H371" s="34">
        <v>3.0</v>
      </c>
      <c r="I371" s="34" t="s">
        <v>2472</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1948</v>
      </c>
      <c r="D372" s="34">
        <v>3.0</v>
      </c>
      <c r="E372" s="34" t="s">
        <v>2474</v>
      </c>
      <c r="F372" s="34" t="s">
        <v>2475</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1562</v>
      </c>
      <c r="D373" s="34">
        <v>3.0</v>
      </c>
      <c r="E373" s="34" t="s">
        <v>1455</v>
      </c>
      <c r="F373" s="34" t="s">
        <v>2477</v>
      </c>
      <c r="G373" s="34"/>
      <c r="H373" s="34">
        <v>3.0</v>
      </c>
      <c r="I373" s="34" t="s">
        <v>1591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1948</v>
      </c>
      <c r="D374" s="34">
        <v>3.0</v>
      </c>
      <c r="E374" s="34" t="s">
        <v>2479</v>
      </c>
      <c r="F374" s="34" t="s">
        <v>2480</v>
      </c>
      <c r="G374" s="34"/>
      <c r="H374" s="34">
        <v>4.0</v>
      </c>
      <c r="I374" s="34" t="s">
        <v>2157</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2482</v>
      </c>
      <c r="D375" s="34">
        <v>3.0</v>
      </c>
      <c r="E375" s="34" t="s">
        <v>30</v>
      </c>
      <c r="F375" s="34" t="s">
        <v>2483</v>
      </c>
      <c r="G375" s="34"/>
      <c r="H375" s="34">
        <v>3.0</v>
      </c>
      <c r="I375" s="34" t="s">
        <v>2484</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2486</v>
      </c>
      <c r="F376" s="34" t="s">
        <v>2487</v>
      </c>
      <c r="G376" s="34"/>
      <c r="H376" s="34">
        <v>5.0</v>
      </c>
      <c r="I376" s="34" t="s">
        <v>527</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2489</v>
      </c>
      <c r="G377" s="34" t="s">
        <v>3693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2491</v>
      </c>
      <c r="F378" s="34" t="s">
        <v>2492</v>
      </c>
      <c r="G378" s="34"/>
      <c r="H378" s="34">
        <v>2.0</v>
      </c>
      <c r="I378" s="34" t="s">
        <v>587</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1562</v>
      </c>
      <c r="D379" s="34">
        <v>3.0</v>
      </c>
      <c r="E379" s="34" t="s">
        <v>82</v>
      </c>
      <c r="F379" s="34" t="s">
        <v>2494</v>
      </c>
      <c r="G379" s="34" t="s">
        <v>3693</v>
      </c>
      <c r="H379" s="34">
        <v>3.0</v>
      </c>
      <c r="I379" s="34" t="s">
        <v>1765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2497</v>
      </c>
      <c r="G380" s="34" t="s">
        <v>3694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2499</v>
      </c>
      <c r="F381" s="34" t="s">
        <v>2500</v>
      </c>
      <c r="G381" s="34" t="s">
        <v>3693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1504</v>
      </c>
      <c r="F382" s="34" t="s">
        <v>2502</v>
      </c>
      <c r="G382" s="34" t="s">
        <v>3693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2504</v>
      </c>
      <c r="G383" s="34" t="s">
        <v>3695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2506</v>
      </c>
      <c r="G384" s="34" t="s">
        <v>3696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1562</v>
      </c>
      <c r="D386" s="34">
        <v>3.0</v>
      </c>
      <c r="E386" s="34" t="s">
        <v>39</v>
      </c>
      <c r="F386" s="34" t="s">
        <v>2510</v>
      </c>
      <c r="G386" s="34"/>
      <c r="H386" s="34">
        <v>1.0</v>
      </c>
      <c r="I386" s="34" t="s">
        <v>1795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1058</v>
      </c>
      <c r="D387" s="34">
        <v>3.0</v>
      </c>
      <c r="E387" s="34" t="s">
        <v>698</v>
      </c>
      <c r="F387" s="34" t="s">
        <v>2513</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1058</v>
      </c>
      <c r="D388" s="34">
        <v>3.0</v>
      </c>
      <c r="E388" s="34" t="s">
        <v>337</v>
      </c>
      <c r="F388" s="34"/>
      <c r="G388" s="34" t="s">
        <v>3693</v>
      </c>
      <c r="H388" s="34" t="s">
        <v>28</v>
      </c>
      <c r="I388" s="34"/>
      <c r="J388" s="20" t="s">
        <v>3693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2516</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2521</v>
      </c>
      <c r="F390" s="34" t="s">
        <v>2522</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2525</v>
      </c>
      <c r="F391" s="34" t="s">
        <v>2526</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2525</v>
      </c>
      <c r="F392" s="34" t="s">
        <v>2528</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2525</v>
      </c>
      <c r="F393" s="34" t="s">
        <v>2530</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2525</v>
      </c>
      <c r="F394" s="34" t="s">
        <v>2532</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2525</v>
      </c>
      <c r="F395" s="34" t="s">
        <v>2534</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2536</v>
      </c>
      <c r="G396" s="34"/>
      <c r="H396" s="34"/>
      <c r="I396" s="34" t="s">
        <v>476</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2539</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1948</v>
      </c>
      <c r="D398" s="34">
        <v>1.0</v>
      </c>
      <c r="E398" s="34" t="s">
        <v>1903</v>
      </c>
      <c r="F398" s="34" t="s">
        <v>2541</v>
      </c>
      <c r="G398" s="34" t="s">
        <v>2542</v>
      </c>
      <c r="H398" s="34">
        <v>1.0</v>
      </c>
      <c r="I398" s="34" t="s">
        <v>1979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1948</v>
      </c>
      <c r="D399" s="34">
        <v>1.0</v>
      </c>
      <c r="E399" s="34" t="s">
        <v>998</v>
      </c>
      <c r="F399" s="34" t="s">
        <v>637</v>
      </c>
      <c r="G399" s="34" t="s">
        <v>2549</v>
      </c>
      <c r="H399" s="34">
        <v>3.0</v>
      </c>
      <c r="I399" s="34" t="s">
        <v>1975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1948</v>
      </c>
      <c r="D400" s="34">
        <v>1.0</v>
      </c>
      <c r="E400" s="34" t="s">
        <v>998</v>
      </c>
      <c r="F400" s="34" t="s">
        <v>2560</v>
      </c>
      <c r="G400" s="34" t="s">
        <v>2561</v>
      </c>
      <c r="H400" s="34">
        <v>4.0</v>
      </c>
      <c r="I400" s="34" t="s">
        <v>2050</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1948</v>
      </c>
      <c r="D401" s="34">
        <v>1.0</v>
      </c>
      <c r="E401" s="34" t="s">
        <v>1962</v>
      </c>
      <c r="F401" s="34" t="s">
        <v>2567</v>
      </c>
      <c r="G401" s="34" t="s">
        <v>2568</v>
      </c>
      <c r="H401" s="34">
        <v>4.0</v>
      </c>
      <c r="I401" s="34" t="s">
        <v>2050</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1948</v>
      </c>
      <c r="D402" s="34">
        <v>1.0</v>
      </c>
      <c r="E402" s="34" t="s">
        <v>203</v>
      </c>
      <c r="F402" s="34" t="s">
        <v>2574</v>
      </c>
      <c r="G402" s="34" t="s">
        <v>2575</v>
      </c>
      <c r="H402" s="34">
        <v>5.0</v>
      </c>
      <c r="I402" s="34" t="s">
        <v>1965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1948</v>
      </c>
      <c r="D403" s="34">
        <v>1.0</v>
      </c>
      <c r="E403" s="34" t="s">
        <v>126</v>
      </c>
      <c r="F403" s="34" t="s">
        <v>2583</v>
      </c>
      <c r="G403" s="34" t="s">
        <v>2584</v>
      </c>
      <c r="H403" s="34">
        <v>1.0</v>
      </c>
      <c r="I403" s="34" t="s">
        <v>1975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1948</v>
      </c>
      <c r="D404" s="34">
        <v>1.0</v>
      </c>
      <c r="E404" s="34" t="s">
        <v>2593</v>
      </c>
      <c r="F404" s="34" t="s">
        <v>2594</v>
      </c>
      <c r="G404" s="34" t="s">
        <v>2595</v>
      </c>
      <c r="H404" s="34">
        <v>2.0</v>
      </c>
      <c r="I404" s="34" t="s">
        <v>1979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1948</v>
      </c>
      <c r="D405" s="34">
        <v>1.0</v>
      </c>
      <c r="E405" s="34" t="s">
        <v>652</v>
      </c>
      <c r="F405" s="34" t="s">
        <v>2608</v>
      </c>
      <c r="G405" s="34" t="s">
        <v>2609</v>
      </c>
      <c r="H405" s="34">
        <v>9.0</v>
      </c>
      <c r="I405" s="34" t="s">
        <v>2050</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1948</v>
      </c>
      <c r="D406" s="34">
        <v>1.0</v>
      </c>
      <c r="E406" s="34" t="s">
        <v>2621</v>
      </c>
      <c r="F406" s="34" t="s">
        <v>2622</v>
      </c>
      <c r="G406" s="34" t="s">
        <v>2623</v>
      </c>
      <c r="H406" s="34">
        <v>6.0</v>
      </c>
      <c r="I406" s="34" t="s">
        <v>2044</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1948</v>
      </c>
      <c r="D407" s="34">
        <v>1.0</v>
      </c>
      <c r="E407" s="34" t="s">
        <v>2236</v>
      </c>
      <c r="F407" s="34" t="s">
        <v>2633</v>
      </c>
      <c r="G407" s="34"/>
      <c r="H407" s="34">
        <v>6.0</v>
      </c>
      <c r="I407" s="34" t="s">
        <v>1970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1948</v>
      </c>
      <c r="D408" s="34">
        <v>1.0</v>
      </c>
      <c r="E408" s="34" t="s">
        <v>1504</v>
      </c>
      <c r="F408" s="34"/>
      <c r="G408" s="34" t="s">
        <v>2646</v>
      </c>
      <c r="H408" s="34">
        <v>1.0</v>
      </c>
      <c r="I408" s="34" t="s">
        <v>1951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1948</v>
      </c>
      <c r="D409" s="34">
        <v>1.0</v>
      </c>
      <c r="E409" s="34" t="s">
        <v>1585</v>
      </c>
      <c r="F409" s="34"/>
      <c r="G409" s="34"/>
      <c r="H409" s="34">
        <v>2.0</v>
      </c>
      <c r="I409" s="34" t="s">
        <v>1979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1948</v>
      </c>
      <c r="D410" s="34">
        <v>1.0</v>
      </c>
      <c r="E410" s="34" t="s">
        <v>2232</v>
      </c>
      <c r="F410" s="34"/>
      <c r="G410" s="34" t="s">
        <v>2663</v>
      </c>
      <c r="H410" s="34">
        <v>5.0</v>
      </c>
      <c r="I410" s="34" t="s">
        <v>2050</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1948</v>
      </c>
      <c r="D411" s="34">
        <v>1.0</v>
      </c>
      <c r="E411" s="34" t="s">
        <v>1967</v>
      </c>
      <c r="F411" s="34"/>
      <c r="G411" s="34" t="s">
        <v>2674</v>
      </c>
      <c r="H411" s="34">
        <v>6.0</v>
      </c>
      <c r="I411" s="34" t="s">
        <v>1965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1948</v>
      </c>
      <c r="D412" s="34">
        <v>1.0</v>
      </c>
      <c r="E412" s="34" t="s">
        <v>268</v>
      </c>
      <c r="F412" s="34"/>
      <c r="G412" s="34" t="s">
        <v>2686</v>
      </c>
      <c r="H412" s="34">
        <v>4.0</v>
      </c>
      <c r="I412" s="34" t="s">
        <v>2157</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1948</v>
      </c>
      <c r="D413" s="34">
        <v>1.0</v>
      </c>
      <c r="E413" s="34" t="s">
        <v>304</v>
      </c>
      <c r="F413" s="34"/>
      <c r="G413" s="34"/>
      <c r="H413" s="34">
        <v>3.0</v>
      </c>
      <c r="I413" s="34" t="s">
        <v>1975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1948</v>
      </c>
      <c r="D414" s="34">
        <v>1.0</v>
      </c>
      <c r="E414" s="34" t="s">
        <v>2708</v>
      </c>
      <c r="F414" s="34" t="s">
        <v>62</v>
      </c>
      <c r="G414" s="34"/>
      <c r="H414" s="34">
        <v>5.0</v>
      </c>
      <c r="I414" s="34" t="s">
        <v>2709</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IFERROR(__xludf.DUMMYFUNCTION("""COMPUTED_VALUE"""),"Shademaw")</f>
        <v>Shademaw</v>
      </c>
      <c r="B415" s="34" t="str">
        <f t="array" ref="B415:J415">XLOOKUP($A415,Cards!$A$2:$A1000,Cards!$B$2:$J1000,"")</f>
        <v>Unit</v>
      </c>
      <c r="C415" s="34" t="s">
        <v>1948</v>
      </c>
      <c r="D415" s="34">
        <v>1.0</v>
      </c>
      <c r="E415" s="34" t="s">
        <v>814</v>
      </c>
      <c r="F415" s="34" t="s">
        <v>2719</v>
      </c>
      <c r="G415" s="34"/>
      <c r="H415" s="34">
        <v>3.0</v>
      </c>
      <c r="I415" s="34" t="s">
        <v>1965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1948</v>
      </c>
      <c r="D416" s="34">
        <v>1.0</v>
      </c>
      <c r="E416" s="34" t="s">
        <v>1903</v>
      </c>
      <c r="F416" s="34" t="s">
        <v>2731</v>
      </c>
      <c r="G416" s="34"/>
      <c r="H416" s="34">
        <v>3.0</v>
      </c>
      <c r="I416" s="34" t="s">
        <v>2341</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1948</v>
      </c>
      <c r="D417" s="34">
        <v>1.0</v>
      </c>
      <c r="E417" s="34" t="s">
        <v>2247</v>
      </c>
      <c r="F417" s="34" t="s">
        <v>2738</v>
      </c>
      <c r="G417" s="34" t="s">
        <v>2739</v>
      </c>
      <c r="H417" s="34">
        <v>3.0</v>
      </c>
      <c r="I417" s="34" t="s">
        <v>1991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IFERROR(__xludf.DUMMYFUNCTION("""COMPUTED_VALUE"""),"Necroscourge")</f>
        <v>Necroscourge</v>
      </c>
      <c r="B418" s="34" t="str">
        <f t="array" ref="B418:J418">XLOOKUP($A418,Cards!$A$2:$A1000,Cards!$B$2:$J1000,"")</f>
        <v>Unit</v>
      </c>
      <c r="C418" s="34" t="s">
        <v>1948</v>
      </c>
      <c r="D418" s="34">
        <v>1.0</v>
      </c>
      <c r="E418" s="34" t="s">
        <v>1423</v>
      </c>
      <c r="F418" s="34" t="s">
        <v>2749</v>
      </c>
      <c r="G418" s="34"/>
      <c r="H418" s="34">
        <v>4.0</v>
      </c>
      <c r="I418" s="34" t="s">
        <v>2157</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1948</v>
      </c>
      <c r="D419" s="34">
        <v>1.0</v>
      </c>
      <c r="E419" s="34" t="s">
        <v>362</v>
      </c>
      <c r="F419" s="34" t="s">
        <v>2760</v>
      </c>
      <c r="G419" s="34" t="s">
        <v>2761</v>
      </c>
      <c r="H419" s="34">
        <v>3.0</v>
      </c>
      <c r="I419" s="34" t="s">
        <v>1979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1948</v>
      </c>
      <c r="D420" s="34">
        <v>1.0</v>
      </c>
      <c r="E420" s="34" t="s">
        <v>1898</v>
      </c>
      <c r="F420" s="34" t="s">
        <v>2767</v>
      </c>
      <c r="G420" s="34"/>
      <c r="H420" s="34">
        <v>2.0</v>
      </c>
      <c r="I420" s="34" t="s">
        <v>2341</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1948</v>
      </c>
      <c r="D421" s="34">
        <v>1.0</v>
      </c>
      <c r="E421" s="34" t="s">
        <v>652</v>
      </c>
      <c r="F421" s="34" t="s">
        <v>2777</v>
      </c>
      <c r="G421" s="34" t="s">
        <v>2778</v>
      </c>
      <c r="H421" s="34">
        <v>3.0</v>
      </c>
      <c r="I421" s="34" t="s">
        <v>1975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2791</v>
      </c>
      <c r="H422" s="34">
        <v>3.0</v>
      </c>
      <c r="I422" s="34" t="s">
        <v>2280</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2799</v>
      </c>
      <c r="H423" s="34">
        <v>6.0</v>
      </c>
      <c r="I423" s="34" t="s">
        <v>2800</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2808</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2819</v>
      </c>
      <c r="G425" s="34" t="s">
        <v>2820</v>
      </c>
      <c r="H425" s="34">
        <v>3.0</v>
      </c>
      <c r="I425" s="34" t="s">
        <v>2280</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2827</v>
      </c>
      <c r="G426" s="34" t="s">
        <v>2828</v>
      </c>
      <c r="H426" s="34">
        <v>2.0</v>
      </c>
      <c r="I426" s="34" t="s">
        <v>2829</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2837</v>
      </c>
      <c r="G427" s="34" t="s">
        <v>2838</v>
      </c>
      <c r="H427" s="34">
        <v>2.0</v>
      </c>
      <c r="I427" s="34" t="s">
        <v>2829</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1562</v>
      </c>
      <c r="D428" s="34">
        <v>0.0</v>
      </c>
      <c r="E428" s="34" t="s">
        <v>389</v>
      </c>
      <c r="F428" s="34" t="s">
        <v>2846</v>
      </c>
      <c r="G428" s="34"/>
      <c r="H428" s="34">
        <v>6.0</v>
      </c>
      <c r="I428" s="34" t="s">
        <v>1596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1562</v>
      </c>
      <c r="D429" s="34">
        <v>0.0</v>
      </c>
      <c r="E429" s="34" t="s">
        <v>389</v>
      </c>
      <c r="F429" s="34" t="s">
        <v>2848</v>
      </c>
      <c r="G429" s="34"/>
      <c r="H429" s="34">
        <v>4.0</v>
      </c>
      <c r="I429" s="34" t="s">
        <v>1765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2850</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2850</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2859</v>
      </c>
      <c r="G432" s="34"/>
      <c r="H432" s="34"/>
      <c r="I432" s="34"/>
      <c r="J432" s="20" t="s">
        <v>2850</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2864</v>
      </c>
      <c r="G433" s="34"/>
      <c r="H433" s="34"/>
      <c r="I433" s="34"/>
      <c r="J433" s="20" t="s">
        <v>2850</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2868</v>
      </c>
      <c r="G434" s="34"/>
      <c r="H434" s="34"/>
      <c r="I434" s="34"/>
      <c r="J434" s="20" t="s">
        <v>2850</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2872</v>
      </c>
      <c r="G435" s="34"/>
      <c r="H435" s="34"/>
      <c r="I435" s="34"/>
      <c r="J435" s="20" t="s">
        <v>2850</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2864</v>
      </c>
      <c r="G436" s="34"/>
      <c r="H436" s="34"/>
      <c r="I436" s="34"/>
      <c r="J436" s="20" t="s">
        <v>2850</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2881</v>
      </c>
      <c r="G437" s="34"/>
      <c r="H437" s="34"/>
      <c r="I437" s="34"/>
      <c r="J437" s="20" t="s">
        <v>2850</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2886</v>
      </c>
      <c r="G438" s="34"/>
      <c r="H438" s="34"/>
      <c r="I438" s="34"/>
      <c r="J438" s="20" t="s">
        <v>2850</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2890</v>
      </c>
      <c r="G439" s="34"/>
      <c r="H439" s="34"/>
      <c r="I439" s="34"/>
      <c r="J439" s="20" t="s">
        <v>2850</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2850</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2897</v>
      </c>
      <c r="G441" s="34"/>
      <c r="H441" s="34"/>
      <c r="I441" s="34"/>
      <c r="J441" s="20" t="s">
        <v>2850</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2903</v>
      </c>
      <c r="G442" s="34"/>
      <c r="H442" s="34"/>
      <c r="I442" s="34"/>
      <c r="J442" s="20" t="s">
        <v>2850</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2908</v>
      </c>
      <c r="G443" s="34"/>
      <c r="H443" s="34"/>
      <c r="I443" s="34"/>
      <c r="J443" s="20" t="s">
        <v>2850</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2850</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2850</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2850</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2850</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2850</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2850</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2850</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2850</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2850</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2931</v>
      </c>
      <c r="G453" s="34"/>
      <c r="H453" s="34"/>
      <c r="I453" s="34"/>
      <c r="J453" s="20" t="s">
        <v>2850</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2936</v>
      </c>
      <c r="G454" s="34"/>
      <c r="H454" s="34"/>
      <c r="I454" s="34"/>
      <c r="J454" s="20" t="s">
        <v>2850</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1058</v>
      </c>
      <c r="D455" s="34">
        <v>1.0</v>
      </c>
      <c r="E455" s="34"/>
      <c r="F455" s="34" t="s">
        <v>2941</v>
      </c>
      <c r="G455" s="34"/>
      <c r="H455" s="34">
        <v>1.0</v>
      </c>
      <c r="I455" s="34" t="s">
        <v>1222</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t="str">
        <f>IFERROR(__xludf.DUMMYFUNCTION("""COMPUTED_VALUE"""),"Cryptic Squirrel")</f>
        <v>Cryptic Squirrel</v>
      </c>
      <c r="B456" s="34" t="str">
        <f t="array" ref="B456:J456">XLOOKUP($A456,Cards!$A$2:$A1000,Cards!$B$2:$J1000,"")</f>
        <v/>
      </c>
      <c r="C456" s="34" t="s">
        <v>1562</v>
      </c>
      <c r="D456" s="34">
        <v>3.0</v>
      </c>
      <c r="E456" s="34" t="s">
        <v>113</v>
      </c>
      <c r="F456" s="34" t="s">
        <v>2951</v>
      </c>
      <c r="G456" s="34"/>
      <c r="H456" s="34"/>
      <c r="I456" s="34"/>
      <c r="J456" s="20"/>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3692</v>
      </c>
      <c r="B1" s="193" t="s">
        <v>3697</v>
      </c>
      <c r="C1" s="194"/>
      <c r="D1" s="195" t="s">
        <v>3698</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3699</v>
      </c>
      <c r="D2" s="16" t="s">
        <v>3700</v>
      </c>
      <c r="E2" s="16" t="s">
        <v>3701</v>
      </c>
    </row>
    <row r="3">
      <c r="A3" s="97" t="s">
        <v>420</v>
      </c>
      <c r="B3" s="16" t="s">
        <v>3702</v>
      </c>
      <c r="D3" s="16" t="s">
        <v>3703</v>
      </c>
      <c r="E3" s="16" t="s">
        <v>3704</v>
      </c>
    </row>
    <row r="4">
      <c r="A4" s="97" t="s">
        <v>1058</v>
      </c>
      <c r="B4" s="16" t="s">
        <v>3705</v>
      </c>
      <c r="D4" s="16" t="s">
        <v>3706</v>
      </c>
      <c r="E4" s="16" t="s">
        <v>3707</v>
      </c>
    </row>
    <row r="5">
      <c r="A5" s="97" t="s">
        <v>1562</v>
      </c>
      <c r="B5" s="16" t="s">
        <v>3708</v>
      </c>
      <c r="D5" s="16" t="s">
        <v>3709</v>
      </c>
      <c r="E5" s="16" t="s">
        <v>3710</v>
      </c>
    </row>
    <row r="6">
      <c r="A6" s="97" t="s">
        <v>1948</v>
      </c>
      <c r="B6" s="16" t="s">
        <v>3711</v>
      </c>
      <c r="D6" s="16" t="s">
        <v>3712</v>
      </c>
      <c r="E6" s="16" t="s">
        <v>3713</v>
      </c>
    </row>
    <row r="7">
      <c r="A7" s="97" t="s">
        <v>3703</v>
      </c>
      <c r="B7" s="16" t="s">
        <v>3714</v>
      </c>
      <c r="D7" s="16" t="s">
        <v>3715</v>
      </c>
      <c r="E7" s="16" t="s">
        <v>3716</v>
      </c>
    </row>
    <row r="8">
      <c r="A8" s="97" t="s">
        <v>3717</v>
      </c>
      <c r="B8" s="16" t="s">
        <v>3718</v>
      </c>
      <c r="D8" s="16" t="s">
        <v>3719</v>
      </c>
      <c r="E8" s="16" t="s">
        <v>3720</v>
      </c>
    </row>
    <row r="9">
      <c r="A9" s="97" t="s">
        <v>3721</v>
      </c>
      <c r="B9" s="16" t="s">
        <v>3722</v>
      </c>
      <c r="D9" s="16" t="s">
        <v>3723</v>
      </c>
      <c r="E9" s="16" t="s">
        <v>3724</v>
      </c>
    </row>
    <row r="10">
      <c r="A10" s="97" t="s">
        <v>3723</v>
      </c>
      <c r="B10" s="16" t="s">
        <v>3725</v>
      </c>
      <c r="D10" s="16" t="s">
        <v>3726</v>
      </c>
      <c r="E10" s="16" t="s">
        <v>3727</v>
      </c>
    </row>
    <row r="11">
      <c r="A11" s="97" t="s">
        <v>3728</v>
      </c>
      <c r="B11" s="16" t="s">
        <v>3729</v>
      </c>
      <c r="D11" s="16" t="s">
        <v>3730</v>
      </c>
      <c r="E11" s="16" t="s">
        <v>3731</v>
      </c>
    </row>
    <row r="12">
      <c r="A12" s="97" t="s">
        <v>3732</v>
      </c>
      <c r="B12" s="16" t="s">
        <v>3733</v>
      </c>
      <c r="D12" s="16" t="s">
        <v>3734</v>
      </c>
      <c r="E12" s="16" t="s">
        <v>3735</v>
      </c>
    </row>
    <row r="13">
      <c r="A13" s="97" t="s">
        <v>3736</v>
      </c>
      <c r="B13" s="16" t="s">
        <v>3737</v>
      </c>
      <c r="D13" s="16" t="s">
        <v>3738</v>
      </c>
      <c r="E13" s="16" t="s">
        <v>3739</v>
      </c>
    </row>
    <row r="14">
      <c r="A14" s="16" t="s">
        <v>3700</v>
      </c>
      <c r="B14" s="16" t="s">
        <v>3740</v>
      </c>
      <c r="D14" s="16" t="s">
        <v>3741</v>
      </c>
      <c r="E14" s="16" t="s">
        <v>3742</v>
      </c>
    </row>
    <row r="15">
      <c r="D15" s="16" t="s">
        <v>1318</v>
      </c>
      <c r="E15" s="16" t="s">
        <v>3743</v>
      </c>
    </row>
    <row r="16">
      <c r="D16" s="16" t="s">
        <v>391</v>
      </c>
      <c r="E16" s="16" t="s">
        <v>3744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3745</v>
      </c>
      <c r="B1" s="196"/>
      <c r="D1" s="197" t="s">
        <v>3746</v>
      </c>
      <c r="E1" s="197" t="s">
        <v>3747</v>
      </c>
      <c r="F1" s="198" t="s">
        <v>3748</v>
      </c>
      <c r="G1" s="199" t="s">
        <v>3749</v>
      </c>
      <c r="H1" s="200" t="s">
        <v>3</v>
      </c>
      <c r="I1" s="200" t="s">
        <v>3750</v>
      </c>
      <c r="J1" s="200" t="s">
        <v>3751</v>
      </c>
      <c r="K1" s="200" t="s">
        <v>3752</v>
      </c>
      <c r="L1" s="200" t="s">
        <v>7</v>
      </c>
      <c r="M1" s="201" t="s">
        <v>3753</v>
      </c>
      <c r="N1" s="201" t="s">
        <v>9</v>
      </c>
      <c r="O1" s="202" t="s">
        <v>3754</v>
      </c>
    </row>
    <row r="2">
      <c r="A2" s="203">
        <v>3.0</v>
      </c>
      <c r="B2" s="197"/>
      <c r="D2" s="7" t="s">
        <v>1389</v>
      </c>
      <c r="E2" s="7" t="s">
        <v>3755</v>
      </c>
      <c r="F2" s="55">
        <v>2.0</v>
      </c>
      <c r="G2" s="29" t="s">
        <v>3756</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554</v>
      </c>
      <c r="E3" s="7" t="s">
        <v>3755</v>
      </c>
      <c r="F3" s="207">
        <v>1.0</v>
      </c>
      <c r="G3" s="29" t="s">
        <v>3757</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3758</v>
      </c>
      <c r="B4" s="16">
        <f>IFERROR(__xludf.DUMMYFUNCTION("QUERY($D$1:O968,""select sum(F) where E like '%"" &amp; $A$2 &amp; ""%' label sum(F) ''"")"),30.0)</f>
        <v>30</v>
      </c>
      <c r="D4" s="7" t="s">
        <v>1284</v>
      </c>
      <c r="E4" s="7" t="s">
        <v>3755</v>
      </c>
      <c r="F4" s="207">
        <v>1.0</v>
      </c>
      <c r="G4" s="29" t="s">
        <v>3756</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3759</v>
      </c>
      <c r="B5" s="16">
        <f>IFERROR(__xludf.DUMMYFUNCTION("IFNA(QUERY($D$1:O968,""select count(G) where E like '%"" &amp; $A$2 &amp; ""%' and G = 'Alternative' label count(G) ''""),0)"),7.0)</f>
        <v>7</v>
      </c>
      <c r="D5" s="16" t="s">
        <v>1304</v>
      </c>
      <c r="E5" s="7" t="s">
        <v>3755</v>
      </c>
      <c r="F5" s="207">
        <v>1.0</v>
      </c>
      <c r="G5" s="29" t="s">
        <v>3757</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3760</v>
      </c>
      <c r="B6" s="16">
        <f>IFERROR(__xludf.DUMMYFUNCTION("QUERY($D$1:O968,""select sum(O) where E like '%"" &amp; $A$2 &amp; ""%' label sum(O) ''"")/$B$4"),2.9)</f>
        <v>2.9</v>
      </c>
      <c r="D6" s="7" t="s">
        <v>1415</v>
      </c>
      <c r="E6" s="7" t="s">
        <v>3755</v>
      </c>
      <c r="F6" s="207">
        <v>1.0</v>
      </c>
      <c r="G6" s="29" t="s">
        <v>3756</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1157</v>
      </c>
      <c r="E7" s="7" t="s">
        <v>3755</v>
      </c>
      <c r="F7" s="207">
        <v>2.0</v>
      </c>
      <c r="G7" s="29" t="s">
        <v>3756</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1329</v>
      </c>
      <c r="E8" s="7" t="s">
        <v>3755</v>
      </c>
      <c r="F8" s="207">
        <v>2.0</v>
      </c>
      <c r="G8" s="29" t="s">
        <v>3757</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1123</v>
      </c>
      <c r="E9" s="7" t="s">
        <v>3755</v>
      </c>
      <c r="F9" s="207">
        <v>1.0</v>
      </c>
      <c r="G9" s="29" t="s">
        <v>3756</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899</v>
      </c>
      <c r="E10" s="7" t="s">
        <v>3755</v>
      </c>
      <c r="F10" s="207">
        <v>2.0</v>
      </c>
      <c r="G10" s="29" t="s">
        <v>3757</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984</v>
      </c>
      <c r="E11" s="7" t="s">
        <v>3755</v>
      </c>
      <c r="F11" s="207">
        <v>2.0</v>
      </c>
      <c r="G11" s="29" t="s">
        <v>3757</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1319</v>
      </c>
      <c r="E12" s="7" t="s">
        <v>3755</v>
      </c>
      <c r="F12" s="207">
        <v>1.0</v>
      </c>
      <c r="G12" s="29" t="s">
        <v>3757</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881</v>
      </c>
      <c r="E13" s="7" t="s">
        <v>3755</v>
      </c>
      <c r="F13" s="207">
        <v>1.0</v>
      </c>
      <c r="G13" s="29" t="s">
        <v>3757</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1635</v>
      </c>
      <c r="E14" s="7" t="s">
        <v>3755</v>
      </c>
      <c r="F14" s="207">
        <v>2.0</v>
      </c>
      <c r="G14" s="29" t="s">
        <v>3757</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3761</v>
      </c>
      <c r="D15" s="24" t="s">
        <v>1548</v>
      </c>
      <c r="E15" s="7" t="s">
        <v>3755</v>
      </c>
      <c r="F15" s="207">
        <v>1.0</v>
      </c>
      <c r="G15" s="29" t="s">
        <v>3757</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3762</v>
      </c>
      <c r="D16" s="28" t="s">
        <v>846</v>
      </c>
      <c r="E16" s="7" t="s">
        <v>3755</v>
      </c>
      <c r="F16" s="207">
        <v>1.0</v>
      </c>
      <c r="G16" s="29" t="s">
        <v>3757</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3763</v>
      </c>
      <c r="D17" s="16" t="s">
        <v>1507</v>
      </c>
      <c r="E17" s="7" t="s">
        <v>3755</v>
      </c>
      <c r="F17" s="207">
        <v>2.0</v>
      </c>
      <c r="G17" s="29" t="s">
        <v>3757</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3764</v>
      </c>
      <c r="D18" s="22" t="s">
        <v>568</v>
      </c>
      <c r="E18" s="7" t="s">
        <v>3755</v>
      </c>
      <c r="F18" s="207">
        <v>2.0</v>
      </c>
      <c r="G18" s="29" t="s">
        <v>3756</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3765</v>
      </c>
      <c r="D19" s="16" t="s">
        <v>1625</v>
      </c>
      <c r="E19" s="7" t="s">
        <v>3755</v>
      </c>
      <c r="F19" s="207">
        <v>2.0</v>
      </c>
      <c r="G19" s="29" t="s">
        <v>3757</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923</v>
      </c>
      <c r="E20" s="7" t="s">
        <v>3755</v>
      </c>
      <c r="F20" s="207">
        <v>1.0</v>
      </c>
      <c r="G20" s="29" t="s">
        <v>3757</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1350</v>
      </c>
      <c r="E21" s="7" t="s">
        <v>3755</v>
      </c>
      <c r="F21" s="207">
        <v>1.0</v>
      </c>
      <c r="G21" s="29" t="s">
        <v>3757</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1600</v>
      </c>
      <c r="E22" s="7" t="s">
        <v>3755</v>
      </c>
      <c r="F22" s="207">
        <v>1.0</v>
      </c>
      <c r="G22" s="29" t="s">
        <v>3756</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2303</v>
      </c>
      <c r="E23" s="16" t="s">
        <v>3766</v>
      </c>
      <c r="F23" s="207">
        <v>1.0</v>
      </c>
      <c r="G23" s="29" t="s">
        <v>3756</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2068</v>
      </c>
      <c r="E24" s="7" t="s">
        <v>3766</v>
      </c>
      <c r="F24" s="207">
        <v>1.0</v>
      </c>
      <c r="G24" s="29" t="s">
        <v>3756</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1994</v>
      </c>
      <c r="E25" s="7" t="s">
        <v>3766</v>
      </c>
      <c r="F25" s="207">
        <v>1.0</v>
      </c>
      <c r="G25" s="29" t="s">
        <v>3757</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2325</v>
      </c>
      <c r="E26" s="7" t="s">
        <v>3766</v>
      </c>
      <c r="F26" s="207">
        <v>2.0</v>
      </c>
      <c r="G26" s="29" t="s">
        <v>3756</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2652</v>
      </c>
      <c r="E27" s="7" t="s">
        <v>3766</v>
      </c>
      <c r="F27" s="214">
        <v>2.0</v>
      </c>
      <c r="G27" s="29" t="s">
        <v>3757</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2095</v>
      </c>
      <c r="E28" s="22" t="s">
        <v>3766</v>
      </c>
      <c r="F28" s="207">
        <v>1.0</v>
      </c>
      <c r="G28" s="29" t="s">
        <v>3756</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2352</v>
      </c>
      <c r="E29" s="22" t="s">
        <v>3766</v>
      </c>
      <c r="F29" s="207">
        <v>1.0</v>
      </c>
      <c r="G29" s="29" t="s">
        <v>3757</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2172</v>
      </c>
      <c r="E30" s="16" t="s">
        <v>3766</v>
      </c>
      <c r="F30" s="207">
        <v>2.0</v>
      </c>
      <c r="G30" s="29" t="s">
        <v>3757</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2366</v>
      </c>
      <c r="E31" s="55" t="s">
        <v>3766</v>
      </c>
      <c r="F31" s="207">
        <v>1.0</v>
      </c>
      <c r="G31" s="29" t="s">
        <v>3756</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1937</v>
      </c>
      <c r="E32" s="7" t="s">
        <v>3766</v>
      </c>
      <c r="F32" s="207">
        <v>2.0</v>
      </c>
      <c r="G32" s="29" t="s">
        <v>3757</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2696</v>
      </c>
      <c r="E33" s="7" t="s">
        <v>3766</v>
      </c>
      <c r="F33" s="214">
        <v>2.0</v>
      </c>
      <c r="G33" s="29" t="s">
        <v>3756</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1907</v>
      </c>
      <c r="E34" s="16" t="s">
        <v>3766</v>
      </c>
      <c r="F34" s="207">
        <v>2.0</v>
      </c>
      <c r="G34" s="29" t="s">
        <v>3757</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2685</v>
      </c>
      <c r="E35" s="22" t="s">
        <v>3766</v>
      </c>
      <c r="F35" s="214">
        <v>1.0</v>
      </c>
      <c r="G35" s="29" t="s">
        <v>3757</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2176</v>
      </c>
      <c r="E36" s="7" t="s">
        <v>3766</v>
      </c>
      <c r="F36" s="207">
        <v>2.0</v>
      </c>
      <c r="G36" s="29" t="s">
        <v>3757</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2121</v>
      </c>
      <c r="E37" s="7" t="s">
        <v>3766</v>
      </c>
      <c r="F37" s="207">
        <v>1.0</v>
      </c>
      <c r="G37" s="29" t="s">
        <v>3756</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1915</v>
      </c>
      <c r="E38" s="16" t="s">
        <v>3766</v>
      </c>
      <c r="F38" s="207">
        <v>2.0</v>
      </c>
      <c r="G38" s="29" t="s">
        <v>3757</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2187</v>
      </c>
      <c r="E39" s="7" t="s">
        <v>3766</v>
      </c>
      <c r="F39" s="214">
        <v>1.0</v>
      </c>
      <c r="G39" s="29" t="s">
        <v>3757</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2051</v>
      </c>
      <c r="E40" s="7" t="s">
        <v>3766</v>
      </c>
      <c r="F40" s="207">
        <v>1.0</v>
      </c>
      <c r="G40" s="29" t="s">
        <v>3757</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2662</v>
      </c>
      <c r="E41" s="7" t="s">
        <v>3766</v>
      </c>
      <c r="F41" s="207">
        <v>2.0</v>
      </c>
      <c r="G41" s="29" t="s">
        <v>3757</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2138</v>
      </c>
      <c r="E42" s="16" t="s">
        <v>3766</v>
      </c>
      <c r="F42" s="207">
        <v>1.0</v>
      </c>
      <c r="G42" s="29" t="s">
        <v>3757</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2632</v>
      </c>
      <c r="E43" s="16" t="s">
        <v>3766</v>
      </c>
      <c r="F43" s="207">
        <v>1.0</v>
      </c>
      <c r="G43" s="29" t="s">
        <v>3757</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485</v>
      </c>
      <c r="E44" s="16" t="s">
        <v>3767</v>
      </c>
      <c r="F44" s="16">
        <v>2.0</v>
      </c>
      <c r="G44" s="16" t="s">
        <v>3756</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473</v>
      </c>
      <c r="E45" s="16" t="s">
        <v>3767</v>
      </c>
      <c r="F45" s="16">
        <v>1.0</v>
      </c>
      <c r="G45" s="16" t="s">
        <v>3756</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3767</v>
      </c>
      <c r="F46" s="16">
        <v>1.0</v>
      </c>
      <c r="G46" s="16" t="s">
        <v>3756</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208</v>
      </c>
      <c r="E47" s="16" t="s">
        <v>3767</v>
      </c>
      <c r="F47" s="16">
        <v>1.0</v>
      </c>
      <c r="G47" s="16" t="s">
        <v>3757</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2748</v>
      </c>
      <c r="E48" s="16" t="s">
        <v>3767</v>
      </c>
      <c r="F48" s="16">
        <v>1.0</v>
      </c>
      <c r="G48" s="16" t="s">
        <v>3757</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2344</v>
      </c>
      <c r="E49" s="16" t="s">
        <v>3767</v>
      </c>
      <c r="F49" s="16">
        <v>1.0</v>
      </c>
      <c r="G49" s="16" t="s">
        <v>3757</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2433</v>
      </c>
      <c r="E50" s="16" t="s">
        <v>3767</v>
      </c>
      <c r="F50" s="16">
        <v>1.0</v>
      </c>
      <c r="G50" s="16" t="s">
        <v>3757</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156</v>
      </c>
      <c r="E51" s="16" t="s">
        <v>3767</v>
      </c>
      <c r="F51" s="16">
        <v>2.0</v>
      </c>
      <c r="G51" s="16" t="s">
        <v>3757</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162</v>
      </c>
      <c r="E52" s="16" t="s">
        <v>3767</v>
      </c>
      <c r="F52" s="16">
        <v>1.0</v>
      </c>
      <c r="G52" s="16" t="s">
        <v>3757</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216</v>
      </c>
      <c r="E53" s="16" t="s">
        <v>3767</v>
      </c>
      <c r="F53" s="16">
        <v>1.0</v>
      </c>
      <c r="G53" s="16" t="s">
        <v>3757</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89</v>
      </c>
      <c r="E54" s="16" t="s">
        <v>3767</v>
      </c>
      <c r="F54" s="16">
        <v>2.0</v>
      </c>
      <c r="G54" s="16" t="s">
        <v>3757</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106</v>
      </c>
      <c r="E55" s="16" t="s">
        <v>3767</v>
      </c>
      <c r="F55" s="16">
        <v>2.0</v>
      </c>
      <c r="G55" s="16" t="s">
        <v>3757</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112</v>
      </c>
      <c r="E56" s="16" t="s">
        <v>3767</v>
      </c>
      <c r="F56" s="16">
        <v>1.0</v>
      </c>
      <c r="G56" s="16" t="s">
        <v>3756</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134</v>
      </c>
      <c r="E57" s="16" t="s">
        <v>3767</v>
      </c>
      <c r="F57" s="16">
        <v>2.0</v>
      </c>
      <c r="G57" s="16" t="s">
        <v>3757</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202</v>
      </c>
      <c r="E58" s="16" t="s">
        <v>3767</v>
      </c>
      <c r="F58" s="16">
        <v>2.0</v>
      </c>
      <c r="G58" s="16" t="s">
        <v>3757</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150</v>
      </c>
      <c r="E59" s="16" t="s">
        <v>3767</v>
      </c>
      <c r="F59" s="16">
        <v>1.0</v>
      </c>
      <c r="G59" s="16" t="s">
        <v>3756</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259</v>
      </c>
      <c r="E60" s="16" t="s">
        <v>3767</v>
      </c>
      <c r="F60" s="16">
        <v>2.0</v>
      </c>
      <c r="G60" s="16" t="s">
        <v>3757</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2411</v>
      </c>
      <c r="E61" s="16" t="s">
        <v>3767</v>
      </c>
      <c r="F61" s="16">
        <v>2.0</v>
      </c>
      <c r="G61" s="16" t="s">
        <v>3756</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2673</v>
      </c>
      <c r="E62" s="16" t="s">
        <v>3767</v>
      </c>
      <c r="F62" s="16">
        <v>1.0</v>
      </c>
      <c r="G62" s="16" t="s">
        <v>3756</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2384</v>
      </c>
      <c r="E63" s="16" t="s">
        <v>3767</v>
      </c>
      <c r="F63" s="16">
        <v>2.0</v>
      </c>
      <c r="G63" s="16" t="s">
        <v>3757</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2390</v>
      </c>
      <c r="E64" s="16" t="s">
        <v>3767</v>
      </c>
      <c r="F64" s="16">
        <v>1.0</v>
      </c>
      <c r="G64" s="16" t="s">
        <v>3757</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1073</v>
      </c>
      <c r="E65" s="16" t="s">
        <v>3768</v>
      </c>
      <c r="F65" s="16">
        <v>1.0</v>
      </c>
      <c r="G65" s="16" t="s">
        <v>3756</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1062</v>
      </c>
      <c r="E66" s="16" t="s">
        <v>3768</v>
      </c>
      <c r="F66" s="16">
        <v>1.0</v>
      </c>
      <c r="G66" s="16" t="s">
        <v>3757</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2114</v>
      </c>
      <c r="E67" s="16" t="s">
        <v>3768</v>
      </c>
      <c r="F67" s="16">
        <v>1.0</v>
      </c>
      <c r="G67" s="16" t="s">
        <v>3757</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3" t="s">
        <v>1172</v>
      </c>
      <c r="E68" s="16" t="s">
        <v>3768</v>
      </c>
      <c r="F68" s="16">
        <v>2.0</v>
      </c>
      <c r="G68" s="16" t="s">
        <v>3756</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745</v>
      </c>
      <c r="E69" s="16" t="s">
        <v>3768</v>
      </c>
      <c r="F69" s="16">
        <v>2.0</v>
      </c>
      <c r="G69" s="16" t="s">
        <v>3756</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1865</v>
      </c>
      <c r="E70" s="16" t="s">
        <v>3768</v>
      </c>
      <c r="F70" s="16">
        <v>1.0</v>
      </c>
      <c r="G70" s="16" t="s">
        <v>3757</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836</v>
      </c>
      <c r="E71" s="16" t="s">
        <v>3768</v>
      </c>
      <c r="F71" s="16">
        <v>1.0</v>
      </c>
      <c r="G71" s="16" t="s">
        <v>3757</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3" t="s">
        <v>2004</v>
      </c>
      <c r="E72" s="16" t="s">
        <v>3768</v>
      </c>
      <c r="F72" s="16">
        <v>1.0</v>
      </c>
      <c r="G72" s="16" t="s">
        <v>3757</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1203</v>
      </c>
      <c r="E73" s="16" t="s">
        <v>3768</v>
      </c>
      <c r="F73" s="16">
        <v>2.0</v>
      </c>
      <c r="G73" s="16" t="s">
        <v>3756</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1020</v>
      </c>
      <c r="E74" s="16" t="s">
        <v>3768</v>
      </c>
      <c r="F74" s="16">
        <v>2.0</v>
      </c>
      <c r="G74" s="16" t="s">
        <v>3756</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683</v>
      </c>
      <c r="E75" s="16" t="s">
        <v>3768</v>
      </c>
      <c r="F75" s="16">
        <v>1.0</v>
      </c>
      <c r="G75" s="16" t="s">
        <v>3757</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595</v>
      </c>
      <c r="E76" s="16" t="s">
        <v>3768</v>
      </c>
      <c r="F76" s="16">
        <v>1.0</v>
      </c>
      <c r="G76" s="16" t="s">
        <v>3756</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539</v>
      </c>
      <c r="E77" s="16" t="s">
        <v>3768</v>
      </c>
      <c r="F77" s="16">
        <v>2.0</v>
      </c>
      <c r="G77" s="16" t="s">
        <v>3757</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609</v>
      </c>
      <c r="E78" s="16" t="s">
        <v>3768</v>
      </c>
      <c r="F78" s="16">
        <v>1.0</v>
      </c>
      <c r="G78" s="16" t="s">
        <v>3757</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2258</v>
      </c>
      <c r="E79" s="16" t="s">
        <v>3768</v>
      </c>
      <c r="F79" s="16">
        <v>1.0</v>
      </c>
      <c r="G79" s="16" t="s">
        <v>3757</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636</v>
      </c>
      <c r="E80" s="16" t="s">
        <v>3768</v>
      </c>
      <c r="F80" s="16">
        <v>2.0</v>
      </c>
      <c r="G80" s="16" t="s">
        <v>3756</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1843</v>
      </c>
      <c r="E81" s="16" t="s">
        <v>3768</v>
      </c>
      <c r="F81" s="16">
        <v>1.0</v>
      </c>
      <c r="G81" s="16" t="s">
        <v>3757</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1109</v>
      </c>
      <c r="E82" s="16" t="s">
        <v>3768</v>
      </c>
      <c r="F82" s="16">
        <v>2.0</v>
      </c>
      <c r="G82" s="16" t="s">
        <v>3757</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2298</v>
      </c>
      <c r="E83" s="16" t="s">
        <v>3768</v>
      </c>
      <c r="F83" s="16">
        <v>2.0</v>
      </c>
      <c r="G83" s="16" t="s">
        <v>3757</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962</v>
      </c>
      <c r="E84" s="16" t="s">
        <v>3768</v>
      </c>
      <c r="F84" s="16">
        <v>2.0</v>
      </c>
      <c r="G84" s="16" t="s">
        <v>3757</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2083</v>
      </c>
      <c r="E85" s="16" t="s">
        <v>3768</v>
      </c>
      <c r="F85" s="16">
        <v>1.0</v>
      </c>
      <c r="G85" s="16" t="s">
        <v>3757</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3757</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3757</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3757</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3757</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4"/>
      <c r="F804" s="34"/>
      <c r="G804" s="34"/>
      <c r="H804" s="34"/>
      <c r="I804" s="34"/>
      <c r="J804" s="216"/>
      <c r="K804" s="216"/>
      <c r="L804" s="34"/>
    </row>
    <row r="805">
      <c r="B805" s="20"/>
      <c r="D805" s="20"/>
      <c r="E805" s="34"/>
      <c r="F805" s="34"/>
      <c r="G805" s="34"/>
      <c r="H805" s="34"/>
      <c r="I805" s="34"/>
      <c r="J805" s="216"/>
      <c r="K805" s="216"/>
      <c r="L805" s="34"/>
    </row>
    <row r="806">
      <c r="B806" s="20"/>
      <c r="D806" s="20"/>
      <c r="E806" s="34"/>
      <c r="F806" s="34"/>
      <c r="G806" s="34"/>
      <c r="H806" s="34"/>
      <c r="I806" s="34"/>
      <c r="J806" s="216"/>
      <c r="K806" s="216"/>
      <c r="L806" s="34"/>
    </row>
    <row r="807">
      <c r="B807" s="20"/>
      <c r="D807" s="20"/>
      <c r="E807" s="34"/>
      <c r="F807" s="34"/>
      <c r="G807" s="34"/>
      <c r="H807" s="34"/>
      <c r="I807" s="34"/>
      <c r="J807" s="216"/>
      <c r="K807" s="216"/>
      <c r="L807" s="34"/>
    </row>
    <row r="808">
      <c r="B808" s="20"/>
      <c r="D808" s="20"/>
      <c r="E808" s="34"/>
      <c r="F808" s="34"/>
      <c r="G808" s="34"/>
      <c r="H808" s="34"/>
      <c r="I808" s="34"/>
      <c r="J808" s="216"/>
      <c r="K808" s="216"/>
      <c r="L808" s="34"/>
    </row>
    <row r="809">
      <c r="B809" s="20"/>
      <c r="D809" s="20"/>
      <c r="E809" s="34"/>
      <c r="F809" s="34"/>
      <c r="G809" s="34"/>
      <c r="H809" s="34"/>
      <c r="I809" s="34"/>
      <c r="J809" s="216"/>
      <c r="K809" s="216"/>
      <c r="L809" s="34"/>
    </row>
    <row r="810">
      <c r="B810" s="20"/>
      <c r="D810" s="20"/>
      <c r="E810" s="34"/>
      <c r="F810" s="34"/>
      <c r="G810" s="34"/>
      <c r="H810" s="34"/>
      <c r="I810" s="34"/>
      <c r="J810" s="216"/>
      <c r="K810" s="216"/>
      <c r="L810" s="34"/>
    </row>
    <row r="811">
      <c r="B811" s="20"/>
      <c r="D811" s="20"/>
      <c r="E811" s="34"/>
      <c r="F811" s="34"/>
      <c r="G811" s="34"/>
      <c r="H811" s="34"/>
      <c r="I811" s="34"/>
      <c r="J811" s="216"/>
      <c r="K811" s="216"/>
      <c r="L811" s="34"/>
    </row>
    <row r="812">
      <c r="B812" s="20"/>
      <c r="D812" s="20"/>
      <c r="E812" s="34"/>
      <c r="F812" s="34"/>
      <c r="G812" s="34"/>
      <c r="H812" s="34"/>
      <c r="I812" s="34"/>
      <c r="J812" s="216"/>
      <c r="K812" s="216"/>
      <c r="L812" s="34"/>
    </row>
    <row r="813">
      <c r="B813" s="20"/>
      <c r="D813" s="20"/>
      <c r="E813" s="34"/>
      <c r="F813" s="34"/>
      <c r="G813" s="34"/>
      <c r="H813" s="34"/>
      <c r="I813" s="34"/>
      <c r="J813" s="216"/>
      <c r="K813" s="216"/>
      <c r="L813" s="34"/>
    </row>
    <row r="814">
      <c r="B814" s="20"/>
      <c r="D814" s="20"/>
      <c r="E814" s="34"/>
      <c r="F814" s="34"/>
      <c r="G814" s="34"/>
      <c r="H814" s="34"/>
      <c r="I814" s="34"/>
      <c r="J814" s="216"/>
      <c r="K814" s="216"/>
      <c r="L814" s="34"/>
    </row>
    <row r="815">
      <c r="B815" s="20"/>
      <c r="D815" s="20"/>
      <c r="E815" s="34"/>
      <c r="F815" s="34"/>
      <c r="G815" s="34"/>
      <c r="H815" s="34"/>
      <c r="I815" s="34"/>
      <c r="J815" s="216"/>
      <c r="K815" s="216"/>
      <c r="L815" s="34"/>
    </row>
    <row r="816">
      <c r="B816" s="20"/>
      <c r="D816" s="20"/>
      <c r="E816" s="34"/>
      <c r="F816" s="34"/>
      <c r="G816" s="34"/>
      <c r="H816" s="34"/>
      <c r="I816" s="34"/>
      <c r="J816" s="216"/>
      <c r="K816" s="216"/>
      <c r="L816" s="34"/>
    </row>
    <row r="817">
      <c r="B817" s="20"/>
      <c r="D817" s="20"/>
      <c r="E817" s="34"/>
      <c r="F817" s="34"/>
      <c r="G817" s="34"/>
      <c r="H817" s="34"/>
      <c r="I817" s="34"/>
      <c r="J817" s="216"/>
      <c r="K817" s="216"/>
      <c r="L817" s="34"/>
    </row>
    <row r="818">
      <c r="B818" s="20"/>
      <c r="D818" s="20"/>
      <c r="E818" s="34"/>
      <c r="F818" s="34"/>
      <c r="G818" s="34"/>
      <c r="H818" s="34"/>
      <c r="I818" s="34"/>
      <c r="J818" s="216"/>
      <c r="K818" s="216"/>
      <c r="L818" s="34"/>
    </row>
    <row r="819">
      <c r="B819" s="20"/>
      <c r="D819" s="20"/>
      <c r="E819" s="34"/>
      <c r="F819" s="34"/>
      <c r="G819" s="34"/>
      <c r="H819" s="34"/>
      <c r="I819" s="34"/>
      <c r="J819" s="216"/>
      <c r="K819" s="216"/>
      <c r="L819" s="34"/>
    </row>
    <row r="820">
      <c r="B820" s="20"/>
      <c r="D820" s="20"/>
      <c r="E820" s="34"/>
      <c r="F820" s="34"/>
      <c r="G820" s="34"/>
      <c r="H820" s="34"/>
      <c r="I820" s="34"/>
      <c r="J820" s="216"/>
      <c r="K820" s="216"/>
      <c r="L820" s="34"/>
    </row>
    <row r="821">
      <c r="B821" s="20"/>
      <c r="D821" s="20"/>
      <c r="E821" s="34"/>
      <c r="F821" s="34"/>
      <c r="G821" s="34"/>
      <c r="H821" s="34"/>
      <c r="I821" s="34"/>
      <c r="J821" s="216"/>
      <c r="K821" s="216"/>
      <c r="L821" s="34"/>
    </row>
    <row r="822">
      <c r="B822" s="20"/>
      <c r="D822" s="20"/>
      <c r="E822" s="34"/>
      <c r="F822" s="34"/>
      <c r="G822" s="34"/>
      <c r="H822" s="34"/>
      <c r="I822" s="34"/>
      <c r="J822" s="216"/>
      <c r="K822" s="216"/>
      <c r="L822" s="34"/>
    </row>
    <row r="823">
      <c r="B823" s="20"/>
      <c r="D823" s="20"/>
      <c r="E823" s="34"/>
      <c r="F823" s="34"/>
      <c r="G823" s="34"/>
      <c r="H823" s="34"/>
      <c r="I823" s="34"/>
      <c r="J823" s="216"/>
      <c r="K823" s="216"/>
      <c r="L823" s="34"/>
    </row>
    <row r="824">
      <c r="B824" s="20"/>
      <c r="D824" s="20"/>
      <c r="E824" s="34"/>
      <c r="F824" s="34"/>
      <c r="G824" s="34"/>
      <c r="H824" s="34"/>
      <c r="I824" s="34"/>
      <c r="J824" s="216"/>
      <c r="K824" s="216"/>
      <c r="L824" s="34"/>
    </row>
    <row r="825">
      <c r="B825" s="20"/>
      <c r="D825" s="20"/>
      <c r="E825" s="34"/>
      <c r="F825" s="34"/>
      <c r="G825" s="34"/>
      <c r="H825" s="34"/>
      <c r="I825" s="34"/>
      <c r="J825" s="216"/>
      <c r="K825" s="216"/>
      <c r="L825" s="34"/>
    </row>
    <row r="826">
      <c r="B826" s="20"/>
      <c r="D826" s="20"/>
      <c r="E826" s="34"/>
      <c r="F826" s="34"/>
      <c r="G826" s="34"/>
      <c r="H826" s="34"/>
      <c r="I826" s="34"/>
      <c r="J826" s="216"/>
      <c r="K826" s="216"/>
      <c r="L826" s="34"/>
    </row>
    <row r="827">
      <c r="B827" s="20"/>
      <c r="D827" s="20"/>
      <c r="E827" s="34"/>
      <c r="F827" s="34"/>
      <c r="G827" s="34"/>
      <c r="H827" s="34"/>
      <c r="I827" s="34"/>
      <c r="J827" s="216"/>
      <c r="K827" s="216"/>
      <c r="L827" s="34"/>
    </row>
    <row r="828">
      <c r="B828" s="20"/>
      <c r="D828" s="20"/>
      <c r="E828" s="34"/>
      <c r="F828" s="34"/>
      <c r="G828" s="34"/>
      <c r="H828" s="34"/>
      <c r="I828" s="34"/>
      <c r="J828" s="216"/>
      <c r="K828" s="216"/>
      <c r="L828" s="34"/>
    </row>
    <row r="829">
      <c r="B829" s="20"/>
      <c r="D829" s="20"/>
      <c r="E829" s="34"/>
      <c r="F829" s="34"/>
      <c r="G829" s="34"/>
      <c r="H829" s="34"/>
      <c r="I829" s="34"/>
      <c r="J829" s="216"/>
      <c r="K829" s="216"/>
      <c r="L829" s="34"/>
    </row>
    <row r="830">
      <c r="B830" s="20"/>
      <c r="D830" s="20"/>
      <c r="E830" s="34"/>
      <c r="F830" s="34"/>
      <c r="G830" s="34"/>
      <c r="H830" s="34"/>
      <c r="I830" s="34"/>
      <c r="J830" s="216"/>
      <c r="K830" s="216"/>
      <c r="L830" s="34"/>
    </row>
    <row r="831">
      <c r="B831" s="20"/>
      <c r="D831" s="20"/>
      <c r="E831" s="34"/>
      <c r="F831" s="34"/>
      <c r="G831" s="34"/>
      <c r="H831" s="34"/>
      <c r="I831" s="34"/>
      <c r="J831" s="216"/>
      <c r="K831" s="216"/>
      <c r="L831" s="34"/>
    </row>
    <row r="832">
      <c r="B832" s="20"/>
      <c r="D832" s="20"/>
      <c r="E832" s="34"/>
      <c r="F832" s="34"/>
      <c r="G832" s="34"/>
      <c r="H832" s="34"/>
      <c r="I832" s="34"/>
      <c r="J832" s="216"/>
      <c r="K832" s="216"/>
      <c r="L832" s="34"/>
    </row>
    <row r="833">
      <c r="B833" s="20"/>
      <c r="D833" s="20"/>
      <c r="E833" s="34"/>
      <c r="F833" s="34"/>
      <c r="G833" s="34"/>
      <c r="H833" s="34"/>
      <c r="I833" s="34"/>
      <c r="J833" s="216"/>
      <c r="K833" s="216"/>
      <c r="L833" s="34"/>
    </row>
    <row r="834">
      <c r="B834" s="20"/>
      <c r="D834" s="20"/>
      <c r="E834" s="34"/>
      <c r="F834" s="34"/>
      <c r="G834" s="34"/>
      <c r="H834" s="34"/>
      <c r="I834" s="34"/>
      <c r="J834" s="216"/>
      <c r="K834" s="216"/>
      <c r="L834" s="34"/>
    </row>
    <row r="835">
      <c r="B835" s="20"/>
      <c r="D835" s="20"/>
      <c r="E835" s="34"/>
      <c r="F835" s="34"/>
      <c r="G835" s="34"/>
      <c r="H835" s="34"/>
      <c r="I835" s="34"/>
      <c r="J835" s="216"/>
      <c r="K835" s="216"/>
      <c r="L835" s="34"/>
    </row>
    <row r="836">
      <c r="B836" s="20"/>
      <c r="D836" s="20"/>
      <c r="E836" s="34"/>
      <c r="F836" s="34"/>
      <c r="G836" s="34"/>
      <c r="H836" s="34"/>
      <c r="I836" s="34"/>
      <c r="J836" s="216"/>
      <c r="K836" s="216"/>
      <c r="L836" s="34"/>
    </row>
    <row r="837">
      <c r="B837" s="20"/>
      <c r="D837" s="20"/>
      <c r="E837" s="34"/>
      <c r="F837" s="34"/>
      <c r="G837" s="34"/>
      <c r="H837" s="34"/>
      <c r="I837" s="34"/>
      <c r="J837" s="216"/>
      <c r="K837" s="216"/>
      <c r="L837" s="34"/>
    </row>
    <row r="838">
      <c r="B838" s="20"/>
      <c r="D838" s="20"/>
      <c r="E838" s="34"/>
      <c r="F838" s="34"/>
      <c r="G838" s="34"/>
      <c r="H838" s="34"/>
      <c r="I838" s="34"/>
      <c r="J838" s="216"/>
      <c r="K838" s="216"/>
      <c r="L838" s="34"/>
    </row>
    <row r="839">
      <c r="B839" s="20"/>
      <c r="D839" s="20"/>
      <c r="E839" s="34"/>
      <c r="F839" s="34"/>
      <c r="G839" s="34"/>
      <c r="H839" s="34"/>
      <c r="I839" s="34"/>
      <c r="J839" s="216"/>
      <c r="K839" s="216"/>
      <c r="L839" s="34"/>
    </row>
    <row r="840">
      <c r="B840" s="20"/>
      <c r="D840" s="20"/>
      <c r="E840" s="34"/>
      <c r="F840" s="34"/>
      <c r="G840" s="34"/>
      <c r="H840" s="34"/>
      <c r="I840" s="34"/>
      <c r="J840" s="216"/>
      <c r="K840" s="216"/>
      <c r="L840" s="34"/>
    </row>
    <row r="841">
      <c r="B841" s="20"/>
      <c r="D841" s="20"/>
      <c r="E841" s="34"/>
      <c r="F841" s="34"/>
      <c r="G841" s="34"/>
      <c r="H841" s="34"/>
      <c r="I841" s="34"/>
      <c r="J841" s="216"/>
      <c r="K841" s="216"/>
      <c r="L841" s="34"/>
    </row>
    <row r="842">
      <c r="B842" s="20"/>
      <c r="D842" s="20"/>
      <c r="E842" s="34"/>
      <c r="F842" s="34"/>
      <c r="G842" s="34"/>
      <c r="H842" s="34"/>
      <c r="I842" s="34"/>
      <c r="J842" s="216"/>
      <c r="K842" s="216"/>
      <c r="L842" s="34"/>
    </row>
    <row r="843">
      <c r="B843" s="20"/>
      <c r="D843" s="20"/>
      <c r="E843" s="34"/>
      <c r="F843" s="34"/>
      <c r="G843" s="34"/>
      <c r="H843" s="34"/>
      <c r="I843" s="34"/>
      <c r="J843" s="216"/>
      <c r="K843" s="216"/>
      <c r="L843" s="34"/>
    </row>
    <row r="844">
      <c r="B844" s="20"/>
      <c r="D844" s="20"/>
      <c r="E844" s="34"/>
      <c r="F844" s="34"/>
      <c r="G844" s="34"/>
      <c r="H844" s="34"/>
      <c r="I844" s="34"/>
      <c r="J844" s="216"/>
      <c r="K844" s="216"/>
      <c r="L844" s="34"/>
    </row>
    <row r="845">
      <c r="B845" s="20"/>
      <c r="D845" s="20"/>
      <c r="E845" s="34"/>
      <c r="F845" s="34"/>
      <c r="G845" s="34"/>
      <c r="H845" s="34"/>
      <c r="I845" s="34"/>
      <c r="J845" s="216"/>
      <c r="K845" s="216"/>
      <c r="L845" s="34"/>
    </row>
    <row r="846">
      <c r="B846" s="20"/>
      <c r="D846" s="20"/>
      <c r="E846" s="34"/>
      <c r="F846" s="34"/>
      <c r="G846" s="34"/>
      <c r="H846" s="34"/>
      <c r="I846" s="34"/>
      <c r="J846" s="216"/>
      <c r="K846" s="216"/>
      <c r="L846" s="34"/>
    </row>
    <row r="847">
      <c r="B847" s="20"/>
      <c r="D847" s="20"/>
      <c r="E847" s="34"/>
      <c r="F847" s="34"/>
      <c r="G847" s="34"/>
      <c r="H847" s="34"/>
      <c r="I847" s="34"/>
      <c r="J847" s="216"/>
      <c r="K847" s="216"/>
      <c r="L847" s="34"/>
    </row>
    <row r="848">
      <c r="B848" s="20"/>
      <c r="D848" s="20"/>
      <c r="E848" s="34"/>
      <c r="F848" s="34"/>
      <c r="G848" s="34"/>
      <c r="H848" s="34"/>
      <c r="I848" s="34"/>
      <c r="J848" s="216"/>
      <c r="K848" s="216"/>
      <c r="L848" s="34"/>
    </row>
    <row r="849">
      <c r="B849" s="20"/>
      <c r="D849" s="20"/>
      <c r="E849" s="34"/>
      <c r="F849" s="34"/>
      <c r="G849" s="34"/>
      <c r="H849" s="34"/>
      <c r="I849" s="34"/>
      <c r="J849" s="216"/>
      <c r="K849" s="216"/>
      <c r="L849" s="34"/>
    </row>
    <row r="850">
      <c r="B850" s="20"/>
      <c r="D850" s="20"/>
      <c r="E850" s="34"/>
      <c r="F850" s="34"/>
      <c r="G850" s="34"/>
      <c r="H850" s="34"/>
      <c r="I850" s="34"/>
      <c r="J850" s="216"/>
      <c r="K850" s="216"/>
      <c r="L850" s="34"/>
    </row>
    <row r="851">
      <c r="B851" s="20"/>
      <c r="D851" s="20"/>
      <c r="E851" s="34"/>
      <c r="F851" s="34"/>
      <c r="G851" s="34"/>
      <c r="H851" s="34"/>
      <c r="I851" s="34"/>
      <c r="J851" s="216"/>
      <c r="K851" s="216"/>
      <c r="L851" s="34"/>
    </row>
    <row r="852">
      <c r="B852" s="20"/>
      <c r="D852" s="20"/>
      <c r="E852" s="34"/>
      <c r="F852" s="34"/>
      <c r="G852" s="34"/>
      <c r="H852" s="34"/>
      <c r="I852" s="34"/>
      <c r="J852" s="216"/>
      <c r="K852" s="216"/>
      <c r="L852" s="34"/>
    </row>
    <row r="853">
      <c r="B853" s="20"/>
      <c r="D853" s="20"/>
      <c r="E853" s="34"/>
      <c r="F853" s="34"/>
      <c r="G853" s="34"/>
      <c r="H853" s="34"/>
      <c r="I853" s="34"/>
      <c r="J853" s="216"/>
      <c r="K853" s="216"/>
      <c r="L853" s="34"/>
    </row>
    <row r="854">
      <c r="B854" s="20"/>
      <c r="D854" s="20"/>
      <c r="E854" s="34"/>
      <c r="F854" s="34"/>
      <c r="G854" s="34"/>
      <c r="H854" s="34"/>
      <c r="I854" s="34"/>
      <c r="J854" s="216"/>
      <c r="K854" s="216"/>
      <c r="L854" s="34"/>
    </row>
    <row r="855">
      <c r="B855" s="20"/>
      <c r="D855" s="20"/>
      <c r="E855" s="34"/>
      <c r="F855" s="34"/>
      <c r="G855" s="34"/>
      <c r="H855" s="34"/>
      <c r="I855" s="34"/>
      <c r="J855" s="216"/>
      <c r="K855" s="216"/>
      <c r="L855" s="34"/>
    </row>
    <row r="856">
      <c r="B856" s="20"/>
      <c r="D856" s="20"/>
      <c r="E856" s="34"/>
      <c r="F856" s="34"/>
      <c r="G856" s="34"/>
      <c r="H856" s="34"/>
      <c r="I856" s="34"/>
      <c r="J856" s="216"/>
      <c r="K856" s="216"/>
      <c r="L856" s="34"/>
    </row>
    <row r="857">
      <c r="B857" s="20"/>
      <c r="D857" s="20"/>
      <c r="E857" s="34"/>
      <c r="F857" s="34"/>
      <c r="G857" s="34"/>
      <c r="H857" s="34"/>
      <c r="I857" s="34"/>
      <c r="J857" s="216"/>
      <c r="K857" s="216"/>
      <c r="L857" s="34"/>
    </row>
    <row r="858">
      <c r="B858" s="20"/>
      <c r="D858" s="20"/>
      <c r="E858" s="34"/>
      <c r="F858" s="34"/>
      <c r="G858" s="34"/>
      <c r="H858" s="34"/>
      <c r="I858" s="34"/>
      <c r="J858" s="216"/>
      <c r="K858" s="216"/>
      <c r="L858" s="34"/>
    </row>
    <row r="859">
      <c r="B859" s="20"/>
      <c r="D859" s="20"/>
      <c r="E859" s="34"/>
      <c r="F859" s="34"/>
      <c r="G859" s="34"/>
      <c r="H859" s="34"/>
      <c r="I859" s="34"/>
      <c r="J859" s="216"/>
      <c r="K859" s="216"/>
      <c r="L859" s="34"/>
    </row>
    <row r="860">
      <c r="B860" s="20"/>
      <c r="D860" s="20"/>
      <c r="E860" s="34"/>
      <c r="F860" s="34"/>
      <c r="G860" s="34"/>
      <c r="H860" s="34"/>
      <c r="I860" s="34"/>
      <c r="J860" s="216"/>
      <c r="K860" s="216"/>
      <c r="L860" s="34"/>
    </row>
    <row r="861">
      <c r="B861" s="20"/>
      <c r="D861" s="20"/>
      <c r="E861" s="34"/>
      <c r="F861" s="34"/>
      <c r="G861" s="34"/>
      <c r="H861" s="34"/>
      <c r="I861" s="34"/>
      <c r="J861" s="216"/>
      <c r="K861" s="216"/>
      <c r="L861" s="34"/>
    </row>
    <row r="862">
      <c r="B862" s="20"/>
      <c r="D862" s="20"/>
      <c r="E862" s="34"/>
      <c r="F862" s="34"/>
      <c r="G862" s="34"/>
      <c r="H862" s="34"/>
      <c r="I862" s="34"/>
      <c r="J862" s="216"/>
      <c r="K862" s="216"/>
      <c r="L862" s="34"/>
    </row>
    <row r="863">
      <c r="B863" s="20"/>
      <c r="D863" s="20"/>
      <c r="E863" s="34"/>
      <c r="F863" s="34"/>
      <c r="G863" s="34"/>
      <c r="H863" s="34"/>
      <c r="I863" s="34"/>
      <c r="J863" s="216"/>
      <c r="K863" s="216"/>
      <c r="L863" s="34"/>
    </row>
    <row r="864">
      <c r="B864" s="20"/>
      <c r="D864" s="20"/>
      <c r="E864" s="34"/>
      <c r="F864" s="34"/>
      <c r="G864" s="34"/>
      <c r="H864" s="34"/>
      <c r="I864" s="34"/>
      <c r="J864" s="216"/>
      <c r="K864" s="216"/>
      <c r="L864" s="34"/>
    </row>
    <row r="865">
      <c r="B865" s="20"/>
      <c r="D865" s="20"/>
      <c r="E865" s="34"/>
      <c r="F865" s="34"/>
      <c r="G865" s="34"/>
      <c r="H865" s="34"/>
      <c r="I865" s="34"/>
      <c r="J865" s="216"/>
      <c r="K865" s="216"/>
      <c r="L865" s="34"/>
    </row>
    <row r="866">
      <c r="B866" s="20"/>
      <c r="D866" s="20"/>
      <c r="E866" s="34"/>
      <c r="F866" s="34"/>
      <c r="G866" s="34"/>
      <c r="H866" s="34"/>
      <c r="I866" s="34"/>
      <c r="J866" s="216"/>
      <c r="K866" s="216"/>
      <c r="L866" s="34"/>
    </row>
    <row r="867">
      <c r="B867" s="20"/>
      <c r="D867" s="20"/>
      <c r="E867" s="34"/>
      <c r="F867" s="34"/>
      <c r="G867" s="34"/>
      <c r="H867" s="34"/>
      <c r="I867" s="34"/>
      <c r="J867" s="216"/>
      <c r="K867" s="216"/>
      <c r="L867" s="34"/>
    </row>
    <row r="868">
      <c r="B868" s="20"/>
      <c r="D868" s="20"/>
      <c r="E868" s="34"/>
      <c r="F868" s="34"/>
      <c r="G868" s="34"/>
      <c r="H868" s="34"/>
      <c r="I868" s="34"/>
      <c r="J868" s="216"/>
      <c r="K868" s="216"/>
      <c r="L868" s="34"/>
    </row>
    <row r="869">
      <c r="B869" s="20"/>
      <c r="D869" s="20"/>
      <c r="E869" s="34"/>
      <c r="F869" s="34"/>
      <c r="G869" s="34"/>
      <c r="H869" s="34"/>
      <c r="I869" s="34"/>
      <c r="J869" s="216"/>
      <c r="K869" s="216"/>
      <c r="L869" s="34"/>
    </row>
    <row r="870">
      <c r="B870" s="20"/>
      <c r="D870" s="20"/>
      <c r="E870" s="34"/>
      <c r="F870" s="34"/>
      <c r="G870" s="34"/>
      <c r="H870" s="34"/>
      <c r="I870" s="34"/>
      <c r="J870" s="216"/>
      <c r="K870" s="216"/>
      <c r="L870" s="34"/>
    </row>
    <row r="871">
      <c r="B871" s="20"/>
      <c r="D871" s="20"/>
      <c r="E871" s="34"/>
      <c r="F871" s="34"/>
      <c r="G871" s="34"/>
      <c r="H871" s="34"/>
      <c r="I871" s="34"/>
      <c r="J871" s="216"/>
      <c r="K871" s="216"/>
      <c r="L871" s="34"/>
    </row>
    <row r="872">
      <c r="B872" s="20"/>
      <c r="D872" s="20"/>
      <c r="E872" s="34"/>
      <c r="F872" s="34"/>
      <c r="G872" s="34"/>
      <c r="H872" s="34"/>
      <c r="I872" s="34"/>
      <c r="J872" s="216"/>
      <c r="K872" s="216"/>
      <c r="L872" s="34"/>
    </row>
    <row r="873">
      <c r="B873" s="20"/>
      <c r="D873" s="20"/>
      <c r="E873" s="34"/>
      <c r="F873" s="34"/>
      <c r="G873" s="34"/>
      <c r="H873" s="34"/>
      <c r="I873" s="34"/>
      <c r="J873" s="216"/>
      <c r="K873" s="216"/>
      <c r="L873" s="34"/>
    </row>
    <row r="874">
      <c r="B874" s="20"/>
      <c r="D874" s="20"/>
      <c r="E874" s="34"/>
      <c r="F874" s="34"/>
      <c r="G874" s="34"/>
      <c r="H874" s="34"/>
      <c r="I874" s="34"/>
      <c r="J874" s="216"/>
      <c r="K874" s="216"/>
      <c r="L874" s="34"/>
    </row>
    <row r="875">
      <c r="B875" s="20"/>
      <c r="D875" s="20"/>
      <c r="E875" s="34"/>
      <c r="F875" s="34"/>
      <c r="G875" s="34"/>
      <c r="H875" s="34"/>
      <c r="I875" s="34"/>
      <c r="J875" s="216"/>
      <c r="K875" s="216"/>
      <c r="L875" s="34"/>
    </row>
    <row r="876">
      <c r="B876" s="20"/>
      <c r="D876" s="20"/>
      <c r="E876" s="34"/>
      <c r="F876" s="34"/>
      <c r="G876" s="34"/>
      <c r="H876" s="34"/>
      <c r="I876" s="34"/>
      <c r="J876" s="216"/>
      <c r="K876" s="216"/>
      <c r="L876" s="34"/>
    </row>
    <row r="877">
      <c r="B877" s="20"/>
      <c r="D877" s="20"/>
      <c r="E877" s="34"/>
      <c r="F877" s="34"/>
      <c r="G877" s="34"/>
      <c r="H877" s="34"/>
      <c r="I877" s="34"/>
      <c r="J877" s="216"/>
      <c r="K877" s="216"/>
      <c r="L877" s="34"/>
    </row>
    <row r="878">
      <c r="B878" s="20"/>
      <c r="D878" s="20"/>
      <c r="E878" s="34"/>
      <c r="F878" s="34"/>
      <c r="G878" s="34"/>
      <c r="H878" s="34"/>
      <c r="I878" s="34"/>
      <c r="J878" s="216"/>
      <c r="K878" s="216"/>
      <c r="L878" s="34"/>
    </row>
    <row r="879">
      <c r="B879" s="20"/>
      <c r="D879" s="20"/>
      <c r="E879" s="34"/>
      <c r="F879" s="34"/>
      <c r="G879" s="34"/>
      <c r="H879" s="34"/>
      <c r="I879" s="34"/>
      <c r="J879" s="216"/>
      <c r="K879" s="216"/>
      <c r="L879" s="34"/>
    </row>
    <row r="880">
      <c r="B880" s="20"/>
      <c r="D880" s="20"/>
      <c r="E880" s="34"/>
      <c r="F880" s="34"/>
      <c r="G880" s="34"/>
      <c r="H880" s="34"/>
      <c r="I880" s="34"/>
      <c r="J880" s="216"/>
      <c r="K880" s="216"/>
      <c r="L880" s="34"/>
    </row>
    <row r="881">
      <c r="B881" s="20"/>
      <c r="D881" s="20"/>
      <c r="E881" s="34"/>
      <c r="F881" s="34"/>
      <c r="G881" s="34"/>
      <c r="H881" s="34"/>
      <c r="I881" s="34"/>
      <c r="J881" s="216"/>
      <c r="K881" s="216"/>
      <c r="L881" s="34"/>
    </row>
    <row r="882">
      <c r="B882" s="20"/>
      <c r="D882" s="20"/>
      <c r="E882" s="34"/>
      <c r="F882" s="34"/>
      <c r="G882" s="34"/>
      <c r="H882" s="34"/>
      <c r="I882" s="34"/>
      <c r="J882" s="216"/>
      <c r="K882" s="216"/>
      <c r="L882" s="34"/>
    </row>
    <row r="883">
      <c r="B883" s="20"/>
      <c r="D883" s="20"/>
      <c r="E883" s="34"/>
      <c r="F883" s="34"/>
      <c r="G883" s="34"/>
      <c r="H883" s="34"/>
      <c r="I883" s="34"/>
      <c r="J883" s="216"/>
      <c r="K883" s="216"/>
      <c r="L883" s="34"/>
    </row>
    <row r="884">
      <c r="B884" s="20"/>
      <c r="D884" s="20"/>
      <c r="E884" s="34"/>
      <c r="F884" s="34"/>
      <c r="G884" s="34"/>
      <c r="H884" s="34"/>
      <c r="I884" s="34"/>
      <c r="J884" s="216"/>
      <c r="K884" s="216"/>
      <c r="L884" s="34"/>
    </row>
    <row r="885">
      <c r="B885" s="20"/>
      <c r="D885" s="20"/>
      <c r="E885" s="34"/>
      <c r="F885" s="34"/>
      <c r="G885" s="34"/>
      <c r="H885" s="34"/>
      <c r="I885" s="34"/>
      <c r="J885" s="216"/>
      <c r="K885" s="216"/>
      <c r="L885" s="34"/>
    </row>
    <row r="886">
      <c r="B886" s="20"/>
      <c r="D886" s="20"/>
      <c r="E886" s="34"/>
      <c r="F886" s="34"/>
      <c r="G886" s="34"/>
      <c r="H886" s="34"/>
      <c r="I886" s="34"/>
      <c r="J886" s="216"/>
      <c r="K886" s="216"/>
      <c r="L886" s="34"/>
    </row>
    <row r="887">
      <c r="B887" s="20"/>
      <c r="D887" s="20"/>
      <c r="E887" s="34"/>
      <c r="F887" s="34"/>
      <c r="G887" s="34"/>
      <c r="H887" s="34"/>
      <c r="I887" s="34"/>
      <c r="J887" s="216"/>
      <c r="K887" s="216"/>
      <c r="L887" s="34"/>
    </row>
    <row r="888">
      <c r="B888" s="20"/>
      <c r="D888" s="20"/>
      <c r="E888" s="34"/>
      <c r="F888" s="34"/>
      <c r="G888" s="34"/>
      <c r="H888" s="34"/>
      <c r="I888" s="34"/>
      <c r="J888" s="216"/>
      <c r="K888" s="216"/>
      <c r="L888" s="34"/>
    </row>
    <row r="889">
      <c r="B889" s="20"/>
      <c r="D889" s="20"/>
      <c r="E889" s="34"/>
      <c r="F889" s="34"/>
      <c r="G889" s="34"/>
      <c r="H889" s="34"/>
      <c r="I889" s="34"/>
      <c r="J889" s="216"/>
      <c r="K889" s="216"/>
      <c r="L889" s="34"/>
    </row>
    <row r="890">
      <c r="B890" s="20"/>
      <c r="D890" s="20"/>
      <c r="E890" s="34"/>
      <c r="F890" s="34"/>
      <c r="G890" s="34"/>
      <c r="H890" s="34"/>
      <c r="I890" s="34"/>
      <c r="J890" s="216"/>
      <c r="K890" s="216"/>
      <c r="L890" s="34"/>
    </row>
    <row r="891">
      <c r="B891" s="20"/>
      <c r="D891" s="20"/>
      <c r="E891" s="34"/>
      <c r="F891" s="34"/>
      <c r="G891" s="34"/>
      <c r="H891" s="34"/>
      <c r="I891" s="34"/>
      <c r="J891" s="216"/>
      <c r="K891" s="216"/>
      <c r="L891" s="34"/>
    </row>
    <row r="892">
      <c r="B892" s="20"/>
      <c r="D892" s="20"/>
      <c r="E892" s="34"/>
      <c r="F892" s="34"/>
      <c r="G892" s="34"/>
      <c r="H892" s="34"/>
      <c r="I892" s="34"/>
      <c r="J892" s="216"/>
      <c r="K892" s="216"/>
      <c r="L892" s="34"/>
    </row>
    <row r="893">
      <c r="B893" s="20"/>
      <c r="D893" s="20"/>
      <c r="E893" s="34"/>
      <c r="F893" s="34"/>
      <c r="G893" s="34"/>
      <c r="H893" s="34"/>
      <c r="I893" s="34"/>
      <c r="J893" s="216"/>
      <c r="K893" s="216"/>
      <c r="L893" s="34"/>
    </row>
    <row r="894">
      <c r="B894" s="20"/>
      <c r="D894" s="20"/>
      <c r="E894" s="34"/>
      <c r="F894" s="34"/>
      <c r="G894" s="34"/>
      <c r="H894" s="34"/>
      <c r="I894" s="34"/>
      <c r="J894" s="216"/>
      <c r="K894" s="216"/>
      <c r="L894" s="34"/>
    </row>
    <row r="895">
      <c r="B895" s="20"/>
      <c r="D895" s="20"/>
      <c r="E895" s="34"/>
      <c r="F895" s="34"/>
      <c r="G895" s="34"/>
      <c r="H895" s="34"/>
      <c r="I895" s="34"/>
      <c r="J895" s="216"/>
      <c r="K895" s="216"/>
      <c r="L895" s="34"/>
    </row>
    <row r="896">
      <c r="B896" s="20"/>
      <c r="D896" s="20"/>
      <c r="E896" s="34"/>
      <c r="F896" s="34"/>
      <c r="G896" s="34"/>
      <c r="H896" s="34"/>
      <c r="I896" s="34"/>
      <c r="J896" s="216"/>
      <c r="K896" s="216"/>
      <c r="L896" s="34"/>
    </row>
    <row r="897">
      <c r="B897" s="20"/>
      <c r="D897" s="20"/>
      <c r="E897" s="34"/>
      <c r="F897" s="34"/>
      <c r="G897" s="34"/>
      <c r="H897" s="34"/>
      <c r="I897" s="34"/>
      <c r="J897" s="216"/>
      <c r="K897" s="216"/>
      <c r="L897" s="34"/>
    </row>
    <row r="898">
      <c r="B898" s="20"/>
      <c r="D898" s="20"/>
      <c r="E898" s="34"/>
      <c r="F898" s="34"/>
      <c r="G898" s="34"/>
      <c r="H898" s="34"/>
      <c r="I898" s="34"/>
      <c r="J898" s="216"/>
      <c r="K898" s="216"/>
      <c r="L898" s="34"/>
    </row>
    <row r="899">
      <c r="B899" s="20"/>
      <c r="D899" s="20"/>
      <c r="E899" s="34"/>
      <c r="F899" s="34"/>
      <c r="G899" s="34"/>
      <c r="H899" s="34"/>
      <c r="I899" s="34"/>
      <c r="J899" s="216"/>
      <c r="K899" s="216"/>
      <c r="L899" s="34"/>
    </row>
    <row r="900">
      <c r="B900" s="20"/>
      <c r="D900" s="20"/>
      <c r="E900" s="34"/>
      <c r="F900" s="34"/>
      <c r="G900" s="34"/>
      <c r="H900" s="34"/>
      <c r="I900" s="34"/>
      <c r="J900" s="216"/>
      <c r="K900" s="216"/>
      <c r="L900" s="34"/>
    </row>
    <row r="901">
      <c r="B901" s="20"/>
      <c r="D901" s="20"/>
      <c r="E901" s="34"/>
      <c r="F901" s="34"/>
      <c r="G901" s="34"/>
      <c r="H901" s="34"/>
      <c r="I901" s="34"/>
      <c r="J901" s="216"/>
      <c r="K901" s="216"/>
      <c r="L901" s="34"/>
    </row>
    <row r="902">
      <c r="B902" s="20"/>
      <c r="D902" s="20"/>
      <c r="E902" s="34"/>
      <c r="F902" s="34"/>
      <c r="G902" s="34"/>
      <c r="H902" s="34"/>
      <c r="I902" s="34"/>
      <c r="J902" s="216"/>
      <c r="K902" s="216"/>
      <c r="L902" s="34"/>
    </row>
    <row r="903">
      <c r="B903" s="20"/>
      <c r="D903" s="20"/>
      <c r="E903" s="34"/>
      <c r="F903" s="34"/>
      <c r="G903" s="34"/>
      <c r="H903" s="34"/>
      <c r="I903" s="34"/>
      <c r="J903" s="216"/>
      <c r="K903" s="216"/>
      <c r="L903" s="34"/>
    </row>
    <row r="904">
      <c r="B904" s="20"/>
      <c r="D904" s="20"/>
      <c r="E904" s="34"/>
      <c r="F904" s="34"/>
      <c r="G904" s="34"/>
      <c r="H904" s="34"/>
      <c r="I904" s="34"/>
      <c r="J904" s="216"/>
      <c r="K904" s="216"/>
      <c r="L904" s="34"/>
    </row>
    <row r="905">
      <c r="B905" s="20"/>
      <c r="D905" s="20"/>
      <c r="E905" s="34"/>
      <c r="F905" s="34"/>
      <c r="G905" s="34"/>
      <c r="H905" s="34"/>
      <c r="I905" s="34"/>
      <c r="J905" s="216"/>
      <c r="K905" s="216"/>
      <c r="L905" s="34"/>
    </row>
    <row r="906">
      <c r="B906" s="20"/>
      <c r="D906" s="20"/>
      <c r="E906" s="34"/>
      <c r="F906" s="34"/>
      <c r="G906" s="34"/>
      <c r="H906" s="34"/>
      <c r="I906" s="34"/>
      <c r="J906" s="216"/>
      <c r="K906" s="216"/>
      <c r="L906" s="34"/>
    </row>
    <row r="907">
      <c r="B907" s="20"/>
      <c r="D907" s="20"/>
      <c r="E907" s="34"/>
      <c r="F907" s="34"/>
      <c r="G907" s="34"/>
      <c r="H907" s="34"/>
      <c r="I907" s="34"/>
      <c r="J907" s="216"/>
      <c r="K907" s="216"/>
      <c r="L907" s="34"/>
    </row>
    <row r="908">
      <c r="B908" s="20"/>
      <c r="D908" s="20"/>
      <c r="E908" s="34"/>
      <c r="F908" s="34"/>
      <c r="G908" s="34"/>
      <c r="H908" s="34"/>
      <c r="I908" s="34"/>
      <c r="J908" s="216"/>
      <c r="K908" s="216"/>
      <c r="L908" s="34"/>
    </row>
    <row r="909">
      <c r="B909" s="20"/>
      <c r="D909" s="20"/>
      <c r="E909" s="34"/>
      <c r="F909" s="34"/>
      <c r="G909" s="34"/>
      <c r="H909" s="34"/>
      <c r="I909" s="34"/>
      <c r="J909" s="216"/>
      <c r="K909" s="216"/>
      <c r="L909" s="34"/>
    </row>
    <row r="910">
      <c r="B910" s="20"/>
      <c r="D910" s="20"/>
      <c r="E910" s="34"/>
      <c r="F910" s="34"/>
      <c r="G910" s="34"/>
      <c r="H910" s="34"/>
      <c r="I910" s="34"/>
      <c r="J910" s="216"/>
      <c r="K910" s="216"/>
      <c r="L910" s="34"/>
    </row>
    <row r="911">
      <c r="B911" s="20"/>
      <c r="D911" s="20"/>
      <c r="E911" s="34"/>
      <c r="F911" s="34"/>
      <c r="G911" s="34"/>
      <c r="H911" s="34"/>
      <c r="I911" s="34"/>
      <c r="J911" s="216"/>
      <c r="K911" s="216"/>
      <c r="L911" s="34"/>
    </row>
    <row r="912">
      <c r="B912" s="20"/>
      <c r="D912" s="20"/>
      <c r="E912" s="34"/>
      <c r="F912" s="34"/>
      <c r="G912" s="34"/>
      <c r="H912" s="34"/>
      <c r="I912" s="34"/>
      <c r="J912" s="216"/>
      <c r="K912" s="216"/>
      <c r="L912" s="34"/>
    </row>
    <row r="913">
      <c r="B913" s="20"/>
      <c r="D913" s="20"/>
      <c r="E913" s="34"/>
      <c r="F913" s="34"/>
      <c r="G913" s="34"/>
      <c r="H913" s="34"/>
      <c r="I913" s="34"/>
      <c r="J913" s="216"/>
      <c r="K913" s="216"/>
      <c r="L913" s="34"/>
    </row>
    <row r="914">
      <c r="B914" s="20"/>
      <c r="D914" s="20"/>
      <c r="E914" s="34"/>
      <c r="F914" s="34"/>
      <c r="G914" s="34"/>
      <c r="H914" s="34"/>
      <c r="I914" s="34"/>
      <c r="J914" s="216"/>
      <c r="K914" s="216"/>
      <c r="L914" s="34"/>
    </row>
    <row r="915">
      <c r="B915" s="20"/>
      <c r="D915" s="20"/>
      <c r="E915" s="34"/>
      <c r="F915" s="34"/>
      <c r="G915" s="34"/>
      <c r="H915" s="34"/>
      <c r="I915" s="34"/>
      <c r="J915" s="216"/>
      <c r="K915" s="216"/>
      <c r="L915" s="34"/>
    </row>
    <row r="916">
      <c r="B916" s="20"/>
      <c r="D916" s="20"/>
      <c r="E916" s="34"/>
      <c r="F916" s="34"/>
      <c r="G916" s="34"/>
      <c r="H916" s="34"/>
      <c r="I916" s="34"/>
      <c r="J916" s="216"/>
      <c r="K916" s="216"/>
      <c r="L916" s="34"/>
    </row>
    <row r="917">
      <c r="B917" s="20"/>
      <c r="D917" s="20"/>
      <c r="E917" s="34"/>
      <c r="F917" s="34"/>
      <c r="G917" s="34"/>
      <c r="H917" s="34"/>
      <c r="I917" s="34"/>
      <c r="J917" s="216"/>
      <c r="K917" s="216"/>
      <c r="L917" s="34"/>
    </row>
    <row r="918">
      <c r="B918" s="20"/>
      <c r="D918" s="20"/>
      <c r="E918" s="34"/>
      <c r="F918" s="34"/>
      <c r="G918" s="34"/>
      <c r="H918" s="34"/>
      <c r="I918" s="34"/>
      <c r="J918" s="216"/>
      <c r="K918" s="216"/>
      <c r="L918" s="34"/>
    </row>
    <row r="919">
      <c r="B919" s="20"/>
      <c r="D919" s="20"/>
      <c r="E919" s="34"/>
      <c r="F919" s="34"/>
      <c r="G919" s="34"/>
      <c r="H919" s="34"/>
      <c r="I919" s="34"/>
      <c r="J919" s="216"/>
      <c r="K919" s="216"/>
      <c r="L919" s="34"/>
    </row>
    <row r="920">
      <c r="B920" s="20"/>
      <c r="D920" s="20"/>
      <c r="E920" s="34"/>
      <c r="F920" s="34"/>
      <c r="G920" s="34"/>
      <c r="H920" s="34"/>
      <c r="I920" s="34"/>
      <c r="J920" s="216"/>
      <c r="K920" s="216"/>
      <c r="L920" s="34"/>
    </row>
    <row r="921">
      <c r="B921" s="20"/>
      <c r="D921" s="20"/>
      <c r="E921" s="34"/>
      <c r="F921" s="34"/>
      <c r="G921" s="34"/>
      <c r="H921" s="34"/>
      <c r="I921" s="34"/>
      <c r="J921" s="216"/>
      <c r="K921" s="216"/>
      <c r="L921" s="34"/>
    </row>
    <row r="922">
      <c r="B922" s="20"/>
      <c r="D922" s="20"/>
      <c r="E922" s="34"/>
      <c r="F922" s="34"/>
      <c r="G922" s="34"/>
      <c r="H922" s="34"/>
      <c r="I922" s="34"/>
      <c r="J922" s="216"/>
      <c r="K922" s="216"/>
      <c r="L922" s="34"/>
    </row>
    <row r="923">
      <c r="B923" s="20"/>
      <c r="D923" s="20"/>
      <c r="E923" s="34"/>
      <c r="F923" s="34"/>
      <c r="G923" s="34"/>
      <c r="H923" s="34"/>
      <c r="I923" s="34"/>
      <c r="J923" s="216"/>
      <c r="K923" s="216"/>
      <c r="L923" s="34"/>
    </row>
    <row r="924">
      <c r="B924" s="20"/>
      <c r="D924" s="20"/>
      <c r="E924" s="34"/>
      <c r="F924" s="34"/>
      <c r="G924" s="34"/>
      <c r="H924" s="34"/>
      <c r="I924" s="34"/>
      <c r="J924" s="216"/>
      <c r="K924" s="216"/>
      <c r="L924" s="34"/>
    </row>
    <row r="925">
      <c r="B925" s="20"/>
      <c r="D925" s="20"/>
      <c r="E925" s="34"/>
      <c r="F925" s="34"/>
      <c r="G925" s="34"/>
      <c r="H925" s="34"/>
      <c r="I925" s="34"/>
      <c r="J925" s="216"/>
      <c r="K925" s="216"/>
      <c r="L925" s="34"/>
    </row>
    <row r="926">
      <c r="B926" s="20"/>
      <c r="D926" s="20"/>
      <c r="E926" s="34"/>
      <c r="F926" s="34"/>
      <c r="G926" s="34"/>
      <c r="H926" s="34"/>
      <c r="I926" s="34"/>
      <c r="J926" s="216"/>
      <c r="K926" s="216"/>
      <c r="L926" s="34"/>
    </row>
    <row r="927">
      <c r="B927" s="20"/>
      <c r="D927" s="20"/>
      <c r="E927" s="34"/>
      <c r="F927" s="34"/>
      <c r="G927" s="34"/>
      <c r="H927" s="34"/>
      <c r="I927" s="34"/>
      <c r="J927" s="216"/>
      <c r="K927" s="216"/>
      <c r="L927" s="34"/>
    </row>
    <row r="928">
      <c r="B928" s="20"/>
      <c r="D928" s="20"/>
      <c r="E928" s="34"/>
      <c r="F928" s="34"/>
      <c r="G928" s="34"/>
      <c r="H928" s="34"/>
      <c r="I928" s="34"/>
      <c r="J928" s="216"/>
      <c r="K928" s="216"/>
      <c r="L928" s="34"/>
    </row>
    <row r="929">
      <c r="B929" s="20"/>
      <c r="D929" s="20"/>
      <c r="E929" s="34"/>
      <c r="F929" s="34"/>
      <c r="G929" s="34"/>
      <c r="H929" s="34"/>
      <c r="I929" s="34"/>
      <c r="J929" s="216"/>
      <c r="K929" s="216"/>
      <c r="L929" s="34"/>
    </row>
    <row r="930">
      <c r="B930" s="20"/>
      <c r="D930" s="20"/>
      <c r="E930" s="34"/>
      <c r="F930" s="34"/>
      <c r="G930" s="34"/>
      <c r="H930" s="34"/>
      <c r="I930" s="34"/>
      <c r="J930" s="216"/>
      <c r="K930" s="216"/>
      <c r="L930" s="34"/>
    </row>
    <row r="931">
      <c r="B931" s="20"/>
      <c r="D931" s="20"/>
      <c r="E931" s="34"/>
      <c r="F931" s="34"/>
      <c r="G931" s="34"/>
      <c r="H931" s="34"/>
      <c r="I931" s="34"/>
      <c r="J931" s="216"/>
      <c r="K931" s="216"/>
      <c r="L931" s="34"/>
    </row>
    <row r="932">
      <c r="B932" s="20"/>
      <c r="D932" s="20"/>
      <c r="E932" s="34"/>
      <c r="F932" s="34"/>
      <c r="G932" s="34"/>
      <c r="H932" s="34"/>
      <c r="I932" s="34"/>
      <c r="J932" s="216"/>
      <c r="K932" s="216"/>
      <c r="L932" s="34"/>
    </row>
    <row r="933">
      <c r="B933" s="20"/>
      <c r="D933" s="20"/>
      <c r="E933" s="34"/>
      <c r="F933" s="34"/>
      <c r="G933" s="34"/>
      <c r="H933" s="34"/>
      <c r="I933" s="34"/>
      <c r="J933" s="216"/>
      <c r="K933" s="216"/>
      <c r="L933" s="34"/>
    </row>
    <row r="934">
      <c r="B934" s="20"/>
      <c r="D934" s="20"/>
      <c r="E934" s="34"/>
      <c r="F934" s="34"/>
      <c r="G934" s="34"/>
      <c r="H934" s="34"/>
      <c r="I934" s="34"/>
      <c r="J934" s="216"/>
      <c r="K934" s="216"/>
      <c r="L934" s="34"/>
    </row>
    <row r="935">
      <c r="B935" s="20"/>
      <c r="D935" s="20"/>
      <c r="E935" s="34"/>
      <c r="F935" s="34"/>
      <c r="G935" s="34"/>
      <c r="H935" s="34"/>
      <c r="I935" s="34"/>
      <c r="J935" s="216"/>
      <c r="K935" s="216"/>
      <c r="L935" s="34"/>
    </row>
    <row r="936">
      <c r="B936" s="20"/>
      <c r="D936" s="20"/>
      <c r="E936" s="34"/>
      <c r="F936" s="34"/>
      <c r="G936" s="34"/>
      <c r="H936" s="34"/>
      <c r="I936" s="34"/>
      <c r="J936" s="216"/>
      <c r="K936" s="216"/>
      <c r="L936" s="34"/>
    </row>
    <row r="937">
      <c r="B937" s="20"/>
      <c r="D937" s="20"/>
      <c r="E937" s="34"/>
      <c r="F937" s="34"/>
      <c r="G937" s="34"/>
      <c r="H937" s="34"/>
      <c r="I937" s="34"/>
      <c r="J937" s="216"/>
      <c r="K937" s="216"/>
      <c r="L937" s="34"/>
    </row>
    <row r="938">
      <c r="B938" s="20"/>
      <c r="D938" s="20"/>
      <c r="E938" s="34"/>
      <c r="F938" s="34"/>
      <c r="G938" s="34"/>
      <c r="H938" s="34"/>
      <c r="I938" s="34"/>
      <c r="J938" s="216"/>
      <c r="K938" s="216"/>
      <c r="L938" s="34"/>
    </row>
    <row r="939">
      <c r="B939" s="20"/>
      <c r="D939" s="20"/>
      <c r="E939" s="34"/>
      <c r="F939" s="34"/>
      <c r="G939" s="34"/>
      <c r="H939" s="34"/>
      <c r="I939" s="34"/>
      <c r="J939" s="216"/>
      <c r="K939" s="216"/>
      <c r="L939" s="34"/>
    </row>
    <row r="940">
      <c r="B940" s="20"/>
      <c r="D940" s="20"/>
      <c r="E940" s="34"/>
      <c r="F940" s="34"/>
      <c r="G940" s="34"/>
      <c r="H940" s="34"/>
      <c r="I940" s="34"/>
      <c r="J940" s="216"/>
      <c r="K940" s="216"/>
      <c r="L940" s="34"/>
    </row>
    <row r="941">
      <c r="B941" s="20"/>
      <c r="D941" s="20"/>
      <c r="E941" s="34"/>
      <c r="F941" s="34"/>
      <c r="G941" s="34"/>
      <c r="H941" s="34"/>
      <c r="I941" s="34"/>
      <c r="J941" s="216"/>
      <c r="K941" s="216"/>
      <c r="L941" s="34"/>
    </row>
    <row r="942">
      <c r="B942" s="20"/>
      <c r="D942" s="20"/>
      <c r="E942" s="34"/>
      <c r="F942" s="34"/>
      <c r="G942" s="34"/>
      <c r="H942" s="34"/>
      <c r="I942" s="34"/>
      <c r="J942" s="216"/>
      <c r="K942" s="216"/>
      <c r="L942" s="34"/>
    </row>
    <row r="943">
      <c r="B943" s="20"/>
      <c r="D943" s="20"/>
      <c r="E943" s="34"/>
      <c r="F943" s="34"/>
      <c r="G943" s="34"/>
      <c r="H943" s="34"/>
      <c r="I943" s="34"/>
      <c r="J943" s="216"/>
      <c r="K943" s="216"/>
      <c r="L943" s="34"/>
    </row>
    <row r="944">
      <c r="B944" s="20"/>
      <c r="D944" s="20"/>
      <c r="E944" s="34"/>
      <c r="F944" s="34"/>
      <c r="G944" s="34"/>
      <c r="H944" s="34"/>
      <c r="I944" s="34"/>
      <c r="J944" s="216"/>
      <c r="K944" s="216"/>
      <c r="L944" s="34"/>
    </row>
    <row r="945">
      <c r="B945" s="20"/>
      <c r="D945" s="20"/>
      <c r="E945" s="34"/>
      <c r="F945" s="34"/>
      <c r="G945" s="34"/>
      <c r="H945" s="34"/>
      <c r="I945" s="34"/>
      <c r="J945" s="216"/>
      <c r="K945" s="216"/>
      <c r="L945" s="34"/>
    </row>
    <row r="946">
      <c r="B946" s="20"/>
      <c r="D946" s="20"/>
      <c r="E946" s="34"/>
      <c r="F946" s="34"/>
      <c r="G946" s="34"/>
      <c r="H946" s="34"/>
      <c r="I946" s="34"/>
      <c r="J946" s="216"/>
      <c r="K946" s="216"/>
      <c r="L946" s="34"/>
    </row>
    <row r="947">
      <c r="B947" s="20"/>
      <c r="D947" s="20"/>
      <c r="E947" s="34"/>
      <c r="F947" s="34"/>
      <c r="G947" s="34"/>
      <c r="H947" s="34"/>
      <c r="I947" s="34"/>
      <c r="J947" s="216"/>
      <c r="K947" s="216"/>
      <c r="L947" s="34"/>
    </row>
    <row r="948">
      <c r="B948" s="20"/>
      <c r="D948" s="20"/>
      <c r="E948" s="34"/>
      <c r="F948" s="34"/>
      <c r="G948" s="34"/>
      <c r="H948" s="34"/>
      <c r="I948" s="34"/>
      <c r="J948" s="216"/>
      <c r="K948" s="216"/>
      <c r="L948" s="34"/>
    </row>
    <row r="949">
      <c r="B949" s="20"/>
      <c r="D949" s="20"/>
      <c r="E949" s="34"/>
      <c r="F949" s="34"/>
      <c r="G949" s="34"/>
      <c r="H949" s="34"/>
      <c r="I949" s="34"/>
      <c r="J949" s="216"/>
      <c r="K949" s="216"/>
      <c r="L949" s="34"/>
    </row>
    <row r="950">
      <c r="B950" s="20"/>
      <c r="D950" s="20"/>
      <c r="E950" s="34"/>
      <c r="F950" s="34"/>
      <c r="G950" s="34"/>
      <c r="H950" s="34"/>
      <c r="I950" s="34"/>
      <c r="J950" s="216"/>
      <c r="K950" s="216"/>
      <c r="L950" s="34"/>
    </row>
    <row r="951">
      <c r="B951" s="20"/>
      <c r="D951" s="20"/>
      <c r="E951" s="34"/>
      <c r="F951" s="34"/>
      <c r="G951" s="34"/>
      <c r="H951" s="34"/>
      <c r="I951" s="34"/>
      <c r="J951" s="216"/>
      <c r="K951" s="216"/>
      <c r="L951" s="34"/>
    </row>
    <row r="952">
      <c r="B952" s="20"/>
      <c r="D952" s="20"/>
      <c r="E952" s="34"/>
      <c r="F952" s="34"/>
      <c r="G952" s="34"/>
      <c r="H952" s="34"/>
      <c r="I952" s="34"/>
      <c r="J952" s="216"/>
      <c r="K952" s="216"/>
      <c r="L952" s="34"/>
    </row>
    <row r="953">
      <c r="B953" s="20"/>
      <c r="D953" s="20"/>
      <c r="E953" s="34"/>
      <c r="F953" s="34"/>
      <c r="G953" s="34"/>
      <c r="H953" s="34"/>
      <c r="I953" s="34"/>
      <c r="J953" s="216"/>
      <c r="K953" s="216"/>
      <c r="L953" s="34"/>
    </row>
    <row r="954">
      <c r="B954" s="20"/>
      <c r="D954" s="20"/>
      <c r="E954" s="34"/>
      <c r="F954" s="34"/>
      <c r="G954" s="34"/>
      <c r="H954" s="34"/>
      <c r="I954" s="34"/>
      <c r="J954" s="216"/>
      <c r="K954" s="216"/>
      <c r="L954" s="34"/>
    </row>
    <row r="955">
      <c r="B955" s="20"/>
      <c r="D955" s="20"/>
      <c r="E955" s="34"/>
      <c r="F955" s="34"/>
      <c r="G955" s="34"/>
      <c r="H955" s="34"/>
      <c r="I955" s="34"/>
      <c r="J955" s="216"/>
      <c r="K955" s="216"/>
      <c r="L955" s="34"/>
    </row>
    <row r="956">
      <c r="B956" s="20"/>
      <c r="D956" s="20"/>
      <c r="E956" s="34"/>
      <c r="F956" s="34"/>
      <c r="G956" s="34"/>
      <c r="H956" s="34"/>
      <c r="I956" s="34"/>
      <c r="J956" s="216"/>
      <c r="K956" s="216"/>
      <c r="L956" s="34"/>
    </row>
    <row r="957">
      <c r="B957" s="20"/>
      <c r="D957" s="20"/>
      <c r="E957" s="34"/>
      <c r="F957" s="34"/>
      <c r="G957" s="34"/>
      <c r="H957" s="34"/>
      <c r="I957" s="34"/>
      <c r="J957" s="216"/>
      <c r="K957" s="216"/>
      <c r="L957" s="34"/>
    </row>
    <row r="958">
      <c r="B958" s="20"/>
      <c r="D958" s="20"/>
      <c r="E958" s="34"/>
      <c r="F958" s="34"/>
      <c r="G958" s="34"/>
      <c r="H958" s="34"/>
      <c r="I958" s="34"/>
      <c r="J958" s="216"/>
      <c r="K958" s="216"/>
      <c r="L958" s="34"/>
    </row>
    <row r="959">
      <c r="B959" s="20"/>
      <c r="D959" s="20"/>
      <c r="E959" s="34"/>
      <c r="F959" s="34"/>
      <c r="G959" s="34"/>
      <c r="H959" s="34"/>
      <c r="I959" s="34"/>
      <c r="J959" s="216"/>
      <c r="K959" s="216"/>
      <c r="L959" s="34"/>
    </row>
    <row r="960">
      <c r="B960" s="20"/>
      <c r="D960" s="20"/>
      <c r="E960" s="34"/>
      <c r="F960" s="34"/>
      <c r="G960" s="34"/>
      <c r="H960" s="34"/>
      <c r="I960" s="34"/>
      <c r="J960" s="216"/>
      <c r="K960" s="216"/>
      <c r="L960" s="34"/>
    </row>
    <row r="961">
      <c r="B961" s="20"/>
      <c r="D961" s="20"/>
      <c r="E961" s="34"/>
      <c r="F961" s="34"/>
      <c r="G961" s="34"/>
      <c r="H961" s="34"/>
      <c r="I961" s="34"/>
      <c r="J961" s="216"/>
      <c r="K961" s="216"/>
      <c r="L961" s="34"/>
    </row>
    <row r="962">
      <c r="B962" s="20"/>
      <c r="D962" s="20"/>
      <c r="E962" s="34"/>
      <c r="F962" s="34"/>
      <c r="G962" s="34"/>
      <c r="H962" s="34"/>
      <c r="I962" s="34"/>
      <c r="J962" s="216"/>
      <c r="K962" s="216"/>
      <c r="L962" s="34"/>
    </row>
    <row r="963">
      <c r="B963" s="20"/>
      <c r="D963" s="20"/>
      <c r="E963" s="34"/>
      <c r="F963" s="34"/>
      <c r="G963" s="34"/>
      <c r="H963" s="34"/>
      <c r="I963" s="34"/>
      <c r="J963" s="216"/>
      <c r="K963" s="216"/>
      <c r="L963" s="34"/>
    </row>
    <row r="964">
      <c r="B964" s="20"/>
      <c r="D964" s="20"/>
      <c r="E964" s="34"/>
      <c r="F964" s="34"/>
      <c r="G964" s="34"/>
      <c r="H964" s="34"/>
      <c r="I964" s="34"/>
      <c r="J964" s="216"/>
      <c r="K964" s="216"/>
      <c r="L964" s="34"/>
    </row>
    <row r="965">
      <c r="B965" s="20"/>
      <c r="D965" s="20"/>
      <c r="E965" s="34"/>
      <c r="F965" s="34"/>
      <c r="G965" s="34"/>
      <c r="H965" s="34"/>
      <c r="I965" s="34"/>
      <c r="J965" s="216"/>
      <c r="K965" s="216"/>
      <c r="L965" s="34"/>
    </row>
    <row r="966">
      <c r="B966" s="20"/>
      <c r="D966" s="20"/>
      <c r="E966" s="34"/>
      <c r="F966" s="34"/>
      <c r="G966" s="34"/>
      <c r="H966" s="34"/>
      <c r="I966" s="34"/>
      <c r="J966" s="216"/>
      <c r="K966" s="216"/>
      <c r="L966" s="34"/>
      <c r="M966" s="216"/>
      <c r="N966" s="34"/>
    </row>
    <row r="967">
      <c r="B967" s="20"/>
      <c r="D967" s="20"/>
      <c r="E967" s="34"/>
      <c r="F967" s="34"/>
      <c r="G967" s="34"/>
      <c r="H967" s="34"/>
      <c r="I967" s="34"/>
      <c r="J967" s="216"/>
      <c r="K967" s="216"/>
      <c r="L967" s="34"/>
      <c r="M967" s="216"/>
      <c r="N967" s="34"/>
    </row>
    <row r="968">
      <c r="B968" s="20"/>
      <c r="D968" s="20"/>
      <c r="E968" s="34"/>
      <c r="F968" s="34"/>
      <c r="G968" s="34"/>
      <c r="H968" s="34"/>
      <c r="I968" s="34"/>
      <c r="J968" s="216"/>
      <c r="K968" s="216"/>
      <c r="L968" s="34"/>
      <c r="M968" s="216"/>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3769</v>
      </c>
      <c r="E1" s="194" t="s">
        <v>5</v>
      </c>
      <c r="F1" s="194" t="s">
        <v>6</v>
      </c>
      <c r="G1" s="218" t="s">
        <v>7</v>
      </c>
      <c r="H1" s="218" t="s">
        <v>8</v>
      </c>
      <c r="I1" s="219" t="s">
        <v>9</v>
      </c>
      <c r="J1" s="220" t="s">
        <v>3770</v>
      </c>
    </row>
    <row r="2">
      <c r="A2" s="16" t="s">
        <v>3771</v>
      </c>
      <c r="B2" s="221" t="s">
        <v>3772</v>
      </c>
      <c r="C2" s="57" t="s">
        <v>2491</v>
      </c>
      <c r="D2" s="52"/>
      <c r="E2" s="52" t="s">
        <v>3773</v>
      </c>
      <c r="F2" s="55" t="s">
        <v>3774</v>
      </c>
      <c r="G2" s="57">
        <v>1.0</v>
      </c>
      <c r="H2" s="57" t="s">
        <v>101</v>
      </c>
      <c r="I2" s="57" t="s">
        <v>72</v>
      </c>
    </row>
    <row r="3">
      <c r="A3" s="52" t="s">
        <v>3775</v>
      </c>
      <c r="B3" s="221" t="s">
        <v>3772</v>
      </c>
      <c r="C3" s="57" t="s">
        <v>30</v>
      </c>
      <c r="D3" s="52" t="s">
        <v>3776</v>
      </c>
      <c r="E3" s="222" t="s">
        <v>3777</v>
      </c>
      <c r="F3" s="55" t="s">
        <v>3774</v>
      </c>
      <c r="G3" s="57">
        <v>1.0</v>
      </c>
      <c r="H3" s="57" t="s">
        <v>55</v>
      </c>
      <c r="I3" s="57" t="s">
        <v>34</v>
      </c>
    </row>
    <row r="4">
      <c r="A4" s="52" t="s">
        <v>3778</v>
      </c>
      <c r="B4" s="221" t="s">
        <v>3772</v>
      </c>
      <c r="C4" s="57" t="s">
        <v>3779</v>
      </c>
      <c r="D4" s="52" t="s">
        <v>3776</v>
      </c>
      <c r="E4" s="52" t="s">
        <v>3780</v>
      </c>
      <c r="F4" s="55" t="s">
        <v>3774</v>
      </c>
      <c r="G4" s="57">
        <v>3.0</v>
      </c>
      <c r="H4" s="57" t="s">
        <v>247</v>
      </c>
      <c r="I4" s="57" t="s">
        <v>72</v>
      </c>
    </row>
    <row r="5">
      <c r="A5" s="52" t="s">
        <v>3781</v>
      </c>
      <c r="B5" s="223" t="s">
        <v>3772</v>
      </c>
      <c r="C5" s="57" t="s">
        <v>82</v>
      </c>
      <c r="D5" s="52" t="s">
        <v>3782</v>
      </c>
      <c r="E5" s="52" t="s">
        <v>3783</v>
      </c>
      <c r="F5" s="55" t="s">
        <v>3774</v>
      </c>
      <c r="G5" s="57">
        <v>5.0</v>
      </c>
      <c r="H5" s="57" t="s">
        <v>3784</v>
      </c>
      <c r="I5" s="57" t="s">
        <v>34</v>
      </c>
    </row>
    <row r="6">
      <c r="A6" s="28" t="s">
        <v>3785</v>
      </c>
      <c r="B6" s="224" t="s">
        <v>3786</v>
      </c>
      <c r="C6" s="68" t="s">
        <v>410</v>
      </c>
      <c r="D6" s="28"/>
      <c r="E6" s="28" t="s">
        <v>3787</v>
      </c>
      <c r="F6" s="29" t="s">
        <v>3774</v>
      </c>
      <c r="G6" s="68">
        <v>0.0</v>
      </c>
      <c r="H6" s="68" t="s">
        <v>3788</v>
      </c>
      <c r="I6" s="68" t="s">
        <v>34</v>
      </c>
    </row>
    <row r="7">
      <c r="A7" s="52" t="s">
        <v>3789</v>
      </c>
      <c r="B7" s="225" t="s">
        <v>3786</v>
      </c>
      <c r="C7" s="57" t="s">
        <v>2491</v>
      </c>
      <c r="D7" s="52"/>
      <c r="E7" s="52" t="s">
        <v>3790</v>
      </c>
      <c r="F7" s="55" t="s">
        <v>3774</v>
      </c>
      <c r="G7" s="57">
        <v>3.0</v>
      </c>
      <c r="H7" s="57" t="s">
        <v>1112</v>
      </c>
      <c r="I7" s="57" t="s">
        <v>72</v>
      </c>
    </row>
    <row r="8">
      <c r="A8" s="52" t="s">
        <v>3791</v>
      </c>
      <c r="B8" s="225" t="s">
        <v>3786</v>
      </c>
      <c r="C8" s="57" t="s">
        <v>410</v>
      </c>
      <c r="D8" s="52"/>
      <c r="E8" s="52" t="s">
        <v>3792</v>
      </c>
      <c r="F8" s="55" t="s">
        <v>3774</v>
      </c>
      <c r="G8" s="57">
        <v>4.0</v>
      </c>
      <c r="H8" s="57" t="s">
        <v>518</v>
      </c>
      <c r="I8" s="57" t="s">
        <v>28</v>
      </c>
    </row>
    <row r="9">
      <c r="A9" s="52" t="s">
        <v>3793</v>
      </c>
      <c r="B9" s="225" t="s">
        <v>3786</v>
      </c>
      <c r="C9" s="57" t="s">
        <v>2491</v>
      </c>
      <c r="D9" s="52"/>
      <c r="E9" s="52" t="s">
        <v>3794</v>
      </c>
      <c r="F9" s="55" t="s">
        <v>3774</v>
      </c>
      <c r="G9" s="57">
        <v>5.0</v>
      </c>
      <c r="H9" s="57" t="s">
        <v>523</v>
      </c>
      <c r="I9" s="57" t="s">
        <v>34</v>
      </c>
    </row>
    <row r="10">
      <c r="A10" s="52" t="s">
        <v>713</v>
      </c>
      <c r="B10" s="224" t="s">
        <v>3786</v>
      </c>
      <c r="C10" s="68" t="s">
        <v>662</v>
      </c>
      <c r="D10" s="28"/>
      <c r="E10" s="28" t="s">
        <v>3795</v>
      </c>
      <c r="F10" s="29" t="s">
        <v>3774</v>
      </c>
      <c r="G10" s="68">
        <v>6.0</v>
      </c>
      <c r="H10" s="68" t="s">
        <v>3796</v>
      </c>
      <c r="I10" s="68" t="s">
        <v>72</v>
      </c>
    </row>
    <row r="11">
      <c r="A11" s="52"/>
      <c r="B11" s="226" t="s">
        <v>3797</v>
      </c>
      <c r="C11" s="57" t="s">
        <v>662</v>
      </c>
      <c r="D11" s="52"/>
      <c r="E11" s="52" t="s">
        <v>3798</v>
      </c>
      <c r="F11" s="55" t="s">
        <v>3774</v>
      </c>
      <c r="G11" s="57">
        <v>1.0</v>
      </c>
      <c r="H11" s="57" t="s">
        <v>1795</v>
      </c>
      <c r="I11" s="57" t="s">
        <v>34</v>
      </c>
    </row>
    <row r="12">
      <c r="A12" s="52" t="s">
        <v>3799</v>
      </c>
      <c r="B12" s="226" t="s">
        <v>3797</v>
      </c>
      <c r="C12" s="57" t="s">
        <v>662</v>
      </c>
      <c r="D12" s="52"/>
      <c r="E12" s="52" t="s">
        <v>3800</v>
      </c>
      <c r="F12" s="55" t="s">
        <v>3774</v>
      </c>
      <c r="G12" s="57">
        <v>2.0</v>
      </c>
      <c r="H12" s="57" t="s">
        <v>1789</v>
      </c>
      <c r="I12" s="57" t="s">
        <v>34</v>
      </c>
    </row>
    <row r="13">
      <c r="A13" s="52" t="s">
        <v>3801</v>
      </c>
      <c r="B13" s="226" t="s">
        <v>3797</v>
      </c>
      <c r="C13" s="57" t="s">
        <v>3802</v>
      </c>
      <c r="D13" s="52"/>
      <c r="E13" s="227" t="s">
        <v>3803</v>
      </c>
      <c r="F13" s="55" t="s">
        <v>3774</v>
      </c>
      <c r="G13" s="57">
        <v>3.0</v>
      </c>
      <c r="H13" s="57" t="s">
        <v>1795</v>
      </c>
      <c r="I13" s="57" t="s">
        <v>72</v>
      </c>
    </row>
    <row r="14">
      <c r="A14" s="28" t="s">
        <v>3804</v>
      </c>
      <c r="B14" s="228" t="s">
        <v>3797</v>
      </c>
      <c r="C14" s="57" t="s">
        <v>82</v>
      </c>
      <c r="D14" s="52"/>
      <c r="E14" s="52" t="s">
        <v>3805</v>
      </c>
      <c r="F14" s="55" t="s">
        <v>3774</v>
      </c>
      <c r="G14" s="57">
        <v>4.0</v>
      </c>
      <c r="H14" s="57" t="s">
        <v>1591</v>
      </c>
      <c r="I14" s="57" t="s">
        <v>28</v>
      </c>
    </row>
    <row r="15">
      <c r="A15" s="52" t="s">
        <v>3806</v>
      </c>
      <c r="B15" s="226" t="s">
        <v>3797</v>
      </c>
      <c r="C15" s="57" t="s">
        <v>1455</v>
      </c>
      <c r="D15" s="52"/>
      <c r="E15" s="29" t="s">
        <v>3807</v>
      </c>
      <c r="F15" s="29" t="s">
        <v>3774</v>
      </c>
      <c r="G15" s="57">
        <v>6.0</v>
      </c>
      <c r="H15" s="57" t="s">
        <v>2188</v>
      </c>
      <c r="I15" s="57" t="s">
        <v>72</v>
      </c>
    </row>
    <row r="16">
      <c r="A16" s="16" t="s">
        <v>3808</v>
      </c>
      <c r="B16" s="91" t="s">
        <v>3797</v>
      </c>
      <c r="C16" s="15" t="s">
        <v>3809</v>
      </c>
      <c r="F16" s="16" t="s">
        <v>3774</v>
      </c>
      <c r="G16" s="105"/>
      <c r="I16" s="15" t="s">
        <v>34</v>
      </c>
    </row>
    <row r="17">
      <c r="A17" s="52" t="s">
        <v>1528</v>
      </c>
      <c r="B17" s="229" t="s">
        <v>3810</v>
      </c>
      <c r="C17" s="57" t="s">
        <v>39</v>
      </c>
      <c r="D17" s="52"/>
      <c r="E17" s="227" t="s">
        <v>3811</v>
      </c>
      <c r="F17" s="55" t="s">
        <v>3774</v>
      </c>
      <c r="G17" s="57">
        <v>1.0</v>
      </c>
      <c r="H17" s="57" t="s">
        <v>2341</v>
      </c>
      <c r="I17" s="57" t="s">
        <v>72</v>
      </c>
    </row>
    <row r="18">
      <c r="A18" s="52" t="s">
        <v>3812</v>
      </c>
      <c r="B18" s="229" t="s">
        <v>3810</v>
      </c>
      <c r="C18" s="57" t="s">
        <v>1972</v>
      </c>
      <c r="D18" s="52"/>
      <c r="E18" s="52" t="s">
        <v>3813</v>
      </c>
      <c r="F18" s="55" t="s">
        <v>3774</v>
      </c>
      <c r="G18" s="57">
        <v>1.0</v>
      </c>
      <c r="H18" s="57" t="s">
        <v>3814</v>
      </c>
      <c r="I18" s="57" t="s">
        <v>34</v>
      </c>
    </row>
    <row r="19">
      <c r="A19" s="7" t="s">
        <v>3815</v>
      </c>
      <c r="B19" s="87"/>
      <c r="C19" s="15"/>
      <c r="E19" s="16"/>
      <c r="F19" s="16" t="s">
        <v>3774</v>
      </c>
      <c r="G19" s="15"/>
      <c r="H19" s="15"/>
      <c r="I19" s="9"/>
    </row>
    <row r="20">
      <c r="A20" s="24" t="s">
        <v>3816</v>
      </c>
      <c r="B20" s="87" t="s">
        <v>3797</v>
      </c>
      <c r="C20" s="21" t="s">
        <v>389</v>
      </c>
      <c r="D20" s="7"/>
      <c r="E20" s="7" t="s">
        <v>3817</v>
      </c>
      <c r="F20" s="7"/>
      <c r="G20" s="9">
        <v>2.0</v>
      </c>
      <c r="H20" s="9" t="s">
        <v>1564</v>
      </c>
      <c r="I20" s="21" t="s">
        <v>28</v>
      </c>
    </row>
    <row r="21">
      <c r="A21" s="16" t="s">
        <v>3818</v>
      </c>
      <c r="B21" s="14" t="s">
        <v>3772</v>
      </c>
      <c r="C21" s="15" t="s">
        <v>30</v>
      </c>
      <c r="D21" s="16" t="s">
        <v>3819</v>
      </c>
      <c r="E21" s="16" t="s">
        <v>3820</v>
      </c>
      <c r="G21" s="15">
        <v>2.0</v>
      </c>
      <c r="I21" s="105"/>
    </row>
    <row r="22">
      <c r="A22" s="16" t="s">
        <v>3821</v>
      </c>
      <c r="B22" s="16" t="s">
        <v>3822</v>
      </c>
      <c r="C22" s="105"/>
      <c r="G22" s="105"/>
      <c r="I22" s="15" t="s">
        <v>72</v>
      </c>
    </row>
    <row r="23">
      <c r="A23" s="16" t="s">
        <v>3823</v>
      </c>
      <c r="B23" s="16" t="s">
        <v>3824</v>
      </c>
      <c r="C23" s="105"/>
      <c r="G23" s="105"/>
      <c r="I23" s="105"/>
    </row>
    <row r="24">
      <c r="A24" s="16" t="s">
        <v>3816</v>
      </c>
      <c r="B24" s="16" t="s">
        <v>3797</v>
      </c>
      <c r="C24" s="15"/>
      <c r="G24" s="15"/>
      <c r="H24" s="15"/>
      <c r="I24" s="15"/>
    </row>
    <row r="25">
      <c r="A25" s="16" t="s">
        <v>3825</v>
      </c>
      <c r="B25" s="91" t="s">
        <v>3797</v>
      </c>
      <c r="C25" s="15" t="s">
        <v>3826</v>
      </c>
      <c r="E25" s="16" t="s">
        <v>3827</v>
      </c>
      <c r="F25" s="16" t="s">
        <v>1985</v>
      </c>
      <c r="G25" s="15">
        <v>0.0</v>
      </c>
      <c r="H25" s="15" t="s">
        <v>1845</v>
      </c>
      <c r="I25" s="15" t="s">
        <v>28</v>
      </c>
    </row>
    <row r="26">
      <c r="A26" s="16" t="s">
        <v>3828</v>
      </c>
    </row>
    <row r="27">
      <c r="C27" s="105"/>
      <c r="E27" s="16" t="s">
        <v>3829</v>
      </c>
    </row>
    <row r="28">
      <c r="E28" s="16" t="s">
        <v>3830</v>
      </c>
    </row>
    <row r="29">
      <c r="E29" s="16" t="s">
        <v>3831</v>
      </c>
    </row>
    <row r="30">
      <c r="E30" s="16" t="s">
        <v>3832</v>
      </c>
    </row>
    <row r="31">
      <c r="E31" s="16" t="s">
        <v>3833</v>
      </c>
    </row>
    <row r="32">
      <c r="E32" s="16" t="s">
        <v>3834</v>
      </c>
    </row>
    <row r="33">
      <c r="E33" s="16" t="s">
        <v>3835</v>
      </c>
    </row>
    <row r="34">
      <c r="E34" s="16" t="s">
        <v>3836</v>
      </c>
    </row>
    <row r="35">
      <c r="A35" s="16" t="s">
        <v>3837</v>
      </c>
      <c r="B35" s="81" t="s">
        <v>3838</v>
      </c>
      <c r="C35" s="9" t="s">
        <v>3839</v>
      </c>
      <c r="D35" s="24"/>
      <c r="E35" s="7" t="s">
        <v>3840</v>
      </c>
      <c r="F35" s="7" t="s">
        <v>660</v>
      </c>
      <c r="G35" s="9">
        <v>2.0</v>
      </c>
      <c r="H35" s="9" t="s">
        <v>1222</v>
      </c>
      <c r="I35" s="9" t="s">
        <v>72</v>
      </c>
    </row>
    <row r="36">
      <c r="A36" s="16" t="s">
        <v>3841</v>
      </c>
      <c r="B36" s="79" t="s">
        <v>3838</v>
      </c>
      <c r="C36" s="15" t="s">
        <v>2491</v>
      </c>
      <c r="D36" s="16" t="s">
        <v>26</v>
      </c>
      <c r="F36" s="15">
        <v>2.0</v>
      </c>
      <c r="G36" s="15" t="s">
        <v>1088</v>
      </c>
      <c r="H36" s="15" t="s">
        <v>72</v>
      </c>
    </row>
    <row r="37">
      <c r="A37" s="52" t="s">
        <v>1528</v>
      </c>
      <c r="B37" s="16" t="s">
        <v>3842</v>
      </c>
      <c r="C37" s="16" t="s">
        <v>39</v>
      </c>
      <c r="D37" s="16" t="s">
        <v>3843</v>
      </c>
      <c r="F37" s="15">
        <v>0.0</v>
      </c>
      <c r="G37" s="15" t="s">
        <v>1530</v>
      </c>
      <c r="H37" s="15" t="s">
        <v>72</v>
      </c>
      <c r="I37" s="16" t="s">
        <v>3844</v>
      </c>
    </row>
    <row r="38">
      <c r="E38" s="16" t="s">
        <v>3845</v>
      </c>
    </row>
    <row r="39">
      <c r="E39" s="16" t="s">
        <v>3846</v>
      </c>
    </row>
    <row r="41">
      <c r="E41" s="20" t="s">
        <v>3829</v>
      </c>
    </row>
    <row r="42">
      <c r="E42" s="20" t="s">
        <v>3830</v>
      </c>
    </row>
    <row r="43">
      <c r="E43" s="20" t="s">
        <v>3831</v>
      </c>
    </row>
    <row r="44">
      <c r="E44" s="20" t="s">
        <v>3832</v>
      </c>
    </row>
    <row r="45">
      <c r="E45" s="20" t="s">
        <v>3833</v>
      </c>
    </row>
    <row r="46">
      <c r="E46" s="16" t="s">
        <v>3847</v>
      </c>
    </row>
    <row r="47">
      <c r="E47" s="16" t="s">
        <v>3848</v>
      </c>
    </row>
    <row r="48">
      <c r="E48" s="16" t="s">
        <v>3849</v>
      </c>
    </row>
    <row r="50">
      <c r="E50" s="16" t="s">
        <v>3850</v>
      </c>
    </row>
    <row r="51">
      <c r="E51" s="16" t="s">
        <v>3851</v>
      </c>
    </row>
    <row r="52">
      <c r="E52" s="16" t="s">
        <v>2504</v>
      </c>
    </row>
    <row r="53">
      <c r="A53" s="16" t="s">
        <v>3852</v>
      </c>
      <c r="E53" s="16" t="s">
        <v>3853</v>
      </c>
    </row>
    <row r="54">
      <c r="E54" s="16" t="s">
        <v>3854</v>
      </c>
    </row>
    <row r="55">
      <c r="A55" s="16" t="s">
        <v>3688</v>
      </c>
      <c r="E55" s="16" t="s">
        <v>3855</v>
      </c>
    </row>
    <row r="56">
      <c r="A56" s="16" t="s">
        <v>2515</v>
      </c>
      <c r="E56" s="16" t="s">
        <v>2516</v>
      </c>
    </row>
    <row r="58">
      <c r="E58" s="16" t="s">
        <v>3856</v>
      </c>
    </row>
    <row r="59">
      <c r="E59" s="16" t="s">
        <v>3857</v>
      </c>
    </row>
    <row r="61">
      <c r="E61" s="16" t="s">
        <v>3858</v>
      </c>
    </row>
    <row r="63">
      <c r="E63" s="16" t="s">
        <v>3859</v>
      </c>
    </row>
    <row r="64">
      <c r="E64" s="16" t="s">
        <v>3860</v>
      </c>
    </row>
    <row r="65">
      <c r="B65" s="16" t="s">
        <v>3861</v>
      </c>
    </row>
    <row r="67">
      <c r="E67" s="16" t="s">
        <v>3862</v>
      </c>
    </row>
    <row r="68">
      <c r="A68" s="16" t="s">
        <v>3863</v>
      </c>
      <c r="E68" s="16" t="s">
        <v>3864</v>
      </c>
    </row>
    <row r="69">
      <c r="E69" s="16" t="s">
        <v>3865</v>
      </c>
    </row>
    <row r="70">
      <c r="E70" s="16" t="s">
        <v>3866</v>
      </c>
    </row>
    <row r="71">
      <c r="A71" s="16" t="s">
        <v>1772</v>
      </c>
      <c r="E71" s="16" t="s">
        <v>3867</v>
      </c>
    </row>
    <row r="72">
      <c r="E72" s="16" t="s">
        <v>3868</v>
      </c>
    </row>
    <row r="73">
      <c r="E73" s="16" t="s">
        <v>3869</v>
      </c>
    </row>
    <row r="74">
      <c r="E74" s="16" t="s">
        <v>3870</v>
      </c>
    </row>
    <row r="75">
      <c r="E75" s="16" t="s">
        <v>3871</v>
      </c>
    </row>
    <row r="76">
      <c r="E76" s="16" t="s">
        <v>3872</v>
      </c>
    </row>
    <row r="77">
      <c r="E77" s="16" t="s">
        <v>3873</v>
      </c>
    </row>
    <row r="78">
      <c r="E78" s="16" t="s">
        <v>3874</v>
      </c>
    </row>
    <row r="80">
      <c r="E80" s="16" t="s">
        <v>3875</v>
      </c>
    </row>
    <row r="82">
      <c r="E82" s="16" t="s">
        <v>3876</v>
      </c>
    </row>
    <row r="83">
      <c r="E83" s="16" t="s">
        <v>3877</v>
      </c>
    </row>
    <row r="84">
      <c r="E84" s="16" t="s">
        <v>3878</v>
      </c>
    </row>
    <row r="85">
      <c r="E85" s="16" t="s">
        <v>3879</v>
      </c>
    </row>
    <row r="86">
      <c r="E86" s="16" t="s">
        <v>3880</v>
      </c>
    </row>
    <row r="87">
      <c r="E87" s="16" t="s">
        <v>3881</v>
      </c>
    </row>
    <row r="89">
      <c r="E89" s="16" t="s">
        <v>3882</v>
      </c>
    </row>
    <row r="90">
      <c r="E90" s="16" t="s">
        <v>3883</v>
      </c>
    </row>
    <row r="92">
      <c r="E92" s="16" t="s">
        <v>3884</v>
      </c>
    </row>
    <row r="93">
      <c r="E93" s="16" t="s">
        <v>3885</v>
      </c>
    </row>
    <row r="94">
      <c r="A94" s="16" t="s">
        <v>3886</v>
      </c>
      <c r="E94" s="16" t="s">
        <v>3887</v>
      </c>
    </row>
    <row r="95">
      <c r="E95" s="29" t="s">
        <v>2465</v>
      </c>
    </row>
    <row r="96">
      <c r="E96" s="16" t="s">
        <v>3888</v>
      </c>
    </row>
    <row r="97">
      <c r="A97" s="16" t="s">
        <v>3889</v>
      </c>
      <c r="E97" s="16" t="s">
        <v>3890</v>
      </c>
    </row>
    <row r="98">
      <c r="E98" s="230" t="s">
        <v>3891</v>
      </c>
    </row>
    <row r="100">
      <c r="A100" s="16" t="s">
        <v>3892</v>
      </c>
    </row>
    <row r="102">
      <c r="A102" s="24"/>
      <c r="B102" s="16" t="s">
        <v>3893</v>
      </c>
      <c r="E102" s="16" t="s">
        <v>3894</v>
      </c>
      <c r="F102" s="7"/>
      <c r="G102" s="7"/>
      <c r="H102" s="7"/>
      <c r="I102" s="231"/>
      <c r="J102" s="9"/>
      <c r="K102" s="232"/>
      <c r="L102" s="21"/>
    </row>
    <row r="103">
      <c r="A103" s="16" t="s">
        <v>3895</v>
      </c>
    </row>
    <row r="104">
      <c r="A104" s="20" t="s">
        <v>3896</v>
      </c>
      <c r="B104" s="20" t="s">
        <v>3838</v>
      </c>
      <c r="C104" s="20" t="s">
        <v>2470</v>
      </c>
      <c r="E104" s="20" t="s">
        <v>3897</v>
      </c>
      <c r="G104" s="20">
        <v>2.0</v>
      </c>
      <c r="H104" s="20" t="s">
        <v>1061</v>
      </c>
      <c r="I104" s="16" t="s">
        <v>34</v>
      </c>
    </row>
    <row r="105">
      <c r="A105" s="22" t="s">
        <v>3898</v>
      </c>
      <c r="B105" s="98" t="s">
        <v>1948</v>
      </c>
      <c r="C105" s="9" t="s">
        <v>1972</v>
      </c>
      <c r="E105" s="7" t="s">
        <v>3899</v>
      </c>
      <c r="G105" s="9">
        <v>0.0</v>
      </c>
      <c r="H105" s="9" t="s">
        <v>3900</v>
      </c>
      <c r="I105" s="9" t="s">
        <v>34</v>
      </c>
    </row>
    <row r="106">
      <c r="A106" s="16" t="s">
        <v>3901</v>
      </c>
      <c r="B106" s="91" t="s">
        <v>1562</v>
      </c>
      <c r="C106" s="15" t="s">
        <v>410</v>
      </c>
      <c r="E106" s="16" t="s">
        <v>3902</v>
      </c>
      <c r="G106" s="15">
        <v>0.0</v>
      </c>
      <c r="H106" s="15" t="s">
        <v>1587</v>
      </c>
      <c r="I106" s="15" t="s">
        <v>72</v>
      </c>
    </row>
    <row r="107">
      <c r="A107" s="7" t="s">
        <v>3903</v>
      </c>
      <c r="B107" s="8" t="s">
        <v>23</v>
      </c>
      <c r="C107" s="9" t="s">
        <v>30</v>
      </c>
      <c r="E107" s="29" t="s">
        <v>91</v>
      </c>
      <c r="G107" s="9">
        <v>6.0</v>
      </c>
      <c r="H107" s="9" t="s">
        <v>64</v>
      </c>
      <c r="I107" s="9" t="s">
        <v>28</v>
      </c>
    </row>
    <row r="108">
      <c r="A108" s="16" t="s">
        <v>3904</v>
      </c>
      <c r="C108" s="16" t="s">
        <v>1752</v>
      </c>
      <c r="E108" s="16" t="s">
        <v>3905</v>
      </c>
      <c r="I108" s="16" t="s">
        <v>72</v>
      </c>
    </row>
    <row r="109">
      <c r="A109" s="16" t="s">
        <v>3906</v>
      </c>
      <c r="B109" s="16" t="s">
        <v>393</v>
      </c>
      <c r="C109" s="16" t="s">
        <v>82</v>
      </c>
      <c r="E109" s="16" t="s">
        <v>3907</v>
      </c>
      <c r="G109" s="16">
        <v>4.0</v>
      </c>
      <c r="H109" s="16" t="s">
        <v>3908</v>
      </c>
    </row>
  </sheetData>
  <drawing r:id="rId1"/>
</worksheet>
</file>