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rten(Set1+Set2)" sheetId="1" r:id="rId4"/>
    <sheet state="visible" name="Statistik" sheetId="2" r:id="rId5"/>
    <sheet state="visible" name="McDonalds Promo Karten" sheetId="3" r:id="rId6"/>
    <sheet state="visible" name="Set 3 Ideen" sheetId="4" r:id="rId7"/>
    <sheet state="visible" name="Gemischte Tüte" sheetId="5" r:id="rId8"/>
  </sheets>
  <definedNames>
    <definedName hidden="1" localSheetId="0" name="_xlnm._FilterDatabase">'Karten(Set1+Set2)'!$A$1:$J$988</definedName>
  </definedNames>
  <calcPr/>
</workbook>
</file>

<file path=xl/sharedStrings.xml><?xml version="1.0" encoding="utf-8"?>
<sst xmlns="http://schemas.openxmlformats.org/spreadsheetml/2006/main" count="3098" uniqueCount="1636">
  <si>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</si>
  <si>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</si>
  <si>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</si>
  <si>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</si>
  <si>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</si>
  <si>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</si>
  <si>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</si>
  <si>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</si>
  <si>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</si>
  <si>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</si>
  <si>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</si>
  <si>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</si>
  <si>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</si>
  <si>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</si>
  <si>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</si>
  <si>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</si>
  <si>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</si>
  <si>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</si>
  <si>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</si>
  <si>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</si>
  <si>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</si>
  <si>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</si>
  <si>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</si>
  <si>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</si>
  <si>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</si>
  <si>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</si>
  <si>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</si>
  <si>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</si>
  <si>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</si>
  <si>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</si>
  <si>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</si>
  <si>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</si>
  <si>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</si>
  <si>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</si>
  <si>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</si>
  <si>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</si>
  <si>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</si>
  <si>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</si>
  <si>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</si>
  <si>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</si>
  <si>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</si>
  <si>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</si>
  <si>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</si>
  <si>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</si>
  <si>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</si>
  <si>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</si>
  <si>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</si>
  <si>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Gain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</si>
  <si>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</si>
  <si>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</si>
  <si>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</si>
  <si>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</si>
  <si>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</si>
  <si>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</si>
  <si>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</si>
  <si>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</si>
  <si>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</si>
  <si>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</si>
  <si>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</si>
  <si>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</si>
  <si>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</si>
  <si>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</si>
  <si>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</si>
  <si>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</si>
  <si>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</si>
  <si>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</si>
  <si>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</si>
  <si>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</si>
  <si>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</si>
  <si>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</si>
  <si>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</si>
  <si>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</si>
  <si>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</si>
  <si>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</si>
  <si>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</si>
  <si>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</si>
  <si>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</si>
  <si>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</si>
  <si>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</si>
  <si>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</si>
  <si>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</si>
  <si>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</si>
  <si>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</si>
  <si>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</si>
  <si>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</si>
  <si>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</si>
  <si>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</si>
  <si>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</si>
  <si>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</si>
  <si>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</si>
  <si>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</si>
  <si>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</si>
  <si>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</si>
  <si>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</si>
  <si>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</si>
  <si>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</si>
  <si>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</si>
  <si>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</si>
  <si>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</si>
  <si>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</si>
  <si>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</si>
  <si>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</si>
  <si>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</si>
  <si>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</si>
  <si>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</si>
  <si>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</si>
  <si>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</si>
  <si>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</si>
  <si>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</si>
  <si>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</si>
  <si>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</si>
  <si>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</si>
  <si>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</si>
  <si>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</si>
  <si>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</si>
  <si>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</si>
  <si>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</si>
  <si>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</si>
  <si>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</si>
  <si>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</si>
  <si>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</si>
  <si>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</si>
  <si>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</si>
  <si>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</si>
  <si>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</si>
  <si>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</si>
  <si>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</si>
  <si>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</si>
  <si>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</si>
  <si>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</si>
  <si>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</si>
  <si>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</si>
  <si>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</si>
  <si>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</si>
  <si>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</si>
  <si>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</si>
  <si>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</si>
  <si>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</si>
  <si>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</si>
  <si>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</si>
  <si>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</si>
  <si>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</si>
  <si>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</si>
  <si>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</si>
  <si>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</si>
  <si>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</si>
  <si>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</si>
  <si>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</si>
  <si>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</si>
  <si>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</si>
  <si>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</si>
  <si>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</si>
  <si>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</si>
  <si>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</si>
  <si>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</si>
  <si>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</si>
  <si>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</si>
  <si>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</si>
  <si>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</si>
  <si>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</si>
  <si>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</si>
  <si>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</si>
  <si>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</si>
  <si>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</si>
  <si>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</si>
  <si>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</si>
  <si>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</si>
  <si>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</si>
  <si>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</si>
  <si>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</si>
  <si>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</si>
  <si>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</si>
  <si>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</si>
  <si>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</si>
  <si>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</si>
  <si>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</si>
  <si>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</si>
  <si>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</si>
  <si>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</si>
  <si>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</si>
  <si>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</si>
  <si>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</si>
  <si>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</si>
  <si>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</si>
  <si>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</si>
  <si>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</si>
  <si>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</si>
  <si>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</si>
  <si>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</si>
  <si>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</si>
  <si>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</si>
  <si>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</si>
  <si>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</si>
  <si>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</si>
  <si>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</si>
  <si>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</si>
  <si>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</si>
  <si>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</si>
  <si>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</si>
  <si>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</si>
  <si>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</si>
  <si>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</si>
  <si>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</si>
  <si>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</si>
  <si>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</si>
  <si>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</si>
  <si>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</si>
  <si>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</si>
  <si>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</si>
  <si>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</si>
  <si>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</si>
  <si>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</si>
  <si>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</si>
  <si>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</si>
  <si>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</si>
  <si>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</si>
  <si>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</si>
  <si>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</si>
  <si>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</si>
  <si>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</si>
  <si>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</si>
  <si>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</si>
  <si>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</si>
  <si>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</si>
  <si>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</si>
  <si>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</si>
  <si>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</si>
  <si>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</si>
  <si>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</si>
  <si>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</si>
  <si>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</si>
  <si>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</si>
  <si>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</si>
  <si>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</si>
  <si>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</si>
  <si>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</si>
  <si>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</si>
  <si>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</si>
  <si>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</si>
  <si>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</si>
  <si>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</si>
  <si>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</si>
  <si>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</si>
  <si>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</si>
  <si>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</si>
  <si>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</si>
  <si>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</si>
  <si>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</si>
  <si>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</si>
  <si>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</si>
  <si>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</si>
  <si>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</si>
  <si>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</si>
  <si>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</si>
  <si>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</si>
  <si>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</si>
  <si>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</si>
  <si>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</si>
  <si>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</si>
  <si>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</si>
  <si>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</si>
  <si>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</si>
  <si>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</si>
  <si>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</si>
  <si>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</si>
  <si>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</si>
  <si>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</si>
  <si>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</si>
  <si>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</si>
  <si>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</si>
  <si>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</si>
  <si>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</si>
  <si>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</si>
  <si>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</si>
  <si>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</si>
  <si>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</si>
  <si>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</si>
  <si>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</si>
  <si>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</si>
  <si>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</si>
  <si>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</si>
  <si>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</si>
  <si>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</si>
  <si>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</si>
  <si>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</si>
  <si>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</si>
  <si>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</si>
  <si>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</si>
  <si>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</si>
  <si>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</si>
  <si>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</si>
  <si>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</si>
  <si>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</si>
  <si>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</si>
  <si>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</si>
  <si>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</si>
  <si>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</si>
  <si>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</si>
  <si>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</si>
  <si>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</si>
  <si>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</si>
  <si>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</si>
  <si>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</si>
  <si>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</si>
  <si>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</si>
  <si>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</si>
  <si>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</si>
  <si>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</si>
  <si>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</si>
  <si>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</si>
  <si>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</si>
  <si>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</si>
  <si>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</si>
  <si>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</si>
  <si>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</si>
  <si>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</si>
  <si>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</si>
  <si>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</si>
  <si>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</si>
  <si>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</si>
  <si>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</si>
  <si>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</si>
  <si>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</si>
  <si>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</si>
  <si>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</si>
  <si>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</si>
  <si>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</si>
  <si>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</si>
  <si>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</si>
  <si>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</si>
  <si>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</si>
  <si>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</si>
  <si>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</si>
  <si>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</si>
  <si>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</si>
  <si>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</si>
  <si>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</si>
  <si>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</si>
  <si>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</si>
  <si>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</si>
  <si>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</si>
  <si>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</si>
  <si>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</si>
  <si>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</si>
  <si>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</si>
  <si>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</si>
  <si>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</si>
  <si>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</si>
  <si>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</si>
  <si>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</si>
  <si>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</si>
  <si>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</si>
  <si>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</si>
  <si>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</si>
  <si>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</si>
  <si>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</si>
  <si>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</si>
  <si>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</si>
  <si>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</si>
  <si>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</si>
  <si>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</si>
  <si>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</si>
  <si>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</si>
  <si>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</si>
  <si>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</si>
  <si>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</si>
  <si>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</si>
  <si>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</si>
  <si>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</si>
  <si>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</si>
  <si>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</si>
  <si>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</si>
  <si>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</si>
  <si>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</si>
  <si>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</si>
  <si>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</si>
  <si>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</si>
  <si>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</si>
  <si>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</si>
  <si>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</si>
  <si>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</si>
  <si>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</si>
  <si>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</si>
  <si>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</si>
  <si>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</si>
  <si>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</si>
  <si>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</si>
  <si>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</si>
  <si>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</si>
  <si>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</si>
  <si>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</si>
  <si>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</si>
  <si>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</si>
  <si>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</si>
  <si>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</si>
  <si>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</si>
  <si>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</si>
  <si>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</si>
  <si>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</si>
  <si>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</si>
  <si>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</si>
  <si>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</si>
  <si>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</si>
  <si>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</si>
  <si>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</si>
  <si>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</si>
  <si>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</si>
  <si>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</si>
  <si>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</si>
  <si>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</si>
  <si>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</si>
  <si>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</si>
  <si>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</si>
  <si>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</si>
  <si>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</si>
  <si>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</si>
  <si>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</si>
  <si>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</si>
  <si>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</si>
  <si>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</si>
  <si>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</si>
  <si>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</si>
  <si>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</si>
  <si>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</si>
  <si>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</si>
  <si>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</si>
  <si>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</si>
  <si>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</si>
  <si>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</si>
  <si>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</si>
  <si>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</si>
  <si>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</si>
  <si>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</si>
  <si>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</si>
  <si>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</si>
  <si>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</si>
  <si>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</si>
  <si>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</si>
  <si>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</si>
  <si>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</si>
  <si>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</si>
  <si>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</si>
  <si>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</si>
  <si>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</si>
  <si>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</si>
  <si>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</si>
  <si>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</si>
  <si>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</si>
  <si>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</si>
  <si>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</si>
  <si>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</si>
  <si>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</si>
  <si>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</si>
  <si>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</si>
  <si>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</si>
  <si>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</si>
  <si>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</si>
  <si>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</si>
  <si>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</si>
  <si>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</si>
  <si>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</si>
  <si>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</si>
  <si>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</si>
  <si>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</si>
  <si>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</si>
  <si>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</si>
  <si>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</si>
  <si>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</si>
  <si>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</si>
  <si>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</si>
  <si>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</si>
  <si>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</si>
  <si>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</si>
  <si>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</si>
  <si>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</si>
  <si>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</si>
  <si>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</si>
  <si>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</si>
  <si>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</si>
  <si>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</si>
  <si>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</si>
  <si>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</si>
  <si>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</si>
  <si>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</si>
  <si>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</si>
  <si>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</si>
  <si>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</si>
  <si>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</si>
  <si>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</si>
  <si>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</si>
  <si>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</si>
  <si>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</si>
  <si>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</si>
  <si>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</si>
  <si>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</si>
  <si>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</si>
  <si>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</si>
  <si>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</si>
  <si>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</si>
  <si>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</si>
  <si>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</si>
  <si>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</si>
  <si>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</si>
  <si>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</si>
  <si>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</si>
  <si>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</si>
  <si>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</si>
  <si>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</si>
  <si>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</si>
  <si>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</si>
  <si>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</si>
  <si>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</si>
  <si>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</si>
  <si>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</si>
  <si>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</si>
  <si>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</si>
  <si>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</si>
  <si>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</si>
  <si>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</si>
  <si>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</si>
  <si>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</si>
  <si>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</si>
  <si>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</si>
  <si>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</si>
  <si>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</si>
  <si>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</si>
  <si>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</si>
  <si>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</si>
  <si>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</si>
  <si>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</si>
  <si>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</si>
  <si>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</si>
  <si>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</si>
  <si>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</si>
  <si>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</si>
  <si>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</si>
  <si>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</si>
  <si>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</si>
  <si>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</si>
  <si>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</si>
  <si>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</si>
  <si>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</si>
  <si>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</si>
  <si>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</si>
  <si>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</si>
  <si>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</si>
  <si>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</si>
  <si>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</si>
  <si>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</si>
  <si>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</si>
  <si>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</si>
  <si>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Sand Witch</t>
  </si>
  <si>
    <t>Ascend: Elemental.</t>
  </si>
  <si>
    <t>Amberlock Dragonling</t>
  </si>
  <si>
    <t>Ritual: Gain +4 Power.</t>
  </si>
  <si>
    <t>Clutched in youthful talons lies a fragment of legend, making each hunt not just a pursuit for prey, but a dance with destiny.</t>
  </si>
  <si>
    <t>Cavern Lindwurm</t>
  </si>
  <si>
    <t>Ally of 5 or more Power: Gain Taunt and +3 Power.</t>
  </si>
  <si>
    <t>Where one dragon's roar shakes the cavern, two can bring mountains to their knees.</t>
  </si>
  <si>
    <t>E, E, ?, ?, ?</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</si>
  <si>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</si>
  <si>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</si>
  <si>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</si>
  <si>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</si>
  <si>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</si>
  <si>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</si>
  <si>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</si>
  <si>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</si>
  <si>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Glinteye Hoarder</t>
  </si>
  <si>
    <t>Conquer: Draw 2 Cards and bury a friendly Crystal.</t>
  </si>
  <si>
    <t>A dragon's passion for gold cast into living form.</t>
  </si>
  <si>
    <t>Shardhorde Leviathan</t>
  </si>
  <si>
    <t>Rising from oceanic depths, its crystalline form is a monolith of untamed power, a behemoth that knows no bounds.</t>
  </si>
  <si>
    <t>E, E, E, ?, ?, ?, ?</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</si>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</sst>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2085186826"/>
        <c:axId val="1798497939"/>
      </c:barChart>
      <c:catAx>
        <c:axId val="20851868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798497939"/>
      </c:catAx>
      <c:valAx>
        <c:axId val="17984979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5186826"/>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85566897-5ef8-42df-8c72-36628a9dd9fc?index=1" TargetMode="External"/><Relationship Id="rId42" Type="http://schemas.openxmlformats.org/officeDocument/2006/relationships/hyperlink" Target="https://alpha.midjourney.com/jobs/eb74e363-ce23-4333-bf1a-9e45b5410528?index=3" TargetMode="External"/><Relationship Id="rId41" Type="http://schemas.openxmlformats.org/officeDocument/2006/relationships/hyperlink" Target="https://alpha.midjourney.com/jobs/96dd861b-6cf4-403c-b701-35339b8bf72c?index=0" TargetMode="External"/><Relationship Id="rId44" Type="http://schemas.openxmlformats.org/officeDocument/2006/relationships/hyperlink" Target="https://alpha.midjourney.com/jobs/d2520d33-6384-48e1-a0ac-2b40bcba9c67?index=2" TargetMode="External"/><Relationship Id="rId43" Type="http://schemas.openxmlformats.org/officeDocument/2006/relationships/hyperlink" Target="https://alpha.midjourney.com/jobs/ae7c802d-5bb3-4e5c-935f-0989f835981b?index=3" TargetMode="External"/><Relationship Id="rId46" Type="http://schemas.openxmlformats.org/officeDocument/2006/relationships/hyperlink" Target="https://alpha.midjourney.com/jobs/9062fc96-38af-4b94-bb8b-58724ee3e784?index=3" TargetMode="External"/><Relationship Id="rId45" Type="http://schemas.openxmlformats.org/officeDocument/2006/relationships/hyperlink" Target="https://alpha.midjourney.com/jobs/65856a62-0cc5-4789-aeaa-4499b714d3e5?index=0" TargetMode="External"/><Relationship Id="rId106" Type="http://schemas.openxmlformats.org/officeDocument/2006/relationships/drawing" Target="../drawings/drawing1.xml"/><Relationship Id="rId105" Type="http://schemas.openxmlformats.org/officeDocument/2006/relationships/hyperlink" Target="https://alpha.midjourney.com/jobs/da48772a-b4d4-44f8-8d55-428c4b7750df?index=1" TargetMode="External"/><Relationship Id="rId104" Type="http://schemas.openxmlformats.org/officeDocument/2006/relationships/hyperlink" Target="https://alpha.midjourney.com/jobs/a5b23374-c9e0-4cc3-ac9e-7cc693ab07b6?index=1" TargetMode="External"/><Relationship Id="rId48" Type="http://schemas.openxmlformats.org/officeDocument/2006/relationships/hyperlink" Target="https://alpha.midjourney.com/jobs/2593ed6f-b67a-4e7f-a8f9-a36157ed8f86?index=1" TargetMode="External"/><Relationship Id="rId47" Type="http://schemas.openxmlformats.org/officeDocument/2006/relationships/hyperlink" Target="https://alpha.midjourney.com/jobs/f0b193a4-3e5e-45a0-b6e9-a1b7fcfb4f49?index=2" TargetMode="External"/><Relationship Id="rId49" Type="http://schemas.openxmlformats.org/officeDocument/2006/relationships/hyperlink" Target="https://alpha.midjourney.com/jobs/bce13b19-a5b7-4895-991c-a343e7295bea?index=2" TargetMode="External"/><Relationship Id="rId103" Type="http://schemas.openxmlformats.org/officeDocument/2006/relationships/hyperlink" Target="https://alpha.midjourney.com/jobs/ee08debf-6dfa-4c1a-b68d-af2815e27ecd?index=0" TargetMode="External"/><Relationship Id="rId102" Type="http://schemas.openxmlformats.org/officeDocument/2006/relationships/hyperlink" Target="https://alpha.midjourney.com/jobs/e8e96f76-94bd-41ae-b1bd-4ca96aebdd1e?index=3" TargetMode="External"/><Relationship Id="rId101" Type="http://schemas.openxmlformats.org/officeDocument/2006/relationships/hyperlink" Target="https://alpha.midjourney.com/jobs/04e07353-17ab-4846-84bc-818bc402f09d?index=1" TargetMode="External"/><Relationship Id="rId100" Type="http://schemas.openxmlformats.org/officeDocument/2006/relationships/hyperlink" Target="https://alpha.midjourney.com/jobs/b1f8f3d5-445f-4c75-8c69-dc3c00dd6a2a?index=1" TargetMode="External"/><Relationship Id="rId31" Type="http://schemas.openxmlformats.org/officeDocument/2006/relationships/hyperlink" Target="https://alpha.midjourney.com/jobs/fb9ad282-f768-4726-b79b-f40c11d0277b?index=3" TargetMode="External"/><Relationship Id="rId30" Type="http://schemas.openxmlformats.org/officeDocument/2006/relationships/hyperlink" Target="https://alpha.midjourney.com/jobs/ed7547f6-59f6-4674-8e51-448f70e1a062?index=1" TargetMode="External"/><Relationship Id="rId33" Type="http://schemas.openxmlformats.org/officeDocument/2006/relationships/hyperlink" Target="https://alpha.midjourney.com/jobs/4e1424fd-a4dd-430d-b5db-da68488eb78a?index=0" TargetMode="External"/><Relationship Id="rId32" Type="http://schemas.openxmlformats.org/officeDocument/2006/relationships/hyperlink" Target="https://alpha.midjourney.com/jobs/b6b028b1-6920-4dde-9694-73d589c7969e?index=1" TargetMode="External"/><Relationship Id="rId35" Type="http://schemas.openxmlformats.org/officeDocument/2006/relationships/hyperlink" Target="https://alpha.midjourney.com/jobs/f92d2267-2cb6-459f-b8f4-07c280426a32?index=2" TargetMode="External"/><Relationship Id="rId34" Type="http://schemas.openxmlformats.org/officeDocument/2006/relationships/hyperlink" Target="https://alpha.midjourney.com/jobs/496903ec-9e29-4e96-baed-fbc1c72e67a2?index=3" TargetMode="External"/><Relationship Id="rId37" Type="http://schemas.openxmlformats.org/officeDocument/2006/relationships/hyperlink" Target="https://alpha.midjourney.com/jobs/4b963210-17ec-4cc9-9a83-f38a7692af0e?index=3" TargetMode="External"/><Relationship Id="rId36" Type="http://schemas.openxmlformats.org/officeDocument/2006/relationships/hyperlink" Target="https://alpha.midjourney.com/jobs/0867635b-b993-4e89-adc9-840fac5e98ae?index=2" TargetMode="External"/><Relationship Id="rId39" Type="http://schemas.openxmlformats.org/officeDocument/2006/relationships/hyperlink" Target="https://alpha.midjourney.com/jobs/fe304cba-fe68-4bea-a089-694d2e71a394?index=2" TargetMode="External"/><Relationship Id="rId38" Type="http://schemas.openxmlformats.org/officeDocument/2006/relationships/hyperlink" Target="https://alpha.midjourney.com/jobs/4efd2e1b-a113-49a0-8b09-a71768bc7f0a?index=1" TargetMode="External"/><Relationship Id="rId20" Type="http://schemas.openxmlformats.org/officeDocument/2006/relationships/hyperlink" Target="https://alpha.midjourney.com/jobs/10569df3-af61-474e-9997-08b1211eac4b?index=3" TargetMode="External"/><Relationship Id="rId22" Type="http://schemas.openxmlformats.org/officeDocument/2006/relationships/hyperlink" Target="https://alpha.midjourney.com/jobs/13499ec2-9a5a-4595-9ccd-fbcfe0fffeaf?index=0" TargetMode="External"/><Relationship Id="rId21" Type="http://schemas.openxmlformats.org/officeDocument/2006/relationships/hyperlink" Target="https://alpha.midjourney.com/jobs/a6b9796b-edf3-4af3-9ed5-c8182508947e?index=1" TargetMode="External"/><Relationship Id="rId24" Type="http://schemas.openxmlformats.org/officeDocument/2006/relationships/hyperlink" Target="https://alpha.midjourney.com/jobs/13533eea-4c56-4787-a8d1-5b5de4d2fe40?index=0" TargetMode="External"/><Relationship Id="rId23" Type="http://schemas.openxmlformats.org/officeDocument/2006/relationships/hyperlink" Target="https://alpha.midjourney.com/jobs/250e747b-c7e8-4a5b-a483-65446cd307aa?index=2" TargetMode="External"/><Relationship Id="rId26" Type="http://schemas.openxmlformats.org/officeDocument/2006/relationships/hyperlink" Target="https://alpha.midjourney.com/jobs/0cf0be47-c57f-4feb-84e6-1790219ba54b?index=0" TargetMode="External"/><Relationship Id="rId25" Type="http://schemas.openxmlformats.org/officeDocument/2006/relationships/hyperlink" Target="https://alpha.midjourney.com/jobs/9ccceaff-97a6-4625-9bea-6567b85c04ef?index=0" TargetMode="External"/><Relationship Id="rId28" Type="http://schemas.openxmlformats.org/officeDocument/2006/relationships/hyperlink" Target="https://alpha.midjourney.com/jobs/557ea44c-dc30-4519-93c0-96caf2f97815?index=3" TargetMode="External"/><Relationship Id="rId27" Type="http://schemas.openxmlformats.org/officeDocument/2006/relationships/hyperlink" Target="https://alpha.midjourney.com/jobs/a408d92c-6e6e-4d30-93ad-e526a5c9555f?index=3" TargetMode="External"/><Relationship Id="rId29" Type="http://schemas.openxmlformats.org/officeDocument/2006/relationships/hyperlink" Target="https://alpha.midjourney.com/jobs/3644d9f4-a154-4538-96ea-489d6da10cda?index=2" TargetMode="External"/><Relationship Id="rId95" Type="http://schemas.openxmlformats.org/officeDocument/2006/relationships/hyperlink" Target="https://alpha.midjourney.com/jobs/304afcfd-7894-408f-9075-b9665b0da9bb?index=1" TargetMode="External"/><Relationship Id="rId94" Type="http://schemas.openxmlformats.org/officeDocument/2006/relationships/hyperlink" Target="https://alpha.midjourney.com/jobs/11cea0b5-15f6-46ea-9c98-85147c5d0c1d?index=2" TargetMode="External"/><Relationship Id="rId97" Type="http://schemas.openxmlformats.org/officeDocument/2006/relationships/hyperlink" Target="https://alpha.midjourney.com/jobs/efc96ed0-d87b-4d29-bb86-f29795728bf8?index=2" TargetMode="External"/><Relationship Id="rId96" Type="http://schemas.openxmlformats.org/officeDocument/2006/relationships/hyperlink" Target="https://alpha.midjourney.com/jobs/3f700745-93e9-491e-b302-0f3b8129cd3a?index=3" TargetMode="External"/><Relationship Id="rId11" Type="http://schemas.openxmlformats.org/officeDocument/2006/relationships/hyperlink" Target="https://alpha.midjourney.com/jobs/22993c97-4c0e-4b20-b61e-0765854b1d0c?index=2" TargetMode="External"/><Relationship Id="rId99" Type="http://schemas.openxmlformats.org/officeDocument/2006/relationships/hyperlink" Target="https://alpha.midjourney.com/jobs/b1f8f3d5-445f-4c75-8c69-dc3c00dd6a2a?index=3" TargetMode="External"/><Relationship Id="rId10" Type="http://schemas.openxmlformats.org/officeDocument/2006/relationships/hyperlink" Target="https://alpha.midjourney.com/jobs/2fb88f6b-7b37-40f3-9ddf-e46da64b9024?index=2" TargetMode="External"/><Relationship Id="rId98" Type="http://schemas.openxmlformats.org/officeDocument/2006/relationships/hyperlink" Target="https://alpha.midjourney.com/jobs/b6935539-efed-401f-850a-d485cb53a209?index=2" TargetMode="External"/><Relationship Id="rId13" Type="http://schemas.openxmlformats.org/officeDocument/2006/relationships/hyperlink" Target="https://alpha.midjourney.com/jobs/bf2b9797-ca47-418b-8b51-f73b166d794e?index=0" TargetMode="External"/><Relationship Id="rId12" Type="http://schemas.openxmlformats.org/officeDocument/2006/relationships/hyperlink" Target="https://alpha.midjourney.com/jobs/e10bf9b3-3d4a-458c-b4e9-595c4cddd9bf?index=0" TargetMode="External"/><Relationship Id="rId91" Type="http://schemas.openxmlformats.org/officeDocument/2006/relationships/hyperlink" Target="https://alpha.midjourney.com/jobs/0c2fcc58-1cd5-4e2c-9953-06ae99527acc?index=3" TargetMode="External"/><Relationship Id="rId90" Type="http://schemas.openxmlformats.org/officeDocument/2006/relationships/hyperlink" Target="https://alpha.midjourney.com/jobs/677914ad-f8cb-4855-b453-f47da8640844?index=0" TargetMode="External"/><Relationship Id="rId93" Type="http://schemas.openxmlformats.org/officeDocument/2006/relationships/hyperlink" Target="https://alpha.midjourney.com/jobs/cb83f03b-5441-4ab6-acd4-d6c23cfbf1b0?index=1" TargetMode="External"/><Relationship Id="rId92" Type="http://schemas.openxmlformats.org/officeDocument/2006/relationships/hyperlink" Target="https://alpha.midjourney.com/jobs/cb83f03b-5441-4ab6-acd4-d6c23cfbf1b0?index=3" TargetMode="External"/><Relationship Id="rId15" Type="http://schemas.openxmlformats.org/officeDocument/2006/relationships/hyperlink" Target="https://alpha.midjourney.com/jobs/7e6524d5-fc47-4a64-ac87-5ec5a5ddad4c?index=1" TargetMode="External"/><Relationship Id="rId14" Type="http://schemas.openxmlformats.org/officeDocument/2006/relationships/hyperlink" Target="https://alpha.midjourney.com/jobs/9b1cd3ba-f0fb-43df-a5df-aa0555f184e0?index=0" TargetMode="External"/><Relationship Id="rId17" Type="http://schemas.openxmlformats.org/officeDocument/2006/relationships/hyperlink" Target="https://alpha.midjourney.com/jobs/bd138556-f391-44ec-ab68-5aa4b5a9f606?index=1" TargetMode="External"/><Relationship Id="rId16" Type="http://schemas.openxmlformats.org/officeDocument/2006/relationships/hyperlink" Target="https://alpha.midjourney.com/jobs/7e6524d5-fc47-4a64-ac87-5ec5a5ddad4c?index=3" TargetMode="External"/><Relationship Id="rId19" Type="http://schemas.openxmlformats.org/officeDocument/2006/relationships/hyperlink" Target="https://alpha.midjourney.com/jobs/7b73514c-612c-4f7a-b7b0-8d03ff687646?index=1" TargetMode="External"/><Relationship Id="rId18" Type="http://schemas.openxmlformats.org/officeDocument/2006/relationships/hyperlink" Target="https://alpha.midjourney.com/jobs/3321903a-a303-44ee-8b5d-3487bd693fa9?index=3" TargetMode="External"/><Relationship Id="rId84" Type="http://schemas.openxmlformats.org/officeDocument/2006/relationships/hyperlink" Target="https://alpha.midjourney.com/jobs/d8a56be5-0fe5-434b-a77a-b6146873ea1a?index=0" TargetMode="External"/><Relationship Id="rId83" Type="http://schemas.openxmlformats.org/officeDocument/2006/relationships/hyperlink" Target="https://alpha.midjourney.com/jobs/d8a56be5-0fe5-434b-a77a-b6146873ea1a?index=3" TargetMode="External"/><Relationship Id="rId86" Type="http://schemas.openxmlformats.org/officeDocument/2006/relationships/hyperlink" Target="https://alpha.midjourney.com/jobs/ef31c8de-f61e-4972-86e9-aa9f1831afd5?index=0" TargetMode="External"/><Relationship Id="rId85" Type="http://schemas.openxmlformats.org/officeDocument/2006/relationships/hyperlink" Target="https://alpha.midjourney.com/jobs/855d9ad2-60fa-4317-90d5-dde695aa3863?index=2" TargetMode="External"/><Relationship Id="rId88" Type="http://schemas.openxmlformats.org/officeDocument/2006/relationships/hyperlink" Target="https://alpha.midjourney.com/jobs/f0a7e593-e8a3-49a4-9357-69927b40e0a8?index=1" TargetMode="External"/><Relationship Id="rId87" Type="http://schemas.openxmlformats.org/officeDocument/2006/relationships/hyperlink" Target="https://alpha.midjourney.com/jobs/8785718a-3cef-4d6b-adf4-3f611a3b965e?index=2" TargetMode="External"/><Relationship Id="rId89" Type="http://schemas.openxmlformats.org/officeDocument/2006/relationships/hyperlink" Target="https://alpha.midjourney.com/jobs/f0a7e593-e8a3-49a4-9357-69927b40e0a8?index=0" TargetMode="External"/><Relationship Id="rId80" Type="http://schemas.openxmlformats.org/officeDocument/2006/relationships/hyperlink" Target="https://alpha.midjourney.com/jobs/c014fa78-9b56-4e92-9380-05f3c1bc63f2?index=3" TargetMode="External"/><Relationship Id="rId82" Type="http://schemas.openxmlformats.org/officeDocument/2006/relationships/hyperlink" Target="https://alpha.midjourney.com/jobs/ea69db27-0094-46a2-957d-df9c6587cd8f?index=1" TargetMode="External"/><Relationship Id="rId81" Type="http://schemas.openxmlformats.org/officeDocument/2006/relationships/hyperlink" Target="https://alpha.midjourney.com/jobs/c014fa78-9b56-4e92-9380-05f3c1bc63f2?index=0" TargetMode="External"/><Relationship Id="rId1" Type="http://schemas.openxmlformats.org/officeDocument/2006/relationships/hyperlink" Target="https://alpha.midjourney.com/jobs/7c7b4c53-2f2b-49df-a6bf-37f29b9e5746?index=3" TargetMode="External"/><Relationship Id="rId2" Type="http://schemas.openxmlformats.org/officeDocument/2006/relationships/hyperlink" Target="https://alpha.midjourney.com/jobs/db52578b-cf61-4cc6-b730-21e3bd1752ce?index=3" TargetMode="External"/><Relationship Id="rId3" Type="http://schemas.openxmlformats.org/officeDocument/2006/relationships/hyperlink" Target="https://alpha.midjourney.com/jobs/1ae58892-c0c7-4cd2-b4f2-61e436a76acb?index=0" TargetMode="External"/><Relationship Id="rId4" Type="http://schemas.openxmlformats.org/officeDocument/2006/relationships/hyperlink" Target="https://alpha.midjourney.com/jobs/2892cac4-ecfc-4b4f-a4e9-1eb61a4971a8?index=3" TargetMode="External"/><Relationship Id="rId9" Type="http://schemas.openxmlformats.org/officeDocument/2006/relationships/hyperlink" Target="https://alpha.midjourney.com/jobs/16fb7678-58aa-43f4-976c-6411d373341c?index=1" TargetMode="External"/><Relationship Id="rId5" Type="http://schemas.openxmlformats.org/officeDocument/2006/relationships/hyperlink" Target="https://alpha.midjourney.com/jobs/b1e88fda-7d3b-4302-b0b0-4eee0012e193?index=1" TargetMode="External"/><Relationship Id="rId6" Type="http://schemas.openxmlformats.org/officeDocument/2006/relationships/hyperlink" Target="https://alpha.midjourney.com/jobs/8c6c5803-34bd-4238-bf4b-5436f269949d?index=3" TargetMode="External"/><Relationship Id="rId7" Type="http://schemas.openxmlformats.org/officeDocument/2006/relationships/hyperlink" Target="https://alpha.midjourney.com/jobs/1352ae1c-e93b-4eeb-9c2b-8d45efc47f38?index=0" TargetMode="External"/><Relationship Id="rId8" Type="http://schemas.openxmlformats.org/officeDocument/2006/relationships/hyperlink" Target="https://alpha.midjourney.com/jobs/e58d0ede-21d0-4b9c-87b3-4745b329f97d?index=0" TargetMode="External"/><Relationship Id="rId73" Type="http://schemas.openxmlformats.org/officeDocument/2006/relationships/hyperlink" Target="https://alpha.midjourney.com/jobs/855584b6-ff81-449c-bfc8-776b89e2e1b6?index=3" TargetMode="External"/><Relationship Id="rId72" Type="http://schemas.openxmlformats.org/officeDocument/2006/relationships/hyperlink" Target="https://alpha.midjourney.com/jobs/855584b6-ff81-449c-bfc8-776b89e2e1b6?index=2" TargetMode="External"/><Relationship Id="rId75" Type="http://schemas.openxmlformats.org/officeDocument/2006/relationships/hyperlink" Target="https://alpha.midjourney.com/jobs/855584b6-ff81-449c-bfc8-776b89e2e1b6?index=0" TargetMode="External"/><Relationship Id="rId74" Type="http://schemas.openxmlformats.org/officeDocument/2006/relationships/hyperlink" Target="https://alpha.midjourney.com/jobs/8267de13-464b-4475-8b89-635cac0d70bd?index=0" TargetMode="External"/><Relationship Id="rId77" Type="http://schemas.openxmlformats.org/officeDocument/2006/relationships/hyperlink" Target="https://alpha.midjourney.com/jobs/a18746cf-975e-483a-9c0c-94c134cf6af2?index=3" TargetMode="External"/><Relationship Id="rId76" Type="http://schemas.openxmlformats.org/officeDocument/2006/relationships/hyperlink" Target="https://alpha.midjourney.com/jobs/ce13cd47-a205-4d28-96b0-bdf906fae89f?index=0" TargetMode="External"/><Relationship Id="rId79" Type="http://schemas.openxmlformats.org/officeDocument/2006/relationships/hyperlink" Target="https://alpha.midjourney.com/jobs/23c28003-cb9d-4252-b47e-eb31b79c4746?index=3" TargetMode="External"/><Relationship Id="rId78" Type="http://schemas.openxmlformats.org/officeDocument/2006/relationships/hyperlink" Target="https://alpha.midjourney.com/jobs/a18746cf-975e-483a-9c0c-94c134cf6af2?index=1" TargetMode="External"/><Relationship Id="rId71" Type="http://schemas.openxmlformats.org/officeDocument/2006/relationships/hyperlink" Target="https://alpha.midjourney.com/jobs/7515835a-18c0-492f-95bd-2b1b2539a4df?index=1" TargetMode="External"/><Relationship Id="rId70" Type="http://schemas.openxmlformats.org/officeDocument/2006/relationships/hyperlink" Target="https://alpha.midjourney.com/jobs/34302934-0ce2-4d12-9b6b-bcbfb2dd2748?index=0" TargetMode="External"/><Relationship Id="rId62" Type="http://schemas.openxmlformats.org/officeDocument/2006/relationships/hyperlink" Target="https://alpha.midjourney.com/jobs/804192d1-d6b1-471f-8286-b2c1ae535674?index=3" TargetMode="External"/><Relationship Id="rId61" Type="http://schemas.openxmlformats.org/officeDocument/2006/relationships/hyperlink" Target="https://alpha.midjourney.com/jobs/ff5ef09d-ca5a-4078-8295-e865d3f5ef86?index=3" TargetMode="External"/><Relationship Id="rId64" Type="http://schemas.openxmlformats.org/officeDocument/2006/relationships/hyperlink" Target="https://alpha.midjourney.com/jobs/12474128-0863-4da2-aff8-997b73fe9878?index=3" TargetMode="External"/><Relationship Id="rId63" Type="http://schemas.openxmlformats.org/officeDocument/2006/relationships/hyperlink" Target="https://alpha.midjourney.com/jobs/c2526578-9eb7-4bfc-b6cd-0f981333543c?index=1" TargetMode="External"/><Relationship Id="rId66" Type="http://schemas.openxmlformats.org/officeDocument/2006/relationships/hyperlink" Target="https://alpha.midjourney.com/jobs/957a1f61-1c1b-4a33-82ab-c17bcc78d8f9?index=1" TargetMode="External"/><Relationship Id="rId65" Type="http://schemas.openxmlformats.org/officeDocument/2006/relationships/hyperlink" Target="https://alpha.midjourney.com/jobs/e799950f-85b6-4223-b8ea-bc9ef93d3c23?index=1" TargetMode="External"/><Relationship Id="rId68" Type="http://schemas.openxmlformats.org/officeDocument/2006/relationships/hyperlink" Target="https://alpha.midjourney.com/jobs/a05bda9e-586e-49de-8c32-0f6e47fd8831?index=2" TargetMode="External"/><Relationship Id="rId67" Type="http://schemas.openxmlformats.org/officeDocument/2006/relationships/hyperlink" Target="https://alpha.midjourney.com/jobs/957a1f61-1c1b-4a33-82ab-c17bcc78d8f9?index=0" TargetMode="External"/><Relationship Id="rId60" Type="http://schemas.openxmlformats.org/officeDocument/2006/relationships/hyperlink" Target="https://alpha.midjourney.com/jobs/68687551-a06f-4550-bc88-6c49a58ac029?index=2" TargetMode="External"/><Relationship Id="rId69" Type="http://schemas.openxmlformats.org/officeDocument/2006/relationships/hyperlink" Target="https://alpha.midjourney.com/jobs/011a319f-3ec2-43a4-ae07-e31e88bbcfcf?index=2" TargetMode="External"/><Relationship Id="rId51" Type="http://schemas.openxmlformats.org/officeDocument/2006/relationships/hyperlink" Target="https://alpha.midjourney.com/jobs/d19499fa-993e-4909-94ee-2b9c8761e795?index=1" TargetMode="External"/><Relationship Id="rId50" Type="http://schemas.openxmlformats.org/officeDocument/2006/relationships/hyperlink" Target="https://alpha.midjourney.com/jobs/0852a4f6-c4cd-4d01-a719-8673b0ba2f74?index=1" TargetMode="External"/><Relationship Id="rId53" Type="http://schemas.openxmlformats.org/officeDocument/2006/relationships/hyperlink" Target="https://alpha.midjourney.com/jobs/cd0a04f4-a1cb-40f4-910e-eb46d3902255?index=0" TargetMode="External"/><Relationship Id="rId52" Type="http://schemas.openxmlformats.org/officeDocument/2006/relationships/hyperlink" Target="https://alpha.midjourney.com/jobs/93adb4ae-5796-400d-8a5b-0445ab93be6c?index=3" TargetMode="External"/><Relationship Id="rId55" Type="http://schemas.openxmlformats.org/officeDocument/2006/relationships/hyperlink" Target="https://alpha.midjourney.com/jobs/219392dd-7217-4d08-88a4-07fe545e4e60?index=0" TargetMode="External"/><Relationship Id="rId54" Type="http://schemas.openxmlformats.org/officeDocument/2006/relationships/hyperlink" Target="https://alpha.midjourney.com/jobs/02764ac5-6b69-4645-b186-6ada5c5faed8?index=3" TargetMode="External"/><Relationship Id="rId57" Type="http://schemas.openxmlformats.org/officeDocument/2006/relationships/hyperlink" Target="https://alpha.midjourney.com/jobs/ff5ef09d-ca5a-4078-8295-e865d3f5ef86?index=1" TargetMode="External"/><Relationship Id="rId56" Type="http://schemas.openxmlformats.org/officeDocument/2006/relationships/hyperlink" Target="https://alpha.midjourney.com/jobs/faebf78e-524b-4699-86cf-5a06ec2912c9?index=0" TargetMode="External"/><Relationship Id="rId59" Type="http://schemas.openxmlformats.org/officeDocument/2006/relationships/hyperlink" Target="https://alpha.midjourney.com/jobs/903c649b-d0e0-4b79-8d43-b2091e120243?index=0" TargetMode="External"/><Relationship Id="rId58" Type="http://schemas.openxmlformats.org/officeDocument/2006/relationships/hyperlink" Target="https://alpha.midjourney.com/jobs/903c649b-d0e0-4b79-8d43-b2091e120243?index=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R93" s="14" t="s">
        <v>526</v>
      </c>
      <c r="S93" s="15" t="s">
        <v>527</v>
      </c>
      <c r="T93" s="15" t="s">
        <v>528</v>
      </c>
      <c r="U93" s="15" t="s">
        <v>529</v>
      </c>
      <c r="V93" s="15" t="s">
        <v>530</v>
      </c>
      <c r="W93" s="15" t="s">
        <v>531</v>
      </c>
      <c r="X93" s="15" t="s">
        <v>532</v>
      </c>
      <c r="Y93" s="13"/>
      <c r="Z93" s="13"/>
      <c r="AA93" s="13"/>
      <c r="AB93" s="13"/>
    </row>
    <row r="94" hidden="1">
      <c r="A94" s="19" t="s">
        <v>533</v>
      </c>
      <c r="B94" s="38" t="s">
        <v>11</v>
      </c>
      <c r="C94" s="18">
        <v>2.0</v>
      </c>
      <c r="D94" s="18" t="s">
        <v>345</v>
      </c>
      <c r="E94" s="19" t="s">
        <v>534</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535</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536</v>
      </c>
      <c r="B95" s="19" t="s">
        <v>11</v>
      </c>
      <c r="C95" s="18">
        <v>2.0</v>
      </c>
      <c r="D95" s="18" t="s">
        <v>389</v>
      </c>
      <c r="E95" s="19" t="s">
        <v>537</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538</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539</v>
      </c>
      <c r="B96" s="38" t="s">
        <v>11</v>
      </c>
      <c r="C96" s="18">
        <v>2.0</v>
      </c>
      <c r="D96" s="18" t="s">
        <v>540</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541</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542</v>
      </c>
      <c r="B97" s="19" t="s">
        <v>11</v>
      </c>
      <c r="C97" s="18">
        <v>1.0</v>
      </c>
      <c r="D97" s="18" t="s">
        <v>543</v>
      </c>
      <c r="E97" s="19" t="s">
        <v>544</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545</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S97" s="15" t="s">
        <v>546</v>
      </c>
      <c r="T97" s="15" t="s">
        <v>547</v>
      </c>
      <c r="U97" s="15" t="s">
        <v>548</v>
      </c>
      <c r="V97" s="15" t="s">
        <v>549</v>
      </c>
      <c r="W97" s="15" t="s">
        <v>550</v>
      </c>
      <c r="X97" s="13"/>
      <c r="Y97" s="13"/>
      <c r="Z97" s="13"/>
      <c r="AA97" s="13"/>
      <c r="AB97" s="13"/>
    </row>
    <row r="98" hidden="1">
      <c r="A98" s="10" t="s">
        <v>551</v>
      </c>
      <c r="B98" s="43" t="s">
        <v>11</v>
      </c>
      <c r="C98" s="11">
        <v>2.0</v>
      </c>
      <c r="D98" s="11" t="s">
        <v>345</v>
      </c>
      <c r="E98" s="10" t="s">
        <v>552</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553</v>
      </c>
      <c r="B99" s="10" t="s">
        <v>11</v>
      </c>
      <c r="C99" s="11">
        <v>1.0</v>
      </c>
      <c r="D99" s="11" t="s">
        <v>350</v>
      </c>
      <c r="E99" s="10" t="s">
        <v>554</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555</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S99" s="13"/>
      <c r="T99" s="13"/>
      <c r="U99" s="13"/>
      <c r="V99" s="13"/>
      <c r="W99" s="13"/>
      <c r="X99" s="13"/>
      <c r="Y99" s="13"/>
      <c r="Z99" s="13"/>
      <c r="AA99" s="13"/>
      <c r="AB99" s="13"/>
    </row>
    <row r="100">
      <c r="A100" s="19" t="s">
        <v>556</v>
      </c>
      <c r="B100" s="10" t="s">
        <v>11</v>
      </c>
      <c r="C100" s="11">
        <v>1.0</v>
      </c>
      <c r="D100" s="21" t="s">
        <v>350</v>
      </c>
      <c r="E100" s="19" t="s">
        <v>557</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558</v>
      </c>
      <c r="H100" s="21">
        <v>5.0</v>
      </c>
      <c r="I100" s="11" t="s">
        <v>559</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S100" s="13"/>
      <c r="T100" s="13"/>
      <c r="U100" s="13"/>
      <c r="V100" s="13"/>
      <c r="W100" s="13"/>
      <c r="X100" s="13"/>
      <c r="Y100" s="13"/>
      <c r="Z100" s="13"/>
      <c r="AA100" s="13"/>
      <c r="AB100" s="13"/>
    </row>
    <row r="101" hidden="1">
      <c r="A101" s="10" t="s">
        <v>560</v>
      </c>
      <c r="B101" s="36" t="s">
        <v>11</v>
      </c>
      <c r="C101" s="11">
        <v>0.0</v>
      </c>
      <c r="D101" s="11" t="s">
        <v>350</v>
      </c>
      <c r="E101" s="10" t="s">
        <v>561</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562</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563</v>
      </c>
      <c r="B102" s="38" t="s">
        <v>11</v>
      </c>
      <c r="C102" s="18">
        <v>2.0</v>
      </c>
      <c r="D102" s="18" t="s">
        <v>389</v>
      </c>
      <c r="E102" s="19" t="s">
        <v>564</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559</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565</v>
      </c>
      <c r="B103" s="10" t="s">
        <v>11</v>
      </c>
      <c r="C103" s="11">
        <v>1.0</v>
      </c>
      <c r="D103" s="21" t="s">
        <v>350</v>
      </c>
      <c r="E103" s="10" t="s">
        <v>566</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567</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S103" s="13"/>
      <c r="T103" s="13"/>
      <c r="U103" s="13"/>
      <c r="V103" s="13"/>
      <c r="W103" s="13"/>
      <c r="X103" s="13"/>
      <c r="Y103" s="13"/>
      <c r="Z103" s="13"/>
      <c r="AA103" s="13"/>
      <c r="AB103" s="13"/>
    </row>
    <row r="104">
      <c r="A104" s="10" t="s">
        <v>568</v>
      </c>
      <c r="B104" s="10" t="s">
        <v>11</v>
      </c>
      <c r="C104" s="11">
        <v>1.0</v>
      </c>
      <c r="D104" s="11" t="s">
        <v>350</v>
      </c>
      <c r="E104" s="54" t="s">
        <v>569</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570</v>
      </c>
      <c r="H104" s="11">
        <v>5.0</v>
      </c>
      <c r="I104" s="11" t="s">
        <v>559</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S104" s="13"/>
      <c r="T104" s="13"/>
      <c r="U104" s="13"/>
      <c r="V104" s="13"/>
      <c r="W104" s="13"/>
      <c r="X104" s="13"/>
      <c r="Y104" s="13"/>
      <c r="Z104" s="13"/>
      <c r="AA104" s="13"/>
      <c r="AB104" s="13"/>
    </row>
    <row r="105">
      <c r="A105" s="19" t="s">
        <v>571</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572</v>
      </c>
      <c r="H105" s="18">
        <v>9.0</v>
      </c>
      <c r="I105" s="18" t="s">
        <v>573</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3"/>
      <c r="T105" s="13"/>
      <c r="U105" s="13"/>
      <c r="V105" s="13"/>
      <c r="W105" s="13"/>
      <c r="X105" s="13"/>
      <c r="Y105" s="13"/>
      <c r="Z105" s="13"/>
      <c r="AA105" s="13"/>
      <c r="AB105" s="13"/>
    </row>
    <row r="106" hidden="1">
      <c r="A106" s="10" t="s">
        <v>574</v>
      </c>
      <c r="B106" s="36" t="s">
        <v>11</v>
      </c>
      <c r="C106" s="11">
        <v>2.0</v>
      </c>
      <c r="D106" s="11" t="s">
        <v>317</v>
      </c>
      <c r="E106" s="27" t="s">
        <v>575</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576</v>
      </c>
      <c r="H106" s="11">
        <v>5.0</v>
      </c>
      <c r="I106" s="11" t="s">
        <v>545</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577</v>
      </c>
      <c r="B107" s="10" t="s">
        <v>11</v>
      </c>
      <c r="C107" s="11">
        <v>1.0</v>
      </c>
      <c r="D107" s="11" t="s">
        <v>578</v>
      </c>
      <c r="E107" s="10" t="s">
        <v>579</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580</v>
      </c>
      <c r="H107" s="11">
        <v>5.0</v>
      </c>
      <c r="I107" s="11" t="s">
        <v>545</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581</v>
      </c>
      <c r="B108" s="10" t="s">
        <v>11</v>
      </c>
      <c r="C108" s="11">
        <v>1.0</v>
      </c>
      <c r="D108" s="11" t="s">
        <v>582</v>
      </c>
      <c r="E108" s="19" t="s">
        <v>583</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584</v>
      </c>
      <c r="H108" s="11">
        <v>4.0</v>
      </c>
      <c r="I108" s="11" t="s">
        <v>559</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585</v>
      </c>
      <c r="B109" s="10" t="s">
        <v>11</v>
      </c>
      <c r="C109" s="11">
        <v>1.0</v>
      </c>
      <c r="D109" s="11" t="s">
        <v>450</v>
      </c>
      <c r="E109" s="10" t="s">
        <v>586</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587</v>
      </c>
      <c r="H109" s="11">
        <v>4.0</v>
      </c>
      <c r="I109" s="11" t="s">
        <v>535</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588</v>
      </c>
      <c r="B110" s="43" t="s">
        <v>11</v>
      </c>
      <c r="C110" s="11">
        <v>2.0</v>
      </c>
      <c r="D110" s="11" t="s">
        <v>582</v>
      </c>
      <c r="E110" s="10" t="s">
        <v>589</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590</v>
      </c>
      <c r="H110" s="11">
        <v>4.0</v>
      </c>
      <c r="I110" s="11" t="s">
        <v>535</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591</v>
      </c>
      <c r="B111" s="19" t="s">
        <v>11</v>
      </c>
      <c r="C111" s="19">
        <v>2.0</v>
      </c>
      <c r="D111" s="18" t="s">
        <v>302</v>
      </c>
      <c r="E111" s="19" t="s">
        <v>592</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593</v>
      </c>
      <c r="H111" s="18">
        <v>3.0</v>
      </c>
      <c r="I111" s="18" t="s">
        <v>535</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594</v>
      </c>
      <c r="B112" s="38" t="s">
        <v>11</v>
      </c>
      <c r="C112" s="18">
        <v>2.0</v>
      </c>
      <c r="D112" s="18" t="s">
        <v>595</v>
      </c>
      <c r="E112" s="19" t="s">
        <v>596</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597</v>
      </c>
      <c r="B113" s="10" t="s">
        <v>11</v>
      </c>
      <c r="C113" s="11">
        <v>1.0</v>
      </c>
      <c r="D113" s="11" t="s">
        <v>44</v>
      </c>
      <c r="E113" s="10" t="s">
        <v>598</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599</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600</v>
      </c>
      <c r="B114" s="59" t="s">
        <v>11</v>
      </c>
      <c r="C114" s="48">
        <v>1.0</v>
      </c>
      <c r="D114" s="60" t="s">
        <v>221</v>
      </c>
      <c r="E114" s="26" t="s">
        <v>601</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559</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602</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603</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604</v>
      </c>
      <c r="B116" s="63" t="s">
        <v>11</v>
      </c>
      <c r="C116" s="18">
        <v>2.0</v>
      </c>
      <c r="D116" s="18" t="s">
        <v>154</v>
      </c>
      <c r="E116" s="19" t="s">
        <v>605</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606</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607</v>
      </c>
      <c r="B117" s="42" t="s">
        <v>11</v>
      </c>
      <c r="C117" s="11">
        <v>1.0</v>
      </c>
      <c r="D117" s="11" t="s">
        <v>345</v>
      </c>
      <c r="E117" s="10" t="s">
        <v>608</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609</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610</v>
      </c>
      <c r="B118" s="37" t="s">
        <v>11</v>
      </c>
      <c r="C118" s="18">
        <v>2.0</v>
      </c>
      <c r="D118" s="18" t="s">
        <v>450</v>
      </c>
      <c r="E118" s="19" t="s">
        <v>611</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612</v>
      </c>
      <c r="B119" s="42" t="s">
        <v>11</v>
      </c>
      <c r="C119" s="11">
        <v>1.0</v>
      </c>
      <c r="D119" s="11" t="s">
        <v>345</v>
      </c>
      <c r="E119" s="10" t="s">
        <v>613</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614</v>
      </c>
      <c r="H119" s="11">
        <v>2.0</v>
      </c>
      <c r="I119" s="11" t="s">
        <v>535</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615</v>
      </c>
      <c r="B120" s="64" t="s">
        <v>11</v>
      </c>
      <c r="C120" s="18">
        <v>1.0</v>
      </c>
      <c r="D120" s="18" t="s">
        <v>519</v>
      </c>
      <c r="E120" s="19" t="s">
        <v>616</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617</v>
      </c>
      <c r="B121" s="37" t="s">
        <v>11</v>
      </c>
      <c r="C121" s="18">
        <v>2.0</v>
      </c>
      <c r="D121" s="18" t="s">
        <v>317</v>
      </c>
      <c r="E121" s="19" t="s">
        <v>618</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619</v>
      </c>
      <c r="B122" s="42" t="s">
        <v>620</v>
      </c>
      <c r="C122" s="11">
        <v>2.0</v>
      </c>
      <c r="D122" s="11" t="s">
        <v>345</v>
      </c>
      <c r="E122" s="10" t="s">
        <v>621</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622</v>
      </c>
      <c r="H122" s="11">
        <v>3.0</v>
      </c>
      <c r="I122" s="11" t="s">
        <v>623</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624</v>
      </c>
      <c r="B123" s="42" t="s">
        <v>620</v>
      </c>
      <c r="C123" s="11">
        <v>2.0</v>
      </c>
      <c r="D123" s="11" t="s">
        <v>625</v>
      </c>
      <c r="E123" s="10" t="s">
        <v>626</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627</v>
      </c>
      <c r="H123" s="11">
        <v>6.0</v>
      </c>
      <c r="I123" s="11" t="s">
        <v>628</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629</v>
      </c>
      <c r="B124" s="42" t="s">
        <v>630</v>
      </c>
      <c r="C124" s="11">
        <v>2.0</v>
      </c>
      <c r="D124" s="11" t="s">
        <v>631</v>
      </c>
      <c r="E124" s="66" t="s">
        <v>632</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633</v>
      </c>
      <c r="H124" s="11">
        <v>5.0</v>
      </c>
      <c r="I124" s="11" t="s">
        <v>634</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635</v>
      </c>
      <c r="B125" s="42" t="s">
        <v>630</v>
      </c>
      <c r="C125" s="11">
        <v>2.0</v>
      </c>
      <c r="D125" s="25" t="s">
        <v>636</v>
      </c>
      <c r="E125" s="10" t="s">
        <v>637</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638</v>
      </c>
      <c r="H125" s="11">
        <v>5.0</v>
      </c>
      <c r="I125" s="11" t="s">
        <v>639</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640</v>
      </c>
      <c r="B126" s="64" t="s">
        <v>11</v>
      </c>
      <c r="C126" s="18">
        <v>1.0</v>
      </c>
      <c r="D126" s="18" t="s">
        <v>283</v>
      </c>
      <c r="E126" s="19" t="s">
        <v>641</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642</v>
      </c>
      <c r="H126" s="18">
        <v>4.0</v>
      </c>
      <c r="I126" s="18" t="s">
        <v>545</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643</v>
      </c>
      <c r="B127" s="64" t="s">
        <v>630</v>
      </c>
      <c r="C127" s="18">
        <v>0.0</v>
      </c>
      <c r="D127" s="18" t="s">
        <v>636</v>
      </c>
      <c r="E127" s="19" t="s">
        <v>644</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645</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646</v>
      </c>
      <c r="B128" s="64" t="s">
        <v>630</v>
      </c>
      <c r="C128" s="18">
        <v>2.0</v>
      </c>
      <c r="D128" s="18" t="s">
        <v>221</v>
      </c>
      <c r="E128" s="19" t="s">
        <v>647</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648</v>
      </c>
      <c r="H128" s="18">
        <v>4.0</v>
      </c>
      <c r="I128" s="18" t="s">
        <v>639</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649</v>
      </c>
      <c r="B129" s="42" t="s">
        <v>11</v>
      </c>
      <c r="C129" s="11">
        <v>1.0</v>
      </c>
      <c r="D129" s="11" t="s">
        <v>317</v>
      </c>
      <c r="E129" s="10" t="s">
        <v>650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651</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652</v>
      </c>
      <c r="B130" s="64" t="s">
        <v>653</v>
      </c>
      <c r="C130" s="18">
        <v>2.0</v>
      </c>
      <c r="D130" s="18" t="s">
        <v>654</v>
      </c>
      <c r="E130" s="19" t="s">
        <v>655</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656</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657</v>
      </c>
      <c r="B131" s="64" t="s">
        <v>653</v>
      </c>
      <c r="C131" s="18">
        <v>2.0</v>
      </c>
      <c r="D131" s="18" t="s">
        <v>658</v>
      </c>
      <c r="E131" s="19" t="s">
        <v>659</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660</v>
      </c>
      <c r="H131" s="18">
        <v>3.0</v>
      </c>
      <c r="I131" s="18" t="s">
        <v>661</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662</v>
      </c>
      <c r="B132" s="42" t="s">
        <v>11</v>
      </c>
      <c r="C132" s="11">
        <v>1.0</v>
      </c>
      <c r="D132" s="11" t="s">
        <v>317</v>
      </c>
      <c r="E132" s="10" t="s">
        <v>663</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664</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665</v>
      </c>
      <c r="B133" s="42" t="s">
        <v>653</v>
      </c>
      <c r="C133" s="18">
        <v>2.0</v>
      </c>
      <c r="D133" s="11" t="s">
        <v>666</v>
      </c>
      <c r="E133" s="10" t="s">
        <v>667</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668</v>
      </c>
      <c r="H133" s="11">
        <v>4.0</v>
      </c>
      <c r="I133" s="11" t="s">
        <v>661</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669</v>
      </c>
      <c r="B134" s="42" t="s">
        <v>11</v>
      </c>
      <c r="C134" s="11">
        <v>1.0</v>
      </c>
      <c r="D134" s="11" t="s">
        <v>317</v>
      </c>
      <c r="E134" s="10" t="s">
        <v>670</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671</v>
      </c>
      <c r="H134" s="11">
        <v>5.0</v>
      </c>
      <c r="I134" s="11" t="s">
        <v>545</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672</v>
      </c>
      <c r="B135" s="64" t="s">
        <v>11</v>
      </c>
      <c r="C135" s="18">
        <v>1.0</v>
      </c>
      <c r="D135" s="18" t="s">
        <v>317</v>
      </c>
      <c r="E135" s="19" t="s">
        <v>673</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535</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674</v>
      </c>
      <c r="B136" s="64" t="s">
        <v>11</v>
      </c>
      <c r="C136" s="18">
        <v>1.0</v>
      </c>
      <c r="D136" s="18" t="s">
        <v>317</v>
      </c>
      <c r="E136" s="19" t="s">
        <v>675</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535</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676</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677</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678</v>
      </c>
      <c r="B138" s="42" t="s">
        <v>653</v>
      </c>
      <c r="C138" s="11">
        <v>0.0</v>
      </c>
      <c r="D138" s="11" t="s">
        <v>474</v>
      </c>
      <c r="E138" s="10" t="s">
        <v>679</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680</v>
      </c>
      <c r="H138" s="11">
        <v>7.0</v>
      </c>
      <c r="I138" s="11" t="s">
        <v>681</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682</v>
      </c>
      <c r="B139" s="42" t="s">
        <v>653</v>
      </c>
      <c r="C139" s="11">
        <v>2.0</v>
      </c>
      <c r="D139" s="11" t="s">
        <v>683</v>
      </c>
      <c r="E139" s="10" t="s">
        <v>684</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685</v>
      </c>
      <c r="H139" s="11">
        <v>5.0</v>
      </c>
      <c r="I139" s="11" t="s">
        <v>661</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686</v>
      </c>
      <c r="B140" s="42" t="s">
        <v>11</v>
      </c>
      <c r="C140" s="18">
        <v>1.0</v>
      </c>
      <c r="D140" s="11" t="s">
        <v>687</v>
      </c>
      <c r="E140" s="10" t="s">
        <v>688</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689</v>
      </c>
      <c r="H140" s="21">
        <v>7.0</v>
      </c>
      <c r="I140" s="11" t="s">
        <v>690</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691</v>
      </c>
      <c r="B141" s="42" t="s">
        <v>11</v>
      </c>
      <c r="C141" s="11">
        <v>1.0</v>
      </c>
      <c r="D141" s="11" t="s">
        <v>654</v>
      </c>
      <c r="E141" s="10" t="s">
        <v>692</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693</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694</v>
      </c>
      <c r="B142" s="68" t="s">
        <v>14</v>
      </c>
      <c r="C142" s="18">
        <v>2.0</v>
      </c>
      <c r="D142" s="18" t="s">
        <v>44</v>
      </c>
      <c r="E142" s="19" t="s">
        <v>695</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696</v>
      </c>
      <c r="H142" s="18">
        <v>2.0</v>
      </c>
      <c r="I142" s="18" t="s">
        <v>697</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698</v>
      </c>
      <c r="B143" s="42" t="s">
        <v>11</v>
      </c>
      <c r="C143" s="11">
        <v>1.0</v>
      </c>
      <c r="D143" s="11" t="s">
        <v>654</v>
      </c>
      <c r="E143" s="10" t="s">
        <v>699</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700</v>
      </c>
      <c r="H143" s="11">
        <v>3.0</v>
      </c>
      <c r="I143" s="11" t="s">
        <v>535</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701</v>
      </c>
      <c r="B144" s="42" t="s">
        <v>620</v>
      </c>
      <c r="C144" s="11">
        <v>1.0</v>
      </c>
      <c r="D144" s="11" t="s">
        <v>702</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703</v>
      </c>
      <c r="H144" s="11">
        <v>2.0</v>
      </c>
      <c r="I144" s="11" t="s">
        <v>704</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705</v>
      </c>
      <c r="B145" s="42" t="s">
        <v>620</v>
      </c>
      <c r="C145" s="11">
        <v>1.0</v>
      </c>
      <c r="D145" s="11" t="s">
        <v>706</v>
      </c>
      <c r="E145" s="10" t="s">
        <v>707</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708</v>
      </c>
      <c r="H145" s="11">
        <v>2.0</v>
      </c>
      <c r="I145" s="11" t="s">
        <v>623</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709</v>
      </c>
      <c r="B146" s="68" t="s">
        <v>14</v>
      </c>
      <c r="C146" s="18">
        <v>2.0</v>
      </c>
      <c r="D146" s="18" t="s">
        <v>540</v>
      </c>
      <c r="E146" s="19" t="s">
        <v>710</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541</v>
      </c>
      <c r="H146" s="18">
        <v>2.0</v>
      </c>
      <c r="I146" s="18" t="s">
        <v>711</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712</v>
      </c>
      <c r="B147" s="64" t="s">
        <v>14</v>
      </c>
      <c r="C147" s="18">
        <v>2.0</v>
      </c>
      <c r="D147" s="18" t="s">
        <v>713</v>
      </c>
      <c r="E147" s="19" t="s">
        <v>714</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715</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716</v>
      </c>
      <c r="B148" s="42" t="s">
        <v>620</v>
      </c>
      <c r="C148" s="11">
        <v>1.0</v>
      </c>
      <c r="D148" s="11" t="s">
        <v>345</v>
      </c>
      <c r="E148" s="10" t="s">
        <v>717</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718</v>
      </c>
      <c r="H148" s="11">
        <v>5.0</v>
      </c>
      <c r="I148" s="11" t="s">
        <v>719</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720</v>
      </c>
      <c r="B149" s="42" t="s">
        <v>630</v>
      </c>
      <c r="C149" s="11">
        <v>1.0</v>
      </c>
      <c r="D149" s="11" t="s">
        <v>721</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722</v>
      </c>
      <c r="H149" s="11">
        <v>2.0</v>
      </c>
      <c r="I149" s="11" t="s">
        <v>723</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724</v>
      </c>
      <c r="B150" s="68" t="s">
        <v>14</v>
      </c>
      <c r="C150" s="18">
        <v>2.0</v>
      </c>
      <c r="D150" s="18" t="s">
        <v>44</v>
      </c>
      <c r="E150" s="19" t="s">
        <v>725</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726</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727</v>
      </c>
      <c r="B151" s="68" t="s">
        <v>14</v>
      </c>
      <c r="C151" s="18">
        <v>2.0</v>
      </c>
      <c r="D151" s="18" t="s">
        <v>221</v>
      </c>
      <c r="E151" s="19" t="s">
        <v>728</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729</v>
      </c>
      <c r="H151" s="18">
        <v>4.0</v>
      </c>
      <c r="I151" s="18" t="s">
        <v>726</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730</v>
      </c>
      <c r="B152" s="42" t="s">
        <v>630</v>
      </c>
      <c r="C152" s="11">
        <v>1.0</v>
      </c>
      <c r="D152" s="25" t="s">
        <v>731</v>
      </c>
      <c r="E152" s="10" t="s">
        <v>732</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733</v>
      </c>
      <c r="H152" s="11">
        <v>6.0</v>
      </c>
      <c r="I152" s="11" t="s">
        <v>734</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735</v>
      </c>
      <c r="B153" s="42" t="s">
        <v>630</v>
      </c>
      <c r="C153" s="11">
        <v>1.0</v>
      </c>
      <c r="D153" s="11" t="s">
        <v>450</v>
      </c>
      <c r="E153" s="10" t="s">
        <v>736</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737</v>
      </c>
      <c r="H153" s="11">
        <v>5.0</v>
      </c>
      <c r="I153" s="11" t="s">
        <v>639</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738</v>
      </c>
      <c r="B154" s="70" t="s">
        <v>14</v>
      </c>
      <c r="C154" s="11">
        <v>2.0</v>
      </c>
      <c r="D154" s="11" t="s">
        <v>44</v>
      </c>
      <c r="E154" s="71" t="s">
        <v>739</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711</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740</v>
      </c>
      <c r="B155" s="42" t="s">
        <v>653</v>
      </c>
      <c r="C155" s="11">
        <v>1.0</v>
      </c>
      <c r="D155" s="11" t="s">
        <v>741</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742</v>
      </c>
      <c r="H155" s="11">
        <v>2.0</v>
      </c>
      <c r="I155" s="11" t="s">
        <v>656</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743</v>
      </c>
      <c r="B156" s="70" t="s">
        <v>14</v>
      </c>
      <c r="C156" s="11">
        <v>2.0</v>
      </c>
      <c r="D156" s="11" t="s">
        <v>231</v>
      </c>
      <c r="E156" s="10" t="s">
        <v>744</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745</v>
      </c>
      <c r="H156" s="11">
        <v>3.0</v>
      </c>
      <c r="I156" s="11" t="s">
        <v>697</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746</v>
      </c>
      <c r="B157" s="70" t="s">
        <v>14</v>
      </c>
      <c r="C157" s="11">
        <v>2.0</v>
      </c>
      <c r="D157" s="11" t="s">
        <v>363</v>
      </c>
      <c r="E157" s="10" t="s">
        <v>747</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748</v>
      </c>
      <c r="H157" s="11">
        <v>2.0</v>
      </c>
      <c r="I157" s="11" t="s">
        <v>749</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750</v>
      </c>
      <c r="B158" s="68" t="s">
        <v>14</v>
      </c>
      <c r="C158" s="18">
        <v>2.0</v>
      </c>
      <c r="D158" s="18" t="s">
        <v>221</v>
      </c>
      <c r="E158" s="19" t="s">
        <v>751</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752</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753</v>
      </c>
      <c r="B159" s="70" t="s">
        <v>14</v>
      </c>
      <c r="C159" s="11">
        <v>2.0</v>
      </c>
      <c r="D159" s="11" t="s">
        <v>231</v>
      </c>
      <c r="E159" s="10" t="s">
        <v>754</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755</v>
      </c>
      <c r="H159" s="11">
        <v>4.0</v>
      </c>
      <c r="I159" s="11" t="s">
        <v>752</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756</v>
      </c>
      <c r="B160" s="68" t="s">
        <v>14</v>
      </c>
      <c r="C160" s="18">
        <v>2.0</v>
      </c>
      <c r="D160" s="18" t="s">
        <v>44</v>
      </c>
      <c r="E160" s="19" t="s">
        <v>757</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758</v>
      </c>
      <c r="H160" s="18">
        <v>1.0</v>
      </c>
      <c r="I160" s="18" t="s">
        <v>749</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759</v>
      </c>
      <c r="B161" s="42" t="s">
        <v>653</v>
      </c>
      <c r="C161" s="11">
        <v>1.0</v>
      </c>
      <c r="D161" s="11" t="s">
        <v>595</v>
      </c>
      <c r="E161" s="10" t="s">
        <v>760</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761</v>
      </c>
      <c r="H161" s="11">
        <v>5.0</v>
      </c>
      <c r="I161" s="11" t="s">
        <v>762</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763</v>
      </c>
      <c r="B162" s="72" t="s">
        <v>14</v>
      </c>
      <c r="C162" s="18">
        <v>2.0</v>
      </c>
      <c r="D162" s="18" t="s">
        <v>221</v>
      </c>
      <c r="E162" s="19" t="s">
        <v>764</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765</v>
      </c>
      <c r="H162" s="18">
        <v>3.0</v>
      </c>
      <c r="I162" s="18" t="s">
        <v>752</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766</v>
      </c>
      <c r="B163" s="73" t="s">
        <v>14</v>
      </c>
      <c r="C163" s="11">
        <v>2.0</v>
      </c>
      <c r="D163" s="11" t="s">
        <v>345</v>
      </c>
      <c r="E163" s="10" t="s">
        <v>767</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768</v>
      </c>
      <c r="H163" s="11">
        <v>3.0</v>
      </c>
      <c r="I163" s="11" t="s">
        <v>726</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769</v>
      </c>
      <c r="B164" s="73" t="s">
        <v>14</v>
      </c>
      <c r="C164" s="18">
        <v>2.0</v>
      </c>
      <c r="D164" s="11" t="s">
        <v>125</v>
      </c>
      <c r="E164" s="10" t="s">
        <v>770</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771</v>
      </c>
      <c r="H164" s="11">
        <v>3.0</v>
      </c>
      <c r="I164" s="11" t="s">
        <v>726</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772</v>
      </c>
      <c r="B165" s="10" t="s">
        <v>653</v>
      </c>
      <c r="C165" s="18">
        <v>1.0</v>
      </c>
      <c r="D165" s="11" t="s">
        <v>773</v>
      </c>
      <c r="E165" s="10" t="s">
        <v>774</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775</v>
      </c>
      <c r="H165" s="11">
        <v>5.0</v>
      </c>
      <c r="I165" s="11" t="s">
        <v>661</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776</v>
      </c>
      <c r="B166" s="73" t="s">
        <v>14</v>
      </c>
      <c r="C166" s="18">
        <v>2.0</v>
      </c>
      <c r="D166" s="11" t="s">
        <v>44</v>
      </c>
      <c r="E166" s="74" t="s">
        <v>777</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778</v>
      </c>
      <c r="H166" s="11">
        <v>3.0</v>
      </c>
      <c r="I166" s="11" t="s">
        <v>726</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779</v>
      </c>
      <c r="B167" s="10" t="s">
        <v>14</v>
      </c>
      <c r="C167" s="11">
        <v>1.0</v>
      </c>
      <c r="D167" s="18" t="s">
        <v>139</v>
      </c>
      <c r="E167" s="10" t="s">
        <v>780</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781</v>
      </c>
      <c r="H167" s="11">
        <v>3.0</v>
      </c>
      <c r="I167" s="11" t="s">
        <v>782</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783</v>
      </c>
      <c r="B168" s="73" t="s">
        <v>14</v>
      </c>
      <c r="C168" s="11">
        <v>0.0</v>
      </c>
      <c r="D168" s="11" t="s">
        <v>154</v>
      </c>
      <c r="E168" s="10" t="s">
        <v>784</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785</v>
      </c>
      <c r="H168" s="11">
        <v>4.0</v>
      </c>
      <c r="I168" s="11" t="s">
        <v>752</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786</v>
      </c>
      <c r="B169" s="73" t="s">
        <v>14</v>
      </c>
      <c r="C169" s="11">
        <v>2.0</v>
      </c>
      <c r="D169" s="11" t="s">
        <v>683</v>
      </c>
      <c r="E169" s="10" t="s">
        <v>787</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788</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789</v>
      </c>
      <c r="B170" s="72" t="s">
        <v>14</v>
      </c>
      <c r="C170" s="18">
        <v>2.0</v>
      </c>
      <c r="D170" s="18" t="s">
        <v>139</v>
      </c>
      <c r="E170" s="19" t="s">
        <v>790</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791</v>
      </c>
      <c r="H170" s="18">
        <v>1.0</v>
      </c>
      <c r="I170" s="18" t="s">
        <v>749</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792</v>
      </c>
      <c r="B171" s="10" t="s">
        <v>14</v>
      </c>
      <c r="C171" s="11">
        <v>1.0</v>
      </c>
      <c r="D171" s="21" t="s">
        <v>139</v>
      </c>
      <c r="E171" s="66" t="s">
        <v>793</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794</v>
      </c>
      <c r="H171" s="11">
        <v>2.0</v>
      </c>
      <c r="I171" s="11" t="s">
        <v>795</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796</v>
      </c>
      <c r="B172" s="10" t="s">
        <v>14</v>
      </c>
      <c r="C172" s="11">
        <v>1.0</v>
      </c>
      <c r="D172" s="11" t="s">
        <v>139</v>
      </c>
      <c r="E172" s="66" t="s">
        <v>797</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798</v>
      </c>
      <c r="H172" s="11">
        <v>2.0</v>
      </c>
      <c r="I172" s="11" t="s">
        <v>697</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799</v>
      </c>
      <c r="B173" s="73" t="s">
        <v>14</v>
      </c>
      <c r="C173" s="11">
        <v>2.0</v>
      </c>
      <c r="D173" s="11" t="s">
        <v>139</v>
      </c>
      <c r="E173" s="10" t="s">
        <v>800</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801</v>
      </c>
      <c r="H173" s="11">
        <v>1.0</v>
      </c>
      <c r="I173" s="11" t="s">
        <v>711</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802</v>
      </c>
      <c r="B174" s="73" t="s">
        <v>14</v>
      </c>
      <c r="C174" s="18">
        <v>2.0</v>
      </c>
      <c r="D174" s="11" t="s">
        <v>272</v>
      </c>
      <c r="E174" s="10" t="s">
        <v>803</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804</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805</v>
      </c>
      <c r="B175" s="72" t="s">
        <v>14</v>
      </c>
      <c r="C175" s="18">
        <v>2.0</v>
      </c>
      <c r="D175" s="18" t="s">
        <v>683</v>
      </c>
      <c r="E175" s="19" t="s">
        <v>806</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749</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807</v>
      </c>
      <c r="B176" s="19" t="s">
        <v>14</v>
      </c>
      <c r="C176" s="18">
        <v>1.0</v>
      </c>
      <c r="D176" s="18" t="s">
        <v>158</v>
      </c>
      <c r="E176" s="19" t="s">
        <v>808</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809</v>
      </c>
      <c r="H176" s="18">
        <v>3.0</v>
      </c>
      <c r="I176" s="18" t="s">
        <v>697</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810</v>
      </c>
      <c r="B177" s="10" t="s">
        <v>14</v>
      </c>
      <c r="C177" s="11">
        <v>1.0</v>
      </c>
      <c r="D177" s="11" t="s">
        <v>158</v>
      </c>
      <c r="E177" s="10" t="s">
        <v>811</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812</v>
      </c>
      <c r="H177" s="11">
        <v>3.0</v>
      </c>
      <c r="I177" s="11" t="s">
        <v>804</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813</v>
      </c>
      <c r="B178" s="10" t="s">
        <v>14</v>
      </c>
      <c r="C178" s="11">
        <v>1.0</v>
      </c>
      <c r="D178" s="11" t="s">
        <v>683</v>
      </c>
      <c r="E178" s="54" t="s">
        <v>814</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815</v>
      </c>
      <c r="H178" s="11">
        <v>6.0</v>
      </c>
      <c r="I178" s="11" t="s">
        <v>816</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817</v>
      </c>
      <c r="B179" s="10" t="s">
        <v>14</v>
      </c>
      <c r="C179" s="11">
        <v>1.0</v>
      </c>
      <c r="D179" s="11" t="s">
        <v>683</v>
      </c>
      <c r="E179" s="10" t="s">
        <v>818</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819</v>
      </c>
      <c r="H179" s="11">
        <v>0.0</v>
      </c>
      <c r="I179" s="11" t="s">
        <v>782</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820</v>
      </c>
      <c r="B180" s="10" t="s">
        <v>14</v>
      </c>
      <c r="C180" s="11">
        <v>1.0</v>
      </c>
      <c r="D180" s="11" t="s">
        <v>125</v>
      </c>
      <c r="E180" s="10" t="s">
        <v>821</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822</v>
      </c>
      <c r="H180" s="11">
        <v>2.0</v>
      </c>
      <c r="I180" s="11" t="s">
        <v>726</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823</v>
      </c>
      <c r="B181" s="19" t="s">
        <v>14</v>
      </c>
      <c r="C181" s="18">
        <v>2.0</v>
      </c>
      <c r="D181" s="18" t="s">
        <v>824</v>
      </c>
      <c r="E181" s="19" t="s">
        <v>825</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826</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827</v>
      </c>
      <c r="B182" s="49" t="s">
        <v>828</v>
      </c>
      <c r="C182" s="48">
        <v>2.0</v>
      </c>
      <c r="D182" s="48" t="s">
        <v>829</v>
      </c>
      <c r="E182" s="49" t="s">
        <v>830</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831</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832</v>
      </c>
      <c r="B183" s="10" t="s">
        <v>14</v>
      </c>
      <c r="C183" s="11">
        <v>1.0</v>
      </c>
      <c r="D183" s="11" t="s">
        <v>125</v>
      </c>
      <c r="E183" s="10" t="s">
        <v>833</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834</v>
      </c>
      <c r="H183" s="11">
        <v>4.0</v>
      </c>
      <c r="I183" s="11" t="s">
        <v>782</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835</v>
      </c>
      <c r="B184" s="10" t="s">
        <v>14</v>
      </c>
      <c r="C184" s="11">
        <v>1.0</v>
      </c>
      <c r="D184" s="11" t="s">
        <v>272</v>
      </c>
      <c r="E184" s="10" t="s">
        <v>836</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837</v>
      </c>
      <c r="H184" s="11">
        <v>2.0</v>
      </c>
      <c r="I184" s="11" t="s">
        <v>697</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838</v>
      </c>
      <c r="B185" s="19" t="s">
        <v>14</v>
      </c>
      <c r="C185" s="18">
        <v>1.0</v>
      </c>
      <c r="D185" s="18" t="s">
        <v>302</v>
      </c>
      <c r="E185" s="19" t="s">
        <v>839</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840</v>
      </c>
      <c r="H185" s="18">
        <v>6.0</v>
      </c>
      <c r="I185" s="18" t="s">
        <v>804</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841</v>
      </c>
      <c r="B186" s="10" t="s">
        <v>14</v>
      </c>
      <c r="C186" s="11">
        <v>1.0</v>
      </c>
      <c r="D186" s="25" t="s">
        <v>636</v>
      </c>
      <c r="E186" s="66" t="s">
        <v>842</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843</v>
      </c>
      <c r="H186" s="11">
        <v>3.0</v>
      </c>
      <c r="I186" s="11" t="s">
        <v>752</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844</v>
      </c>
      <c r="B187" s="10" t="s">
        <v>828</v>
      </c>
      <c r="C187" s="11">
        <v>2.0</v>
      </c>
      <c r="D187" s="11" t="s">
        <v>363</v>
      </c>
      <c r="E187" s="10" t="s">
        <v>845</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846</v>
      </c>
      <c r="H187" s="11">
        <v>3.0</v>
      </c>
      <c r="I187" s="11" t="s">
        <v>847</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848</v>
      </c>
      <c r="B188" s="10" t="s">
        <v>14</v>
      </c>
      <c r="C188" s="11">
        <v>1.0</v>
      </c>
      <c r="D188" s="11" t="s">
        <v>350</v>
      </c>
      <c r="E188" s="10" t="s">
        <v>849</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850</v>
      </c>
      <c r="H188" s="11">
        <v>2.0</v>
      </c>
      <c r="I188" s="11" t="s">
        <v>726</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851</v>
      </c>
      <c r="B189" s="10" t="s">
        <v>14</v>
      </c>
      <c r="C189" s="11">
        <v>1.0</v>
      </c>
      <c r="D189" s="11" t="s">
        <v>44</v>
      </c>
      <c r="E189" s="10" t="s">
        <v>852</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853</v>
      </c>
      <c r="H189" s="11">
        <v>1.0</v>
      </c>
      <c r="I189" s="11" t="s">
        <v>711</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854</v>
      </c>
      <c r="B190" s="10" t="s">
        <v>828</v>
      </c>
      <c r="C190" s="11">
        <v>2.0</v>
      </c>
      <c r="D190" s="11" t="s">
        <v>317</v>
      </c>
      <c r="E190" s="19" t="s">
        <v>855</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856</v>
      </c>
      <c r="H190" s="11">
        <v>3.0</v>
      </c>
      <c r="I190" s="11" t="s">
        <v>847</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857</v>
      </c>
      <c r="B191" s="19" t="s">
        <v>828</v>
      </c>
      <c r="C191" s="19">
        <v>2.0</v>
      </c>
      <c r="D191" s="18" t="s">
        <v>154</v>
      </c>
      <c r="E191" s="19" t="s">
        <v>858</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859</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860</v>
      </c>
      <c r="B192" s="19" t="s">
        <v>828</v>
      </c>
      <c r="C192" s="18">
        <v>2.0</v>
      </c>
      <c r="D192" s="18" t="s">
        <v>861</v>
      </c>
      <c r="E192" s="19" t="s">
        <v>862</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847</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863</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864</v>
      </c>
      <c r="H193" s="11">
        <v>1.0</v>
      </c>
      <c r="I193" s="11" t="s">
        <v>749</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865</v>
      </c>
      <c r="B194" s="10" t="s">
        <v>14</v>
      </c>
      <c r="C194" s="11">
        <v>1.0</v>
      </c>
      <c r="D194" s="11" t="s">
        <v>44</v>
      </c>
      <c r="E194" s="10" t="s">
        <v>866</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867</v>
      </c>
      <c r="H194" s="11">
        <v>4.0</v>
      </c>
      <c r="I194" s="11" t="s">
        <v>726</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868</v>
      </c>
      <c r="B195" s="10" t="s">
        <v>14</v>
      </c>
      <c r="C195" s="11">
        <v>1.0</v>
      </c>
      <c r="D195" s="11" t="s">
        <v>221</v>
      </c>
      <c r="E195" s="19" t="s">
        <v>869</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870</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871</v>
      </c>
      <c r="B196" s="10" t="s">
        <v>872</v>
      </c>
      <c r="C196" s="11">
        <v>2.0</v>
      </c>
      <c r="D196" s="11" t="s">
        <v>44</v>
      </c>
      <c r="E196" s="45" t="s">
        <v>873</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874</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875</v>
      </c>
      <c r="B197" s="10" t="s">
        <v>14</v>
      </c>
      <c r="C197" s="11">
        <v>1.0</v>
      </c>
      <c r="D197" s="11" t="s">
        <v>221</v>
      </c>
      <c r="E197" s="10" t="s">
        <v>876</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877</v>
      </c>
      <c r="H197" s="11">
        <v>4.0</v>
      </c>
      <c r="I197" s="11" t="s">
        <v>726</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878</v>
      </c>
      <c r="B198" s="19" t="s">
        <v>872</v>
      </c>
      <c r="C198" s="18">
        <v>2.0</v>
      </c>
      <c r="D198" s="18" t="s">
        <v>879</v>
      </c>
      <c r="E198" s="19" t="s">
        <v>880</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881</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882</v>
      </c>
      <c r="B199" s="10" t="s">
        <v>872</v>
      </c>
      <c r="C199" s="11">
        <v>2.0</v>
      </c>
      <c r="D199" s="11" t="s">
        <v>883</v>
      </c>
      <c r="E199" s="45" t="s">
        <v>884</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885</v>
      </c>
      <c r="H199" s="11">
        <v>2.0</v>
      </c>
      <c r="I199" s="25" t="s">
        <v>874</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886</v>
      </c>
      <c r="B200" s="19" t="s">
        <v>872</v>
      </c>
      <c r="C200" s="18">
        <v>2.0</v>
      </c>
      <c r="D200" s="18" t="s">
        <v>887</v>
      </c>
      <c r="E200" s="19" t="s">
        <v>888</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889</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890</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891</v>
      </c>
      <c r="H201" s="11">
        <v>4.0</v>
      </c>
      <c r="I201" s="11" t="s">
        <v>697</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892</v>
      </c>
      <c r="B202" s="10" t="s">
        <v>14</v>
      </c>
      <c r="C202" s="11">
        <v>1.0</v>
      </c>
      <c r="D202" s="11" t="s">
        <v>221</v>
      </c>
      <c r="E202" s="10" t="s">
        <v>893</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894</v>
      </c>
      <c r="H202" s="21">
        <v>3.0</v>
      </c>
      <c r="I202" s="11" t="s">
        <v>782</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895</v>
      </c>
      <c r="B203" s="19" t="s">
        <v>872</v>
      </c>
      <c r="C203" s="18">
        <v>2.0</v>
      </c>
      <c r="D203" s="18" t="s">
        <v>773</v>
      </c>
      <c r="E203" s="19" t="s">
        <v>896</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897</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898</v>
      </c>
      <c r="B204" s="19" t="s">
        <v>14</v>
      </c>
      <c r="C204" s="18">
        <v>1.0</v>
      </c>
      <c r="D204" s="18" t="s">
        <v>221</v>
      </c>
      <c r="E204" s="19" t="s">
        <v>899</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900</v>
      </c>
      <c r="H204" s="18">
        <v>2.0</v>
      </c>
      <c r="I204" s="18" t="s">
        <v>788</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901</v>
      </c>
      <c r="B205" s="19" t="s">
        <v>872</v>
      </c>
      <c r="C205" s="18">
        <v>2.0</v>
      </c>
      <c r="D205" s="18" t="s">
        <v>44</v>
      </c>
      <c r="E205" s="19" t="s">
        <v>902</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903</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904</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905</v>
      </c>
      <c r="H206" s="11">
        <v>5.0</v>
      </c>
      <c r="I206" s="18" t="s">
        <v>752</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906</v>
      </c>
      <c r="B207" s="79" t="s">
        <v>12</v>
      </c>
      <c r="C207" s="11">
        <v>2.0</v>
      </c>
      <c r="D207" s="11" t="s">
        <v>139</v>
      </c>
      <c r="E207" s="19" t="s">
        <v>907</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908</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909</v>
      </c>
      <c r="B208" s="45" t="s">
        <v>12</v>
      </c>
      <c r="C208" s="11">
        <v>2.0</v>
      </c>
      <c r="D208" s="11" t="s">
        <v>543</v>
      </c>
      <c r="E208" s="10" t="s">
        <v>910</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911</v>
      </c>
      <c r="H208" s="11">
        <v>6.0</v>
      </c>
      <c r="I208" s="11" t="s">
        <v>912</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913</v>
      </c>
      <c r="B209" s="80" t="s">
        <v>12</v>
      </c>
      <c r="C209" s="18">
        <v>2.0</v>
      </c>
      <c r="D209" s="18" t="s">
        <v>914</v>
      </c>
      <c r="E209" s="19" t="s">
        <v>915</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912</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916</v>
      </c>
      <c r="B210" s="79" t="s">
        <v>12</v>
      </c>
      <c r="C210" s="11">
        <v>2.0</v>
      </c>
      <c r="D210" s="11" t="s">
        <v>44</v>
      </c>
      <c r="E210" s="10" t="s">
        <v>917</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918</v>
      </c>
      <c r="H210" s="11">
        <v>2.0</v>
      </c>
      <c r="I210" s="11" t="s">
        <v>919</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920</v>
      </c>
      <c r="B211" s="26" t="s">
        <v>14</v>
      </c>
      <c r="C211" s="60">
        <v>1.0</v>
      </c>
      <c r="D211" s="60" t="s">
        <v>363</v>
      </c>
      <c r="E211" s="81" t="s">
        <v>921</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922</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923</v>
      </c>
      <c r="B212" s="80" t="s">
        <v>12</v>
      </c>
      <c r="C212" s="18">
        <v>2.0</v>
      </c>
      <c r="D212" s="18" t="s">
        <v>924</v>
      </c>
      <c r="E212" s="19" t="s">
        <v>925</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926</v>
      </c>
      <c r="H212" s="18">
        <v>5.0</v>
      </c>
      <c r="I212" s="18" t="s">
        <v>927</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928</v>
      </c>
      <c r="B213" s="10" t="s">
        <v>14</v>
      </c>
      <c r="C213" s="11">
        <v>1.0</v>
      </c>
      <c r="D213" s="11" t="s">
        <v>363</v>
      </c>
      <c r="E213" s="10" t="s">
        <v>929</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930</v>
      </c>
      <c r="H213" s="11">
        <v>1.0</v>
      </c>
      <c r="I213" s="11" t="s">
        <v>711</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931</v>
      </c>
      <c r="B214" s="30" t="s">
        <v>12</v>
      </c>
      <c r="C214" s="18">
        <v>2.0</v>
      </c>
      <c r="D214" s="18" t="s">
        <v>932</v>
      </c>
      <c r="E214" s="19" t="s">
        <v>933</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912</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934</v>
      </c>
      <c r="B215" s="10" t="s">
        <v>14</v>
      </c>
      <c r="C215" s="11">
        <v>1.0</v>
      </c>
      <c r="D215" s="11" t="s">
        <v>519</v>
      </c>
      <c r="E215" s="10" t="s">
        <v>935</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936</v>
      </c>
      <c r="H215" s="11">
        <v>1.0</v>
      </c>
      <c r="I215" s="11" t="s">
        <v>711</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937</v>
      </c>
      <c r="B216" s="10" t="s">
        <v>14</v>
      </c>
      <c r="C216" s="11">
        <v>1.0</v>
      </c>
      <c r="D216" s="52" t="s">
        <v>477</v>
      </c>
      <c r="E216" s="19" t="s">
        <v>938</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939</v>
      </c>
      <c r="H216" s="18">
        <v>3.0</v>
      </c>
      <c r="I216" s="18" t="s">
        <v>697</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940</v>
      </c>
      <c r="B217" s="10" t="s">
        <v>828</v>
      </c>
      <c r="C217" s="11">
        <v>1.0</v>
      </c>
      <c r="D217" s="11" t="s">
        <v>941</v>
      </c>
      <c r="E217" s="10" t="s">
        <v>942</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943</v>
      </c>
      <c r="H217" s="11">
        <v>3.0</v>
      </c>
      <c r="I217" s="11" t="s">
        <v>944</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945</v>
      </c>
      <c r="B218" s="10" t="s">
        <v>828</v>
      </c>
      <c r="C218" s="11">
        <v>1.0</v>
      </c>
      <c r="D218" s="11" t="s">
        <v>683</v>
      </c>
      <c r="E218" s="10" t="s">
        <v>946</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947</v>
      </c>
      <c r="H218" s="11">
        <v>3.0</v>
      </c>
      <c r="I218" s="11" t="s">
        <v>948</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949</v>
      </c>
      <c r="B219" s="80" t="s">
        <v>12</v>
      </c>
      <c r="C219" s="18">
        <v>2.0</v>
      </c>
      <c r="D219" s="18" t="s">
        <v>950</v>
      </c>
      <c r="E219" s="19" t="s">
        <v>951</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952</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953</v>
      </c>
      <c r="B220" s="79" t="s">
        <v>12</v>
      </c>
      <c r="C220" s="11">
        <v>2.0</v>
      </c>
      <c r="D220" s="11" t="s">
        <v>631</v>
      </c>
      <c r="E220" s="45" t="s">
        <v>954</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908</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955</v>
      </c>
      <c r="B221" s="79" t="s">
        <v>12</v>
      </c>
      <c r="C221" s="11">
        <v>0.0</v>
      </c>
      <c r="D221" s="11" t="s">
        <v>956</v>
      </c>
      <c r="E221" s="27" t="s">
        <v>957</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958</v>
      </c>
      <c r="H221" s="11">
        <v>4.0</v>
      </c>
      <c r="I221" s="11" t="s">
        <v>912</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959</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960</v>
      </c>
      <c r="H222" s="11">
        <v>7.0</v>
      </c>
      <c r="I222" s="11" t="s">
        <v>961</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962</v>
      </c>
      <c r="B223" s="80" t="s">
        <v>12</v>
      </c>
      <c r="C223" s="18">
        <v>2.0</v>
      </c>
      <c r="D223" s="18" t="s">
        <v>963</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541</v>
      </c>
      <c r="H223" s="18">
        <v>2.0</v>
      </c>
      <c r="I223" s="18" t="s">
        <v>908</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964</v>
      </c>
      <c r="B224" s="80" t="s">
        <v>12</v>
      </c>
      <c r="C224" s="18">
        <v>2.0</v>
      </c>
      <c r="D224" s="18" t="s">
        <v>158</v>
      </c>
      <c r="E224" s="19" t="s">
        <v>965</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966</v>
      </c>
      <c r="H224" s="18">
        <v>2.0</v>
      </c>
      <c r="I224" s="11" t="s">
        <v>961</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967</v>
      </c>
      <c r="B225" s="80" t="s">
        <v>12</v>
      </c>
      <c r="C225" s="18">
        <v>2.0</v>
      </c>
      <c r="D225" s="18" t="s">
        <v>139</v>
      </c>
      <c r="E225" s="19" t="s">
        <v>968</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908</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969</v>
      </c>
      <c r="B226" s="19" t="s">
        <v>12</v>
      </c>
      <c r="C226" s="18">
        <v>2.0</v>
      </c>
      <c r="D226" s="18" t="s">
        <v>970</v>
      </c>
      <c r="E226" s="19" t="s">
        <v>971</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972</v>
      </c>
      <c r="H226" s="18">
        <v>5.0</v>
      </c>
      <c r="I226" s="18" t="s">
        <v>973</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974</v>
      </c>
      <c r="B227" s="80" t="s">
        <v>12</v>
      </c>
      <c r="C227" s="18">
        <v>2.0</v>
      </c>
      <c r="D227" s="18" t="s">
        <v>975</v>
      </c>
      <c r="E227" s="19" t="s">
        <v>976</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648</v>
      </c>
      <c r="H227" s="18">
        <v>4.0</v>
      </c>
      <c r="I227" s="18" t="s">
        <v>973</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977</v>
      </c>
      <c r="B228" s="10" t="s">
        <v>828</v>
      </c>
      <c r="C228" s="11">
        <v>1.0</v>
      </c>
      <c r="D228" s="11" t="s">
        <v>978</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979</v>
      </c>
      <c r="H228" s="11">
        <v>2.0</v>
      </c>
      <c r="I228" s="11" t="s">
        <v>980</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981</v>
      </c>
      <c r="B229" s="79" t="s">
        <v>12</v>
      </c>
      <c r="C229" s="11">
        <v>0.0</v>
      </c>
      <c r="D229" s="11" t="s">
        <v>914</v>
      </c>
      <c r="E229" s="10" t="s">
        <v>982</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983</v>
      </c>
      <c r="H229" s="11">
        <v>5.0</v>
      </c>
      <c r="I229" s="11" t="s">
        <v>973</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984</v>
      </c>
      <c r="B230" s="10" t="s">
        <v>872</v>
      </c>
      <c r="C230" s="11">
        <v>1.0</v>
      </c>
      <c r="D230" s="25" t="s">
        <v>985</v>
      </c>
      <c r="E230" s="45" t="s">
        <v>986</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987</v>
      </c>
      <c r="H230" s="11">
        <v>1.0</v>
      </c>
      <c r="I230" s="11" t="s">
        <v>988</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989</v>
      </c>
      <c r="B231" s="45" t="s">
        <v>12</v>
      </c>
      <c r="C231" s="11">
        <v>2.0</v>
      </c>
      <c r="D231" s="11" t="s">
        <v>519</v>
      </c>
      <c r="E231" s="10" t="s">
        <v>990</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991</v>
      </c>
      <c r="H231" s="11">
        <v>1.0</v>
      </c>
      <c r="I231" s="11" t="s">
        <v>919</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992</v>
      </c>
      <c r="B232" s="19" t="s">
        <v>12</v>
      </c>
      <c r="C232" s="18">
        <v>2.0</v>
      </c>
      <c r="D232" s="18" t="s">
        <v>139</v>
      </c>
      <c r="E232" s="19" t="s">
        <v>993</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994</v>
      </c>
      <c r="H232" s="18">
        <v>6.0</v>
      </c>
      <c r="I232" s="18" t="s">
        <v>995</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996</v>
      </c>
      <c r="B233" s="80" t="s">
        <v>12</v>
      </c>
      <c r="C233" s="18">
        <v>2.0</v>
      </c>
      <c r="D233" s="18" t="s">
        <v>195</v>
      </c>
      <c r="E233" s="19" t="s">
        <v>997</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758</v>
      </c>
      <c r="H233" s="18">
        <v>3.0</v>
      </c>
      <c r="I233" s="18" t="s">
        <v>973</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998</v>
      </c>
      <c r="B234" s="80" t="s">
        <v>12</v>
      </c>
      <c r="C234" s="18">
        <v>0.0</v>
      </c>
      <c r="D234" s="18" t="s">
        <v>221</v>
      </c>
      <c r="E234" s="19" t="s">
        <v>999</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1000</v>
      </c>
      <c r="H234" s="11">
        <v>3.0</v>
      </c>
      <c r="I234" s="11" t="s">
        <v>1001</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1002</v>
      </c>
      <c r="B235" s="19" t="s">
        <v>12</v>
      </c>
      <c r="C235" s="18">
        <v>2.0</v>
      </c>
      <c r="D235" s="18" t="s">
        <v>1003</v>
      </c>
      <c r="E235" s="19" t="s">
        <v>1004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1005</v>
      </c>
      <c r="H235" s="18">
        <v>6.0</v>
      </c>
      <c r="I235" s="18" t="s">
        <v>995</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1006</v>
      </c>
      <c r="B236" s="10" t="s">
        <v>872</v>
      </c>
      <c r="C236" s="11">
        <v>1.0</v>
      </c>
      <c r="D236" s="11" t="s">
        <v>1007</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1008</v>
      </c>
      <c r="H236" s="11">
        <v>2.0</v>
      </c>
      <c r="I236" s="11" t="s">
        <v>903</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1009</v>
      </c>
      <c r="B237" s="10" t="s">
        <v>872</v>
      </c>
      <c r="C237" s="11">
        <v>1.0</v>
      </c>
      <c r="D237" s="25" t="s">
        <v>879</v>
      </c>
      <c r="E237" s="10" t="s">
        <v>1010</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1011</v>
      </c>
      <c r="H237" s="11">
        <v>2.0</v>
      </c>
      <c r="I237" s="11" t="s">
        <v>1012</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1013</v>
      </c>
      <c r="B238" s="80" t="s">
        <v>12</v>
      </c>
      <c r="C238" s="18">
        <v>2.0</v>
      </c>
      <c r="D238" s="18" t="s">
        <v>731</v>
      </c>
      <c r="E238" s="19" t="s">
        <v>1014</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1015</v>
      </c>
      <c r="H238" s="18">
        <v>3.0</v>
      </c>
      <c r="I238" s="18" t="s">
        <v>952</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1016</v>
      </c>
      <c r="B239" s="79" t="s">
        <v>12</v>
      </c>
      <c r="C239" s="11">
        <v>2.0</v>
      </c>
      <c r="D239" s="11" t="s">
        <v>950</v>
      </c>
      <c r="E239" s="19" t="s">
        <v>1017</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1018</v>
      </c>
      <c r="H239" s="11">
        <v>3.0</v>
      </c>
      <c r="I239" s="11" t="s">
        <v>952</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1019</v>
      </c>
      <c r="B240" s="10" t="s">
        <v>12</v>
      </c>
      <c r="C240" s="11">
        <v>1.0</v>
      </c>
      <c r="D240" s="25" t="s">
        <v>84</v>
      </c>
      <c r="E240" s="10" t="s">
        <v>1020</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1021</v>
      </c>
      <c r="H240" s="11">
        <v>4.0</v>
      </c>
      <c r="I240" s="11" t="s">
        <v>973</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1022</v>
      </c>
      <c r="B241" s="10" t="s">
        <v>12</v>
      </c>
      <c r="C241" s="11">
        <v>1.0</v>
      </c>
      <c r="D241" s="11" t="s">
        <v>139</v>
      </c>
      <c r="E241" s="10" t="s">
        <v>1023</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1024</v>
      </c>
      <c r="H241" s="11">
        <v>4.0</v>
      </c>
      <c r="I241" s="11" t="s">
        <v>973</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1025</v>
      </c>
      <c r="B242" s="80" t="s">
        <v>12</v>
      </c>
      <c r="C242" s="18">
        <v>2.0</v>
      </c>
      <c r="D242" s="18" t="s">
        <v>1026</v>
      </c>
      <c r="E242" s="19" t="s">
        <v>1027</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791</v>
      </c>
      <c r="H242" s="18">
        <v>4.0</v>
      </c>
      <c r="I242" s="18" t="s">
        <v>952</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1028</v>
      </c>
      <c r="B243" s="19" t="s">
        <v>12</v>
      </c>
      <c r="C243" s="18">
        <v>1.0</v>
      </c>
      <c r="D243" s="18" t="s">
        <v>139</v>
      </c>
      <c r="E243" s="10" t="s">
        <v>1029</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1030</v>
      </c>
      <c r="H243" s="18">
        <v>2.0</v>
      </c>
      <c r="I243" s="18" t="s">
        <v>908</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1031</v>
      </c>
      <c r="B244" s="19" t="s">
        <v>12</v>
      </c>
      <c r="C244" s="18">
        <v>1.0</v>
      </c>
      <c r="D244" s="18" t="s">
        <v>195</v>
      </c>
      <c r="E244" s="10" t="s">
        <v>1032</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1033</v>
      </c>
      <c r="H244" s="18">
        <v>3.0</v>
      </c>
      <c r="I244" s="18" t="s">
        <v>919</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1034</v>
      </c>
      <c r="B245" s="10" t="s">
        <v>12</v>
      </c>
      <c r="C245" s="11">
        <v>1.0</v>
      </c>
      <c r="D245" s="11" t="s">
        <v>195</v>
      </c>
      <c r="E245" s="10" t="s">
        <v>1035</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1036</v>
      </c>
      <c r="H245" s="11">
        <v>5.0</v>
      </c>
      <c r="I245" s="11" t="s">
        <v>973</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1037</v>
      </c>
      <c r="B246" s="10" t="s">
        <v>12</v>
      </c>
      <c r="C246" s="11">
        <v>1.0</v>
      </c>
      <c r="D246" s="11" t="s">
        <v>195</v>
      </c>
      <c r="E246" s="10" t="s">
        <v>1038</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1039</v>
      </c>
      <c r="H246" s="11">
        <v>1.0</v>
      </c>
      <c r="I246" s="11" t="s">
        <v>919</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1040</v>
      </c>
      <c r="B247" s="45" t="s">
        <v>12</v>
      </c>
      <c r="C247" s="11">
        <v>2.0</v>
      </c>
      <c r="D247" s="18" t="s">
        <v>631</v>
      </c>
      <c r="E247" s="19" t="s">
        <v>1041</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1042</v>
      </c>
      <c r="H247" s="18">
        <v>3.0</v>
      </c>
      <c r="I247" s="18" t="s">
        <v>912</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1043</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1044</v>
      </c>
      <c r="H248" s="11">
        <v>2.0</v>
      </c>
      <c r="I248" s="11" t="s">
        <v>1045</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1046</v>
      </c>
      <c r="B249" s="10" t="s">
        <v>12</v>
      </c>
      <c r="C249" s="11">
        <v>1.0</v>
      </c>
      <c r="D249" s="11" t="s">
        <v>298</v>
      </c>
      <c r="E249" s="19" t="s">
        <v>1047</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1048</v>
      </c>
      <c r="H249" s="11">
        <v>6.0</v>
      </c>
      <c r="I249" s="11" t="s">
        <v>973</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1049</v>
      </c>
      <c r="B250" s="80" t="s">
        <v>12</v>
      </c>
      <c r="C250" s="18">
        <v>2.0</v>
      </c>
      <c r="D250" s="18" t="s">
        <v>654</v>
      </c>
      <c r="E250" s="19" t="s">
        <v>1050</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919</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1051</v>
      </c>
      <c r="B251" s="45" t="s">
        <v>12</v>
      </c>
      <c r="C251" s="11">
        <v>2.0</v>
      </c>
      <c r="D251" s="11" t="s">
        <v>914</v>
      </c>
      <c r="E251" s="10" t="s">
        <v>1052</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1053</v>
      </c>
      <c r="H251" s="11">
        <v>5.0</v>
      </c>
      <c r="I251" s="11" t="s">
        <v>927</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1054</v>
      </c>
      <c r="B252" s="10" t="s">
        <v>12</v>
      </c>
      <c r="C252" s="11">
        <v>1.0</v>
      </c>
      <c r="D252" s="25" t="s">
        <v>298</v>
      </c>
      <c r="E252" s="10" t="s">
        <v>1055</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1056</v>
      </c>
      <c r="H252" s="11">
        <v>5.0</v>
      </c>
      <c r="I252" s="11" t="s">
        <v>973</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1057</v>
      </c>
      <c r="B253" s="19" t="s">
        <v>12</v>
      </c>
      <c r="C253" s="18">
        <v>1.0</v>
      </c>
      <c r="D253" s="18" t="s">
        <v>302</v>
      </c>
      <c r="E253" s="19" t="s">
        <v>1058</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648</v>
      </c>
      <c r="H253" s="18">
        <v>3.0</v>
      </c>
      <c r="I253" s="18" t="s">
        <v>919</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1059</v>
      </c>
      <c r="B254" s="10" t="s">
        <v>12</v>
      </c>
      <c r="C254" s="11">
        <v>1.0</v>
      </c>
      <c r="D254" s="11" t="s">
        <v>302</v>
      </c>
      <c r="E254" s="10" t="s">
        <v>1060</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1061</v>
      </c>
      <c r="H254" s="11">
        <v>2.0</v>
      </c>
      <c r="I254" s="11" t="s">
        <v>919</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1062</v>
      </c>
      <c r="B255" s="79" t="s">
        <v>12</v>
      </c>
      <c r="C255" s="11">
        <v>2.0</v>
      </c>
      <c r="D255" s="11" t="s">
        <v>861</v>
      </c>
      <c r="E255" s="10" t="s">
        <v>1063</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1064</v>
      </c>
      <c r="H255" s="11">
        <v>1.0</v>
      </c>
      <c r="I255" s="11" t="s">
        <v>908</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1065</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1066</v>
      </c>
      <c r="H256" s="11">
        <v>8.0</v>
      </c>
      <c r="I256" s="11" t="s">
        <v>995</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1067</v>
      </c>
      <c r="B257" s="19" t="s">
        <v>12</v>
      </c>
      <c r="C257" s="18">
        <v>1.0</v>
      </c>
      <c r="D257" s="18" t="s">
        <v>302</v>
      </c>
      <c r="E257" s="19" t="s">
        <v>1068</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973</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1069</v>
      </c>
      <c r="B258" s="10" t="s">
        <v>12</v>
      </c>
      <c r="C258" s="11">
        <v>1.0</v>
      </c>
      <c r="D258" s="11" t="s">
        <v>1070</v>
      </c>
      <c r="E258" s="10" t="s">
        <v>1071</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1072</v>
      </c>
      <c r="H258" s="11">
        <v>5.0</v>
      </c>
      <c r="I258" s="11" t="s">
        <v>1073</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1074</v>
      </c>
      <c r="B259" s="10" t="s">
        <v>12</v>
      </c>
      <c r="C259" s="18">
        <v>1.0</v>
      </c>
      <c r="D259" s="11" t="s">
        <v>975</v>
      </c>
      <c r="E259" s="10" t="s">
        <v>1075</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1076</v>
      </c>
      <c r="H259" s="21">
        <v>7.0</v>
      </c>
      <c r="I259" s="11" t="s">
        <v>961</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1077</v>
      </c>
      <c r="B260" s="19" t="s">
        <v>1078</v>
      </c>
      <c r="C260" s="18">
        <v>0.0</v>
      </c>
      <c r="D260" s="18" t="s">
        <v>1079</v>
      </c>
      <c r="E260" s="19" t="s">
        <v>1080</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1081</v>
      </c>
      <c r="H260" s="18">
        <v>7.0</v>
      </c>
      <c r="I260" s="18" t="s">
        <v>1082</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1083</v>
      </c>
      <c r="B261" s="10" t="s">
        <v>12</v>
      </c>
      <c r="C261" s="11">
        <v>1.0</v>
      </c>
      <c r="D261" s="11" t="s">
        <v>1084</v>
      </c>
      <c r="E261" s="10" t="s">
        <v>1085</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1086</v>
      </c>
      <c r="H261" s="11">
        <v>2.0</v>
      </c>
      <c r="I261" s="11" t="s">
        <v>1045</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1087</v>
      </c>
      <c r="B262" s="10" t="s">
        <v>1078</v>
      </c>
      <c r="C262" s="11">
        <v>2.0</v>
      </c>
      <c r="D262" s="11" t="s">
        <v>1088</v>
      </c>
      <c r="E262" s="10" t="s">
        <v>1089</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1090</v>
      </c>
      <c r="H262" s="11">
        <v>3.0</v>
      </c>
      <c r="I262" s="11" t="s">
        <v>1091</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1092</v>
      </c>
      <c r="B263" s="83" t="s">
        <v>13</v>
      </c>
      <c r="C263" s="11">
        <v>2.0</v>
      </c>
      <c r="D263" s="11" t="s">
        <v>203</v>
      </c>
      <c r="E263" s="10" t="s">
        <v>1093</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1094</v>
      </c>
      <c r="H263" s="11">
        <v>1.0</v>
      </c>
      <c r="I263" s="11" t="s">
        <v>1095</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1096</v>
      </c>
      <c r="B264" s="83" t="s">
        <v>13</v>
      </c>
      <c r="C264" s="11">
        <v>2.0</v>
      </c>
      <c r="D264" s="11" t="s">
        <v>970</v>
      </c>
      <c r="E264" s="10" t="s">
        <v>1097</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1098</v>
      </c>
      <c r="H264" s="11">
        <v>4.0</v>
      </c>
      <c r="I264" s="11" t="s">
        <v>1099</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1100</v>
      </c>
      <c r="B265" s="10" t="s">
        <v>12</v>
      </c>
      <c r="C265" s="11">
        <v>1.0</v>
      </c>
      <c r="D265" s="11" t="s">
        <v>1084</v>
      </c>
      <c r="E265" s="45" t="s">
        <v>1101</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1102</v>
      </c>
      <c r="H265" s="11">
        <v>6.0</v>
      </c>
      <c r="I265" s="11" t="s">
        <v>1103</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1104</v>
      </c>
      <c r="B266" s="10" t="s">
        <v>12</v>
      </c>
      <c r="C266" s="11">
        <v>1.0</v>
      </c>
      <c r="D266" s="11" t="s">
        <v>1003</v>
      </c>
      <c r="E266" s="10" t="s">
        <v>1105</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1106</v>
      </c>
      <c r="H266" s="11">
        <v>4.0</v>
      </c>
      <c r="I266" s="11" t="s">
        <v>973</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1107</v>
      </c>
      <c r="B267" s="10" t="s">
        <v>12</v>
      </c>
      <c r="C267" s="11">
        <v>1.0</v>
      </c>
      <c r="D267" s="11" t="s">
        <v>1108</v>
      </c>
      <c r="E267" s="45" t="s">
        <v>1109</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1110</v>
      </c>
      <c r="H267" s="11">
        <v>4.0</v>
      </c>
      <c r="I267" s="11" t="s">
        <v>1111</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1112</v>
      </c>
      <c r="B268" s="84" t="s">
        <v>13</v>
      </c>
      <c r="C268" s="18">
        <v>2.0</v>
      </c>
      <c r="D268" s="18" t="s">
        <v>1113</v>
      </c>
      <c r="E268" s="30" t="s">
        <v>1114</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1115</v>
      </c>
      <c r="H268" s="18">
        <v>4.0</v>
      </c>
      <c r="I268" s="18" t="s">
        <v>1116</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1117</v>
      </c>
      <c r="B269" s="10" t="s">
        <v>12</v>
      </c>
      <c r="C269" s="11">
        <v>1.0</v>
      </c>
      <c r="D269" s="11" t="s">
        <v>1026</v>
      </c>
      <c r="E269" s="10" t="s">
        <v>1118</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1119</v>
      </c>
      <c r="H269" s="11">
        <v>2.0</v>
      </c>
      <c r="I269" s="11" t="s">
        <v>912</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1120</v>
      </c>
      <c r="B270" s="83" t="s">
        <v>13</v>
      </c>
      <c r="C270" s="11">
        <v>2.0</v>
      </c>
      <c r="D270" s="11" t="s">
        <v>1121</v>
      </c>
      <c r="E270" s="19" t="s">
        <v>1122</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1123</v>
      </c>
      <c r="H270" s="11">
        <v>3.0</v>
      </c>
      <c r="I270" s="11" t="s">
        <v>1124</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1125</v>
      </c>
      <c r="B271" s="83" t="s">
        <v>13</v>
      </c>
      <c r="C271" s="11">
        <v>2.0</v>
      </c>
      <c r="D271" s="11" t="s">
        <v>107</v>
      </c>
      <c r="E271" s="85" t="s">
        <v>1126</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1127</v>
      </c>
      <c r="H271" s="11">
        <v>0.0</v>
      </c>
      <c r="I271" s="11" t="s">
        <v>1128</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1129</v>
      </c>
      <c r="B272" s="10" t="s">
        <v>12</v>
      </c>
      <c r="C272" s="11">
        <v>1.0</v>
      </c>
      <c r="D272" s="11" t="s">
        <v>519</v>
      </c>
      <c r="E272" s="45" t="s">
        <v>1130</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1131</v>
      </c>
      <c r="H272" s="11">
        <v>3.0</v>
      </c>
      <c r="I272" s="11" t="s">
        <v>912</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1132</v>
      </c>
      <c r="B273" s="83" t="s">
        <v>13</v>
      </c>
      <c r="C273" s="11">
        <v>2.0</v>
      </c>
      <c r="D273" s="11" t="s">
        <v>203</v>
      </c>
      <c r="E273" s="10" t="s">
        <v>1133</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1134</v>
      </c>
      <c r="H273" s="11">
        <v>3.0</v>
      </c>
      <c r="I273" s="11" t="s">
        <v>1124</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1135</v>
      </c>
      <c r="B274" s="84" t="s">
        <v>13</v>
      </c>
      <c r="C274" s="18">
        <v>2.0</v>
      </c>
      <c r="D274" s="18" t="s">
        <v>666</v>
      </c>
      <c r="E274" s="19" t="s">
        <v>1136</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1137</v>
      </c>
      <c r="H274" s="18">
        <v>0.0</v>
      </c>
      <c r="I274" s="18" t="s">
        <v>1128</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1138</v>
      </c>
      <c r="B275" s="10" t="s">
        <v>12</v>
      </c>
      <c r="C275" s="11">
        <v>1.0</v>
      </c>
      <c r="D275" s="11" t="s">
        <v>519</v>
      </c>
      <c r="E275" s="30" t="s">
        <v>1139</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1140</v>
      </c>
      <c r="H275" s="11">
        <v>2.0</v>
      </c>
      <c r="I275" s="11" t="s">
        <v>908</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1141</v>
      </c>
      <c r="B276" s="19" t="s">
        <v>12</v>
      </c>
      <c r="C276" s="18">
        <v>1.0</v>
      </c>
      <c r="D276" s="18" t="s">
        <v>950</v>
      </c>
      <c r="E276" s="19" t="s">
        <v>1142</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1143</v>
      </c>
      <c r="H276" s="18">
        <v>4.0</v>
      </c>
      <c r="I276" s="18" t="s">
        <v>927</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1144</v>
      </c>
      <c r="B277" s="10" t="s">
        <v>12</v>
      </c>
      <c r="C277" s="11">
        <v>1.0</v>
      </c>
      <c r="D277" s="11" t="s">
        <v>861</v>
      </c>
      <c r="E277" s="19" t="s">
        <v>1145</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1146</v>
      </c>
      <c r="H277" s="11">
        <v>3.0</v>
      </c>
      <c r="I277" s="11" t="s">
        <v>1001</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1147</v>
      </c>
      <c r="B278" s="84" t="s">
        <v>13</v>
      </c>
      <c r="C278" s="18">
        <v>2.0</v>
      </c>
      <c r="D278" s="18" t="s">
        <v>203</v>
      </c>
      <c r="E278" s="19" t="s">
        <v>1148</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1149</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1150</v>
      </c>
      <c r="B279" s="10" t="s">
        <v>12</v>
      </c>
      <c r="C279" s="11">
        <v>1.0</v>
      </c>
      <c r="D279" s="11" t="s">
        <v>861</v>
      </c>
      <c r="E279" s="19" t="s">
        <v>1151</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1152</v>
      </c>
      <c r="H279" s="11">
        <v>2.0</v>
      </c>
      <c r="I279" s="11" t="s">
        <v>908</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1153</v>
      </c>
      <c r="B280" s="83" t="s">
        <v>13</v>
      </c>
      <c r="C280" s="11">
        <v>2.0</v>
      </c>
      <c r="D280" s="11" t="s">
        <v>1121</v>
      </c>
      <c r="E280" s="10" t="s">
        <v>1154</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1155</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1156</v>
      </c>
      <c r="B281" s="19" t="s">
        <v>12</v>
      </c>
      <c r="C281" s="18">
        <v>1.0</v>
      </c>
      <c r="D281" s="18" t="s">
        <v>1157</v>
      </c>
      <c r="E281" s="19" t="s">
        <v>1158</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1159</v>
      </c>
      <c r="H281" s="18">
        <v>3.0</v>
      </c>
      <c r="I281" s="18" t="s">
        <v>919</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1160</v>
      </c>
      <c r="B282" s="10" t="s">
        <v>12</v>
      </c>
      <c r="C282" s="11">
        <v>1.0</v>
      </c>
      <c r="D282" s="11" t="s">
        <v>1161</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1162</v>
      </c>
      <c r="H282" s="11">
        <v>4.0</v>
      </c>
      <c r="I282" s="11" t="s">
        <v>1001</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1163</v>
      </c>
      <c r="B283" s="10" t="s">
        <v>12</v>
      </c>
      <c r="C283" s="11">
        <v>1.0</v>
      </c>
      <c r="D283" s="11" t="s">
        <v>1161</v>
      </c>
      <c r="E283" s="10" t="s">
        <v>1164</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1165</v>
      </c>
      <c r="H283" s="11">
        <v>1.0</v>
      </c>
      <c r="I283" s="11" t="s">
        <v>908</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1166</v>
      </c>
      <c r="B284" s="83" t="s">
        <v>13</v>
      </c>
      <c r="C284" s="11">
        <v>2.0</v>
      </c>
      <c r="D284" s="11" t="s">
        <v>322</v>
      </c>
      <c r="E284" s="10" t="s">
        <v>1167</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1134</v>
      </c>
      <c r="H284" s="11">
        <v>5.0</v>
      </c>
      <c r="I284" s="11" t="s">
        <v>1099</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1168</v>
      </c>
      <c r="B285" s="10" t="s">
        <v>1078</v>
      </c>
      <c r="C285" s="11">
        <v>1.0</v>
      </c>
      <c r="D285" s="11" t="s">
        <v>666</v>
      </c>
      <c r="E285" s="10" t="s">
        <v>1169</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1170</v>
      </c>
      <c r="H285" s="11">
        <v>1.0</v>
      </c>
      <c r="I285" s="11" t="s">
        <v>1171</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1172</v>
      </c>
      <c r="B286" s="83" t="s">
        <v>13</v>
      </c>
      <c r="C286" s="11">
        <v>2.0</v>
      </c>
      <c r="D286" s="11" t="s">
        <v>1121</v>
      </c>
      <c r="E286" s="10" t="s">
        <v>1173</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1095</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1174</v>
      </c>
      <c r="B287" s="83" t="s">
        <v>13</v>
      </c>
      <c r="C287" s="11">
        <v>2.0</v>
      </c>
      <c r="D287" s="11" t="s">
        <v>773</v>
      </c>
      <c r="E287" s="10" t="s">
        <v>1175</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1176</v>
      </c>
      <c r="H287" s="11">
        <v>3.0</v>
      </c>
      <c r="I287" s="11" t="s">
        <v>1124</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1177</v>
      </c>
      <c r="B288" s="10" t="s">
        <v>1078</v>
      </c>
      <c r="C288" s="11">
        <v>1.0</v>
      </c>
      <c r="D288" s="11" t="s">
        <v>1178</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1179</v>
      </c>
      <c r="H288" s="11">
        <v>2.0</v>
      </c>
      <c r="I288" s="11" t="s">
        <v>1180</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1181</v>
      </c>
      <c r="B289" s="83" t="s">
        <v>13</v>
      </c>
      <c r="C289" s="11">
        <v>2.0</v>
      </c>
      <c r="D289" s="11" t="s">
        <v>44</v>
      </c>
      <c r="E289" s="10" t="s">
        <v>1182</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1183</v>
      </c>
      <c r="H289" s="11">
        <v>6.0</v>
      </c>
      <c r="I289" s="11" t="s">
        <v>1184</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1185</v>
      </c>
      <c r="B290" s="83" t="s">
        <v>13</v>
      </c>
      <c r="C290" s="11">
        <v>2.0</v>
      </c>
      <c r="D290" s="11" t="s">
        <v>1121</v>
      </c>
      <c r="E290" s="19" t="s">
        <v>1186</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1187</v>
      </c>
      <c r="H290" s="11">
        <v>2.0</v>
      </c>
      <c r="I290" s="11" t="s">
        <v>1128</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1188</v>
      </c>
      <c r="B291" s="83" t="s">
        <v>13</v>
      </c>
      <c r="C291" s="11">
        <v>2.0</v>
      </c>
      <c r="D291" s="18" t="s">
        <v>543</v>
      </c>
      <c r="E291" s="19" t="s">
        <v>1189</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1190</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1191</v>
      </c>
      <c r="B292" s="83" t="s">
        <v>13</v>
      </c>
      <c r="C292" s="11">
        <v>2.0</v>
      </c>
      <c r="D292" s="11" t="s">
        <v>1192</v>
      </c>
      <c r="E292" s="27" t="s">
        <v>1193</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1194</v>
      </c>
      <c r="H292" s="11">
        <v>3.0</v>
      </c>
      <c r="I292" s="11" t="s">
        <v>1128</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1195</v>
      </c>
      <c r="B293" s="19" t="s">
        <v>1078</v>
      </c>
      <c r="C293" s="18">
        <v>1.0</v>
      </c>
      <c r="D293" s="52" t="s">
        <v>1088</v>
      </c>
      <c r="E293" s="30" t="s">
        <v>1196</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1197</v>
      </c>
      <c r="H293" s="18">
        <v>0.0</v>
      </c>
      <c r="I293" s="18" t="s">
        <v>1198</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1199</v>
      </c>
      <c r="B294" s="10" t="s">
        <v>13</v>
      </c>
      <c r="C294" s="11">
        <v>1.0</v>
      </c>
      <c r="D294" s="11" t="s">
        <v>1200</v>
      </c>
      <c r="E294" s="10" t="s">
        <v>1201</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1202</v>
      </c>
      <c r="H294" s="11">
        <v>6.0</v>
      </c>
      <c r="I294" s="11" t="s">
        <v>1184</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1203</v>
      </c>
      <c r="B295" s="83" t="s">
        <v>13</v>
      </c>
      <c r="C295" s="11">
        <v>2.0</v>
      </c>
      <c r="D295" s="11" t="s">
        <v>322</v>
      </c>
      <c r="E295" s="10" t="s">
        <v>1204</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1134</v>
      </c>
      <c r="H295" s="11">
        <v>1.0</v>
      </c>
      <c r="I295" s="11" t="s">
        <v>1124</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1205</v>
      </c>
      <c r="B296" s="83" t="s">
        <v>13</v>
      </c>
      <c r="C296" s="11">
        <v>2.0</v>
      </c>
      <c r="D296" s="11" t="s">
        <v>1088</v>
      </c>
      <c r="E296" s="10" t="s">
        <v>1206</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1207</v>
      </c>
      <c r="H296" s="11">
        <v>1.0</v>
      </c>
      <c r="I296" s="57" t="s">
        <v>1190</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1208</v>
      </c>
      <c r="B297" s="10" t="s">
        <v>13</v>
      </c>
      <c r="C297" s="11">
        <v>1.0</v>
      </c>
      <c r="D297" s="11" t="s">
        <v>666</v>
      </c>
      <c r="E297" s="10" t="s">
        <v>586</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1209</v>
      </c>
      <c r="H297" s="21">
        <v>3.0</v>
      </c>
      <c r="I297" s="11" t="s">
        <v>1124</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1210</v>
      </c>
      <c r="B298" s="83" t="s">
        <v>13</v>
      </c>
      <c r="C298" s="11">
        <v>2.0</v>
      </c>
      <c r="D298" s="11" t="s">
        <v>1121</v>
      </c>
      <c r="E298" s="10" t="s">
        <v>1211</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1212</v>
      </c>
      <c r="H298" s="11">
        <v>3.0</v>
      </c>
      <c r="I298" s="11" t="s">
        <v>1124</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1213</v>
      </c>
      <c r="B299" s="10" t="s">
        <v>13</v>
      </c>
      <c r="C299" s="11">
        <v>1.0</v>
      </c>
      <c r="D299" s="11" t="s">
        <v>666</v>
      </c>
      <c r="E299" s="10" t="s">
        <v>1214</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1215</v>
      </c>
      <c r="H299" s="21">
        <v>4.0</v>
      </c>
      <c r="I299" s="11" t="s">
        <v>1190</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1216</v>
      </c>
      <c r="B300" s="10" t="s">
        <v>13</v>
      </c>
      <c r="C300" s="11">
        <v>1.0</v>
      </c>
      <c r="D300" s="11" t="s">
        <v>203</v>
      </c>
      <c r="E300" s="10" t="s">
        <v>1217</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1218</v>
      </c>
      <c r="H300" s="11">
        <v>1.0</v>
      </c>
      <c r="I300" s="11" t="s">
        <v>1124</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1219</v>
      </c>
      <c r="B301" s="10" t="s">
        <v>13</v>
      </c>
      <c r="C301" s="11">
        <v>1.0</v>
      </c>
      <c r="D301" s="11" t="s">
        <v>107</v>
      </c>
      <c r="E301" s="10" t="s">
        <v>1220</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1221</v>
      </c>
      <c r="H301" s="11">
        <v>0.0</v>
      </c>
      <c r="I301" s="11" t="s">
        <v>1124</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1222</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1223</v>
      </c>
      <c r="H302" s="21">
        <v>3.0</v>
      </c>
      <c r="I302" s="11" t="s">
        <v>1095</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1224</v>
      </c>
      <c r="B303" s="84" t="s">
        <v>13</v>
      </c>
      <c r="C303" s="18">
        <v>2.0</v>
      </c>
      <c r="D303" s="18" t="s">
        <v>963</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1225</v>
      </c>
      <c r="H303" s="18">
        <v>2.0</v>
      </c>
      <c r="I303" s="18" t="s">
        <v>1128</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1226</v>
      </c>
      <c r="B304" s="10" t="s">
        <v>13</v>
      </c>
      <c r="C304" s="11">
        <v>1.0</v>
      </c>
      <c r="D304" s="21" t="s">
        <v>1121</v>
      </c>
      <c r="E304" s="10" t="s">
        <v>1227</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1228</v>
      </c>
      <c r="H304" s="11">
        <v>2.0</v>
      </c>
      <c r="I304" s="11" t="s">
        <v>1128</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1229</v>
      </c>
      <c r="B305" s="83" t="s">
        <v>13</v>
      </c>
      <c r="C305" s="18">
        <v>2.0</v>
      </c>
      <c r="D305" s="11" t="s">
        <v>203</v>
      </c>
      <c r="E305" s="45" t="s">
        <v>1230</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1231</v>
      </c>
      <c r="H305" s="11">
        <v>2.0</v>
      </c>
      <c r="I305" s="11" t="s">
        <v>1128</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1232</v>
      </c>
      <c r="B306" s="84" t="s">
        <v>13</v>
      </c>
      <c r="C306" s="18">
        <v>2.0</v>
      </c>
      <c r="D306" s="18" t="s">
        <v>1233</v>
      </c>
      <c r="E306" s="19" t="s">
        <v>1234</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1235</v>
      </c>
      <c r="H306" s="18">
        <v>3.0</v>
      </c>
      <c r="I306" s="18" t="s">
        <v>1236</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1237</v>
      </c>
      <c r="B307" s="49" t="s">
        <v>13</v>
      </c>
      <c r="C307" s="48">
        <v>1.0</v>
      </c>
      <c r="D307" s="48" t="s">
        <v>887</v>
      </c>
      <c r="E307" s="49" t="s">
        <v>1238</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1239</v>
      </c>
      <c r="H307" s="48">
        <v>4.0</v>
      </c>
      <c r="I307" s="48" t="s">
        <v>1099</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1240</v>
      </c>
      <c r="B308" s="10" t="s">
        <v>13</v>
      </c>
      <c r="C308" s="11">
        <v>1.0</v>
      </c>
      <c r="D308" s="11" t="s">
        <v>1241</v>
      </c>
      <c r="E308" s="10" t="s">
        <v>1242</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1243</v>
      </c>
      <c r="H308" s="11">
        <v>4.0</v>
      </c>
      <c r="I308" s="57" t="s">
        <v>1190</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1244</v>
      </c>
      <c r="B309" s="83" t="s">
        <v>13</v>
      </c>
      <c r="C309" s="11">
        <v>2.0</v>
      </c>
      <c r="D309" s="11" t="s">
        <v>970</v>
      </c>
      <c r="E309" s="10" t="s">
        <v>1245</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1246</v>
      </c>
      <c r="H309" s="11">
        <v>2.0</v>
      </c>
      <c r="I309" s="11" t="s">
        <v>1190</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1247</v>
      </c>
      <c r="B310" s="10" t="s">
        <v>13</v>
      </c>
      <c r="C310" s="11">
        <v>1.0</v>
      </c>
      <c r="D310" s="11" t="s">
        <v>1088</v>
      </c>
      <c r="E310" s="10" t="s">
        <v>1248</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1249</v>
      </c>
      <c r="H310" s="11">
        <v>1.0</v>
      </c>
      <c r="I310" s="11" t="s">
        <v>1128</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1250</v>
      </c>
      <c r="B311" s="10" t="s">
        <v>13</v>
      </c>
      <c r="C311" s="11">
        <v>1.0</v>
      </c>
      <c r="D311" s="11" t="s">
        <v>1251</v>
      </c>
      <c r="E311" s="10" t="s">
        <v>1252</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1253</v>
      </c>
      <c r="H311" s="11">
        <v>2.0</v>
      </c>
      <c r="I311" s="11" t="s">
        <v>1128</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1254</v>
      </c>
      <c r="B312" s="84" t="s">
        <v>13</v>
      </c>
      <c r="C312" s="18">
        <v>2.0</v>
      </c>
      <c r="D312" s="18" t="s">
        <v>263</v>
      </c>
      <c r="E312" s="19" t="s">
        <v>1255</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1256</v>
      </c>
      <c r="H312" s="18">
        <v>0.0</v>
      </c>
      <c r="I312" s="18" t="s">
        <v>1190</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1257</v>
      </c>
      <c r="B313" s="10" t="s">
        <v>13</v>
      </c>
      <c r="C313" s="11">
        <v>1.0</v>
      </c>
      <c r="D313" s="11" t="s">
        <v>474</v>
      </c>
      <c r="E313" s="10" t="s">
        <v>1258</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1259</v>
      </c>
      <c r="H313" s="11">
        <v>10.0</v>
      </c>
      <c r="I313" s="11" t="s">
        <v>1190</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1260</v>
      </c>
      <c r="B314" s="84" t="s">
        <v>13</v>
      </c>
      <c r="C314" s="18">
        <v>2.0</v>
      </c>
      <c r="D314" s="18" t="s">
        <v>1261</v>
      </c>
      <c r="E314" s="19" t="s">
        <v>1262</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1263</v>
      </c>
      <c r="H314" s="18">
        <v>4.0</v>
      </c>
      <c r="I314" s="18" t="s">
        <v>1190</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1264</v>
      </c>
      <c r="B315" s="84" t="s">
        <v>13</v>
      </c>
      <c r="C315" s="18">
        <v>2.0</v>
      </c>
      <c r="D315" s="18" t="s">
        <v>773</v>
      </c>
      <c r="E315" s="19" t="s">
        <v>1265</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1266</v>
      </c>
      <c r="H315" s="18">
        <v>2.0</v>
      </c>
      <c r="I315" s="18" t="s">
        <v>1124</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1267</v>
      </c>
      <c r="B316" s="84" t="s">
        <v>13</v>
      </c>
      <c r="C316" s="18">
        <v>2.0</v>
      </c>
      <c r="D316" s="18" t="s">
        <v>474</v>
      </c>
      <c r="E316" s="19" t="s">
        <v>1268</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1269</v>
      </c>
      <c r="H316" s="18">
        <v>0.0</v>
      </c>
      <c r="I316" s="18" t="s">
        <v>1099</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1270</v>
      </c>
      <c r="B317" s="83" t="s">
        <v>13</v>
      </c>
      <c r="C317" s="11">
        <v>2.0</v>
      </c>
      <c r="D317" s="11" t="s">
        <v>883</v>
      </c>
      <c r="E317" s="10" t="s">
        <v>1271</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1272</v>
      </c>
      <c r="H317" s="11">
        <v>2.0</v>
      </c>
      <c r="I317" s="11" t="s">
        <v>1190</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1273</v>
      </c>
      <c r="B318" s="10" t="s">
        <v>13</v>
      </c>
      <c r="C318" s="11">
        <v>1.0</v>
      </c>
      <c r="D318" s="11" t="s">
        <v>1113</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1274</v>
      </c>
      <c r="H318" s="11">
        <v>6.0</v>
      </c>
      <c r="I318" s="57" t="s">
        <v>1099</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1275</v>
      </c>
      <c r="B319" s="10" t="s">
        <v>13</v>
      </c>
      <c r="C319" s="11">
        <v>1.0</v>
      </c>
      <c r="D319" s="11" t="s">
        <v>879</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1276</v>
      </c>
      <c r="H319" s="11">
        <v>2.0</v>
      </c>
      <c r="I319" s="11" t="s">
        <v>1095</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1277</v>
      </c>
      <c r="B320" s="84" t="s">
        <v>13</v>
      </c>
      <c r="C320" s="18">
        <v>2.0</v>
      </c>
      <c r="D320" s="18" t="s">
        <v>1278</v>
      </c>
      <c r="E320" s="19" t="s">
        <v>1279</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1280</v>
      </c>
      <c r="H320" s="18">
        <v>3.0</v>
      </c>
      <c r="I320" s="18" t="s">
        <v>1124</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1281</v>
      </c>
      <c r="B321" s="10" t="s">
        <v>13</v>
      </c>
      <c r="C321" s="11">
        <v>1.0</v>
      </c>
      <c r="D321" s="25" t="s">
        <v>1079</v>
      </c>
      <c r="E321" s="10" t="s">
        <v>1282</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1283</v>
      </c>
      <c r="H321" s="11">
        <v>4.0</v>
      </c>
      <c r="I321" s="11" t="s">
        <v>1236</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1284</v>
      </c>
      <c r="B322" s="83" t="s">
        <v>13</v>
      </c>
      <c r="C322" s="11">
        <v>2.0</v>
      </c>
      <c r="D322" s="11" t="s">
        <v>1241</v>
      </c>
      <c r="E322" s="10" t="s">
        <v>1285</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1286</v>
      </c>
      <c r="H322" s="11">
        <v>4.0</v>
      </c>
      <c r="I322" s="11" t="s">
        <v>1099</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1287</v>
      </c>
      <c r="B323" s="83" t="s">
        <v>13</v>
      </c>
      <c r="C323" s="11">
        <v>2.0</v>
      </c>
      <c r="D323" s="18" t="s">
        <v>1288</v>
      </c>
      <c r="E323" s="19" t="s">
        <v>1289</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1290</v>
      </c>
      <c r="H323" s="18">
        <v>2.0</v>
      </c>
      <c r="I323" s="18" t="s">
        <v>1128</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1291</v>
      </c>
      <c r="B324" s="10" t="s">
        <v>13</v>
      </c>
      <c r="C324" s="11">
        <v>1.0</v>
      </c>
      <c r="D324" s="11" t="s">
        <v>345</v>
      </c>
      <c r="E324" s="10" t="s">
        <v>1292</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1293</v>
      </c>
      <c r="H324" s="11">
        <v>3.0</v>
      </c>
      <c r="I324" s="11" t="s">
        <v>1236</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1294</v>
      </c>
      <c r="B325" s="10" t="s">
        <v>13</v>
      </c>
      <c r="C325" s="11">
        <v>1.0</v>
      </c>
      <c r="D325" s="11" t="s">
        <v>970</v>
      </c>
      <c r="E325" s="10" t="s">
        <v>1295</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1296</v>
      </c>
      <c r="H325" s="11">
        <v>4.0</v>
      </c>
      <c r="I325" s="11" t="s">
        <v>1190</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1297</v>
      </c>
      <c r="B326" s="84" t="s">
        <v>13</v>
      </c>
      <c r="C326" s="18">
        <v>2.0</v>
      </c>
      <c r="D326" s="18" t="s">
        <v>107</v>
      </c>
      <c r="E326" s="19" t="s">
        <v>1298</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1299</v>
      </c>
      <c r="H326" s="18">
        <v>0.0</v>
      </c>
      <c r="I326" s="18" t="s">
        <v>1190</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1300</v>
      </c>
      <c r="B327" s="10" t="s">
        <v>13</v>
      </c>
      <c r="C327" s="11">
        <v>1.0</v>
      </c>
      <c r="D327" s="18" t="s">
        <v>1301</v>
      </c>
      <c r="E327" s="19" t="s">
        <v>1302</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1303</v>
      </c>
      <c r="H327" s="18">
        <v>2.0</v>
      </c>
      <c r="I327" s="18" t="s">
        <v>1236</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1304</v>
      </c>
      <c r="B328" s="46"/>
      <c r="C328" s="48">
        <v>2.0</v>
      </c>
      <c r="D328" s="48" t="s">
        <v>1305</v>
      </c>
      <c r="E328" s="49" t="s">
        <v>1306</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1307</v>
      </c>
      <c r="H328" s="51">
        <v>3.0</v>
      </c>
      <c r="I328" s="48" t="s">
        <v>1308</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1309</v>
      </c>
      <c r="C329" s="18">
        <v>2.0</v>
      </c>
      <c r="D329" s="18" t="s">
        <v>963</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1310</v>
      </c>
      <c r="H329" s="18">
        <v>2.0</v>
      </c>
      <c r="I329" s="18" t="s">
        <v>1311</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1312</v>
      </c>
      <c r="B330" s="46"/>
      <c r="C330" s="48">
        <v>2.0</v>
      </c>
      <c r="D330" s="48" t="s">
        <v>1261</v>
      </c>
      <c r="E330" s="49" t="s">
        <v>1313</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1314</v>
      </c>
      <c r="H330" s="48">
        <v>9.0</v>
      </c>
      <c r="I330" s="48" t="s">
        <v>1315</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1316</v>
      </c>
      <c r="B331" s="10" t="s">
        <v>13</v>
      </c>
      <c r="C331" s="11">
        <v>1.0</v>
      </c>
      <c r="D331" s="11" t="s">
        <v>1278</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1317</v>
      </c>
      <c r="H331" s="11">
        <v>5.0</v>
      </c>
      <c r="I331" s="11" t="s">
        <v>1190</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1318</v>
      </c>
      <c r="B332" s="46"/>
      <c r="C332" s="48">
        <v>2.0</v>
      </c>
      <c r="D332" s="48" t="s">
        <v>1319</v>
      </c>
      <c r="E332" s="87" t="s">
        <v>1320</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1321</v>
      </c>
      <c r="H332" s="48">
        <v>6.0</v>
      </c>
      <c r="I332" s="48" t="s">
        <v>1322</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1323</v>
      </c>
      <c r="B333" s="10" t="s">
        <v>13</v>
      </c>
      <c r="C333" s="11">
        <v>1.0</v>
      </c>
      <c r="D333" s="18" t="s">
        <v>773</v>
      </c>
      <c r="E333" s="19" t="s">
        <v>1324</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791</v>
      </c>
      <c r="H333" s="18">
        <v>2.0</v>
      </c>
      <c r="I333" s="18" t="s">
        <v>1128</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1325</v>
      </c>
      <c r="B334" s="19"/>
      <c r="C334" s="18">
        <v>2.0</v>
      </c>
      <c r="D334" s="18"/>
      <c r="E334" s="19" t="s">
        <v>1326</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1327</v>
      </c>
      <c r="H334" s="18">
        <v>2.0</v>
      </c>
      <c r="I334" s="18" t="s">
        <v>1311</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1328</v>
      </c>
      <c r="B335" s="10" t="s">
        <v>13</v>
      </c>
      <c r="C335" s="11">
        <v>1.0</v>
      </c>
      <c r="D335" s="11" t="s">
        <v>773</v>
      </c>
      <c r="E335" s="19" t="s">
        <v>1329</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1330</v>
      </c>
      <c r="H335" s="11">
        <v>3.0</v>
      </c>
      <c r="I335" s="11" t="s">
        <v>1124</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1331</v>
      </c>
      <c r="B336" s="19"/>
      <c r="C336" s="18">
        <v>2.0</v>
      </c>
      <c r="D336" s="18" t="s">
        <v>1332</v>
      </c>
      <c r="E336" s="19" t="s">
        <v>1333</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1311</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1334</v>
      </c>
      <c r="B337" s="10" t="s">
        <v>13</v>
      </c>
      <c r="C337" s="11">
        <v>1.0</v>
      </c>
      <c r="D337" s="18" t="s">
        <v>773</v>
      </c>
      <c r="E337" s="19" t="s">
        <v>1335</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1336</v>
      </c>
      <c r="H337" s="18">
        <v>3.0</v>
      </c>
      <c r="I337" s="18" t="s">
        <v>1124</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1337</v>
      </c>
      <c r="B338" s="10" t="s">
        <v>13</v>
      </c>
      <c r="C338" s="11">
        <v>1.0</v>
      </c>
      <c r="D338" s="11" t="s">
        <v>322</v>
      </c>
      <c r="E338" s="10" t="s">
        <v>1338</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1339</v>
      </c>
      <c r="H338" s="11">
        <v>5.0</v>
      </c>
      <c r="I338" s="11" t="s">
        <v>1099</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1340</v>
      </c>
      <c r="B339" s="10" t="s">
        <v>13</v>
      </c>
      <c r="C339" s="11">
        <v>1.0</v>
      </c>
      <c r="D339" s="11" t="s">
        <v>1288</v>
      </c>
      <c r="E339" s="10" t="s">
        <v>1341</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1342</v>
      </c>
      <c r="H339" s="11">
        <v>2.0</v>
      </c>
      <c r="I339" s="11" t="s">
        <v>1124</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1343</v>
      </c>
      <c r="B340" s="10" t="s">
        <v>13</v>
      </c>
      <c r="C340" s="11">
        <v>1.0</v>
      </c>
      <c r="D340" s="11" t="s">
        <v>1288</v>
      </c>
      <c r="E340" s="19" t="s">
        <v>1344</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1345</v>
      </c>
      <c r="H340" s="11">
        <v>3.0</v>
      </c>
      <c r="I340" s="11" t="s">
        <v>1155</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1346</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1347</v>
      </c>
      <c r="H341" s="11">
        <v>3.0</v>
      </c>
      <c r="I341" s="11" t="s">
        <v>1322</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1348</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1349</v>
      </c>
      <c r="H342" s="11">
        <v>6.0</v>
      </c>
      <c r="I342" s="11" t="s">
        <v>1350</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1351</v>
      </c>
      <c r="B343" s="10"/>
      <c r="C343" s="18">
        <v>1.0</v>
      </c>
      <c r="D343" s="11"/>
      <c r="E343" s="10" t="s">
        <v>1352</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1353</v>
      </c>
      <c r="H343" s="11">
        <v>2.0</v>
      </c>
      <c r="I343" s="11" t="s">
        <v>1354</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1355</v>
      </c>
      <c r="B344" s="19"/>
      <c r="C344" s="18">
        <v>1.0</v>
      </c>
      <c r="D344" s="11"/>
      <c r="E344" s="10" t="s">
        <v>1356</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1357</v>
      </c>
      <c r="H344" s="11">
        <v>2.0</v>
      </c>
      <c r="I344" s="11" t="s">
        <v>1354</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1" ref="S2"/>
    <hyperlink r:id="rId2" ref="T2"/>
    <hyperlink r:id="rId3" ref="S5"/>
    <hyperlink r:id="rId4" ref="S6"/>
    <hyperlink r:id="rId5" ref="S7"/>
    <hyperlink r:id="rId6" ref="S8"/>
    <hyperlink r:id="rId7" ref="S9"/>
    <hyperlink r:id="rId8" ref="T9"/>
    <hyperlink r:id="rId9" ref="S11"/>
    <hyperlink r:id="rId10" ref="S15"/>
    <hyperlink r:id="rId11" ref="S18"/>
    <hyperlink r:id="rId12" ref="S19"/>
    <hyperlink r:id="rId13" ref="T19"/>
    <hyperlink r:id="rId14" ref="S22"/>
    <hyperlink r:id="rId15" ref="T22"/>
    <hyperlink r:id="rId16" ref="U22"/>
    <hyperlink r:id="rId17" ref="S23"/>
    <hyperlink r:id="rId18" ref="S25"/>
    <hyperlink r:id="rId19" ref="S27"/>
    <hyperlink r:id="rId20" ref="S28"/>
    <hyperlink r:id="rId21" ref="S29"/>
    <hyperlink r:id="rId22" ref="S38"/>
    <hyperlink r:id="rId23" ref="S39"/>
    <hyperlink r:id="rId24" ref="S40"/>
    <hyperlink r:id="rId25" ref="S42"/>
    <hyperlink r:id="rId26" ref="S47"/>
    <hyperlink r:id="rId27" ref="S48"/>
    <hyperlink r:id="rId28" ref="S49"/>
    <hyperlink r:id="rId29" ref="S50"/>
    <hyperlink r:id="rId30" ref="S52"/>
    <hyperlink r:id="rId31" ref="S56"/>
    <hyperlink r:id="rId32" ref="S59"/>
    <hyperlink r:id="rId33" ref="S62"/>
    <hyperlink r:id="rId34" ref="S63"/>
    <hyperlink r:id="rId35" ref="S65"/>
    <hyperlink r:id="rId36" ref="S69"/>
    <hyperlink r:id="rId37" ref="S72"/>
    <hyperlink r:id="rId38" ref="S73"/>
    <hyperlink r:id="rId39" ref="S74"/>
    <hyperlink r:id="rId40" ref="S76"/>
    <hyperlink r:id="rId41" ref="S78"/>
    <hyperlink r:id="rId42" ref="S79"/>
    <hyperlink r:id="rId43" ref="T79"/>
    <hyperlink r:id="rId44" ref="U79"/>
    <hyperlink r:id="rId45" ref="S80"/>
    <hyperlink r:id="rId46" ref="T80"/>
    <hyperlink r:id="rId47" ref="U80"/>
    <hyperlink r:id="rId48" ref="V80"/>
    <hyperlink r:id="rId49" ref="W80"/>
    <hyperlink r:id="rId50" ref="X80"/>
    <hyperlink r:id="rId51" ref="Y80"/>
    <hyperlink r:id="rId52" ref="Z80"/>
    <hyperlink r:id="rId53" ref="AA80"/>
    <hyperlink r:id="rId54" ref="AB80"/>
    <hyperlink r:id="rId55" ref="S81"/>
    <hyperlink r:id="rId56" ref="T81"/>
    <hyperlink r:id="rId57" ref="U81"/>
    <hyperlink r:id="rId58" ref="V81"/>
    <hyperlink r:id="rId59" ref="W81"/>
    <hyperlink r:id="rId60" ref="X81"/>
    <hyperlink r:id="rId61" ref="Y81"/>
    <hyperlink r:id="rId62" ref="Z81"/>
    <hyperlink r:id="rId63" ref="AA81"/>
    <hyperlink r:id="rId64" ref="AB81"/>
    <hyperlink r:id="rId65" ref="S84"/>
    <hyperlink r:id="rId66" ref="T84"/>
    <hyperlink r:id="rId67" ref="U84"/>
    <hyperlink r:id="rId68" ref="V84"/>
    <hyperlink r:id="rId69" ref="W84"/>
    <hyperlink r:id="rId70" ref="X84"/>
    <hyperlink r:id="rId71" ref="Y84"/>
    <hyperlink r:id="rId72" ref="S88"/>
    <hyperlink r:id="rId73" ref="T88"/>
    <hyperlink r:id="rId74" ref="U88"/>
    <hyperlink r:id="rId75" ref="V88"/>
    <hyperlink r:id="rId76" ref="W88"/>
    <hyperlink r:id="rId77" ref="X88"/>
    <hyperlink r:id="rId78" ref="Y88"/>
    <hyperlink r:id="rId79" ref="S90"/>
    <hyperlink r:id="rId80" ref="T90"/>
    <hyperlink r:id="rId81" ref="U90"/>
    <hyperlink r:id="rId82" ref="V90"/>
    <hyperlink r:id="rId83" ref="W90"/>
    <hyperlink r:id="rId84" ref="X90"/>
    <hyperlink r:id="rId85" ref="S91"/>
    <hyperlink r:id="rId86" ref="T91"/>
    <hyperlink r:id="rId87" ref="U91"/>
    <hyperlink r:id="rId88" ref="V91"/>
    <hyperlink r:id="rId89" ref="W91"/>
    <hyperlink r:id="rId90" ref="X91"/>
    <hyperlink r:id="rId91" ref="Y91"/>
    <hyperlink r:id="rId92" ref="Z91"/>
    <hyperlink r:id="rId93" ref="AA91"/>
    <hyperlink r:id="rId94" ref="AB91"/>
    <hyperlink r:id="rId95" ref="S93"/>
    <hyperlink r:id="rId96" ref="T93"/>
    <hyperlink r:id="rId97" ref="U93"/>
    <hyperlink r:id="rId98" ref="V93"/>
    <hyperlink r:id="rId99" ref="W93"/>
    <hyperlink r:id="rId100" ref="X93"/>
    <hyperlink r:id="rId101" ref="S97"/>
    <hyperlink r:id="rId102" ref="T97"/>
    <hyperlink r:id="rId103" ref="U97"/>
    <hyperlink r:id="rId104" ref="V97"/>
    <hyperlink r:id="rId105" ref="W97"/>
  </hyperlinks>
  <drawing r:id="rId1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1358</v>
      </c>
      <c r="B1" s="91" t="s">
        <v>1359</v>
      </c>
      <c r="C1" s="92" t="s">
        <v>1360</v>
      </c>
      <c r="D1" s="92" t="s">
        <v>42</v>
      </c>
      <c r="E1" s="92" t="s">
        <v>50</v>
      </c>
      <c r="F1" s="93" t="s">
        <v>33</v>
      </c>
      <c r="G1" s="58"/>
      <c r="H1" s="58"/>
      <c r="I1" s="94" t="s">
        <v>1361</v>
      </c>
      <c r="J1" s="94" t="s">
        <v>1362</v>
      </c>
      <c r="K1" s="94" t="s">
        <v>1363</v>
      </c>
    </row>
    <row r="2">
      <c r="A2" s="95">
        <f>IFERROR(__xludf.DUMMYFUNCTION("COUNTIF(QUERY('Karten(Set1+Set2)'!A:Q,""SELECT A WHERE C="" &amp; $A$4) ,""*"")-1"),170.0)</f>
        <v>170</v>
      </c>
      <c r="B2" s="96" t="s">
        <v>15</v>
      </c>
      <c r="C2" s="97">
        <f>IFERROR(__xludf.DUMMYFUNCTION("IFNA(QUERY('Karten(Set1+Set2)'!$A:$Q,""select count(A) where ("" &amp; IF($A$4=""*"",,""C="" &amp; $A$4 &amp; "" AND"") &amp; "" B LIKE '"" &amp; $B2 &amp; ""') label Count(A) ''""),0)"),28.0)</f>
        <v>28</v>
      </c>
      <c r="D2" s="97">
        <f>IFERROR(__xludf.DUMMYFUNCTION("IFNA(QUERY('Karten(Set1+Set2)'!$A:$Q,""select count(A) where ("" &amp; IF($A$4=""*"",,""C="" &amp; $A$4 &amp; "" AND"") &amp; "" B='"" &amp; $B2 &amp; ""' AND J='"" &amp; D$1 &amp; ""') label Count(A) ''""),0)"),14.0)</f>
        <v>14</v>
      </c>
      <c r="E2" s="97">
        <f>IFERROR(__xludf.DUMMYFUNCTION("IFNA(QUERY('Karten(Set1+Set2)'!$A:$Q,""select count(A) where ("" &amp; IF($A$4=""*"",,""C="" &amp; $A$4 &amp; "" AND"") &amp; "" B='"" &amp; $B2 &amp; ""' AND J='"" &amp; E$1 &amp; ""') label Count(A) ''""),0)"),10.0)</f>
        <v>10</v>
      </c>
      <c r="F2" s="98">
        <f>IFERROR(__xludf.DUMMYFUNCTION("IFNA(QUERY('Karten(Set1+Set2)'!$A:$Q,""select count(A) where ("" &amp; IF($A$4=""*"",,""C="" &amp; $A$4 &amp; "" AND"") &amp; "" B='"" &amp; $B2 &amp; ""' AND J='"" &amp; F$1 &amp; ""') label Count(A) ''""),0)"),4.0)</f>
        <v>4</v>
      </c>
      <c r="I2" s="99">
        <v>0.0</v>
      </c>
      <c r="J2" s="13">
        <f>IFERROR(__xludf.DUMMYFUNCTION("IFNA(QUERY('Karten(Set1+Set2)'!$A:$Q,""select count(A) where (C="" &amp; $A$4 &amp; "") AND (H="" &amp; $I2 &amp; "") label Count(A) ''""),0)"),5.0)</f>
        <v>5</v>
      </c>
      <c r="K2" s="13">
        <f>IFERROR(__xludf.DUMMYFUNCTION("IFNA(QUERY('Karten(Set1+Set2)'!$A:$Q,""select count(A) where (C="" &amp; $A$4 &amp; "") AND (Q="" &amp; $I2 &amp; "") label Count(A) ''""),0)"),0.0)</f>
        <v>0</v>
      </c>
      <c r="U2" s="89"/>
    </row>
    <row r="3">
      <c r="A3" s="100" t="s">
        <v>1364</v>
      </c>
      <c r="B3" s="96" t="s">
        <v>11</v>
      </c>
      <c r="C3" s="97">
        <f>IFERROR(__xludf.DUMMYFUNCTION("IFNA(QUERY('Karten(Set1+Set2)'!$A:$Q,""select count(A) where ("" &amp; IF($A$4=""*"",,""C="" &amp; $A$4 &amp; "" AND"") &amp; "" B LIKE '"" &amp; $B3 &amp; ""') label Count(A) ''""),0)"),29.0)</f>
        <v>29</v>
      </c>
      <c r="D3" s="97">
        <f>IFERROR(__xludf.DUMMYFUNCTION("IFNA(QUERY('Karten(Set1+Set2)'!$A:$Q,""select count(A) where ("" &amp; IF($A$4=""*"",,""C="" &amp; $A$4 &amp; "" AND"") &amp; "" B='"" &amp; $B3 &amp; ""' AND J='"" &amp; D$1 &amp; ""') label Count(A) ''""),0)"),14.0)</f>
        <v>14</v>
      </c>
      <c r="E3" s="97">
        <f>IFERROR(__xludf.DUMMYFUNCTION("IFNA(QUERY('Karten(Set1+Set2)'!$A:$Q,""select count(A) where ("" &amp; IF($A$4=""*"",,""C="" &amp; $A$4 &amp; "" AND"") &amp; "" B='"" &amp; $B3 &amp; ""' AND J='"" &amp; E$1 &amp; ""') label Count(A) ''""),0)"),11.0)</f>
        <v>11</v>
      </c>
      <c r="F3" s="98">
        <f>IFERROR(__xludf.DUMMYFUNCTION("IFNA(QUERY('Karten(Set1+Set2)'!$A:$Q,""select count(A) where ("" &amp; IF($A$4=""*"",,""C="" &amp; $A$4 &amp; "" AND"") &amp; "" B='"" &amp; $B3 &amp; ""' AND J='"" &amp; F$1 &amp; ""') label Count(A) ''""),0)"),4.0)</f>
        <v>4</v>
      </c>
      <c r="I3" s="101">
        <v>1.0</v>
      </c>
      <c r="J3" s="13">
        <f>IFERROR(__xludf.DUMMYFUNCTION("IFNA(QUERY('Karten(Set1+Set2)'!$A:$Q,""select count(A) where (C="" &amp; $A$4 &amp; "") AND (H="" &amp; $I3 &amp; "") label Count(A) ''""),0)"),14.0)</f>
        <v>14</v>
      </c>
      <c r="K3" s="13">
        <f>IFERROR(__xludf.DUMMYFUNCTION("IFNA(QUERY('Karten(Set1+Set2)'!$A:$Q,""select count(A) where (C="" &amp; $A$4 &amp; "") AND (Q="" &amp; $I3 &amp; "") label Count(A) ''""),0)"),10.0)</f>
        <v>10</v>
      </c>
    </row>
    <row r="4">
      <c r="A4" s="102">
        <v>1.0</v>
      </c>
      <c r="B4" s="96" t="s">
        <v>14</v>
      </c>
      <c r="C4" s="97">
        <f>IFERROR(__xludf.DUMMYFUNCTION("IFNA(QUERY('Karten(Set1+Set2)'!$A:$Q,""select count(A) where ("" &amp; IF($A$4=""*"",,""C="" &amp; $A$4 &amp; "" AND"") &amp; "" B LIKE '"" &amp; $B4 &amp; ""') label Count(A) ''""),0)"),26.0)</f>
        <v>26</v>
      </c>
      <c r="D4" s="97">
        <f>IFERROR(__xludf.DUMMYFUNCTION("IFNA(QUERY('Karten(Set1+Set2)'!$A:$Q,""select count(A) where ("" &amp; IF($A$4=""*"",,""C="" &amp; $A$4 &amp; "" AND"") &amp; "" B='"" &amp; $B4 &amp; ""' AND J='"" &amp; D$1 &amp; ""') label Count(A) ''""),0)"),13.0)</f>
        <v>13</v>
      </c>
      <c r="E4" s="97">
        <f>IFERROR(__xludf.DUMMYFUNCTION("IFNA(QUERY('Karten(Set1+Set2)'!$A:$Q,""select count(A) where ("" &amp; IF($A$4=""*"",,""C="" &amp; $A$4 &amp; "" AND"") &amp; "" B='"" &amp; $B4 &amp; ""' AND J='"" &amp; E$1 &amp; ""') label Count(A) ''""),0)"),7.0)</f>
        <v>7</v>
      </c>
      <c r="F4" s="98">
        <f>IFERROR(__xludf.DUMMYFUNCTION("IFNA(QUERY('Karten(Set1+Set2)'!$A:$Q,""select count(A) where ("" &amp; IF($A$4=""*"",,""C="" &amp; $A$4 &amp; "" AND"") &amp; "" B='"" &amp; $B4 &amp; ""' AND J='"" &amp; F$1 &amp; ""') label Count(A) ''""),0)"),6.0)</f>
        <v>6</v>
      </c>
      <c r="I4" s="101">
        <v>2.0</v>
      </c>
      <c r="J4" s="13">
        <f>IFERROR(__xludf.DUMMYFUNCTION("IFNA(QUERY('Karten(Set1+Set2)'!$A:$Q,""select count(A) where (C="" &amp; $A$4 &amp; "") AND (H="" &amp; $I4 &amp; "") label Count(A) ''""),0)"),49.0)</f>
        <v>49</v>
      </c>
      <c r="K4" s="13">
        <f>IFERROR(__xludf.DUMMYFUNCTION("IFNA(QUERY('Karten(Set1+Set2)'!$A:$Q,""select count(A) where (C="" &amp; $A$4 &amp; "") AND (Q="" &amp; $I4 &amp; "") label Count(A) ''""),0)"),34.0)</f>
        <v>34</v>
      </c>
    </row>
    <row r="5">
      <c r="B5" s="103" t="s">
        <v>12</v>
      </c>
      <c r="C5" s="97">
        <f>IFERROR(__xludf.DUMMYFUNCTION("IFNA(QUERY('Karten(Set1+Set2)'!$A:$Q,""select count(A) where ("" &amp; IF($A$4=""*"",,""C="" &amp; $A$4 &amp; "" AND"") &amp; "" B LIKE '"" &amp; $B5 &amp; ""') label Count(A) ''""),0)"),28.0)</f>
        <v>28</v>
      </c>
      <c r="D5" s="97">
        <f>IFERROR(__xludf.DUMMYFUNCTION("IFNA(QUERY('Karten(Set1+Set2)'!$A:$Q,""select count(A) where ("" &amp; IF($A$4=""*"",,""C="" &amp; $A$4 &amp; "" AND"") &amp; "" B='"" &amp; $B5 &amp; ""' AND J='"" &amp; D$1 &amp; ""') label Count(A) ''""),0)"),17.0)</f>
        <v>17</v>
      </c>
      <c r="E5" s="97">
        <f>IFERROR(__xludf.DUMMYFUNCTION("IFNA(QUERY('Karten(Set1+Set2)'!$A:$Q,""select count(A) where ("" &amp; IF($A$4=""*"",,""C="" &amp; $A$4 &amp; "" AND"") &amp; "" B='"" &amp; $B5 &amp; ""' AND J='"" &amp; E$1 &amp; ""') label Count(A) ''""),0)"),8.0)</f>
        <v>8</v>
      </c>
      <c r="F5" s="98">
        <f>IFERROR(__xludf.DUMMYFUNCTION("IFNA(QUERY('Karten(Set1+Set2)'!$A:$Q,""select count(A) where ("" &amp; IF($A$4=""*"",,""C="" &amp; $A$4 &amp; "" AND"") &amp; "" B='"" &amp; $B5 &amp; ""' AND J='"" &amp; F$1 &amp; ""') label Count(A) ''""),0)"),3.0)</f>
        <v>3</v>
      </c>
      <c r="I5" s="101">
        <v>3.0</v>
      </c>
      <c r="J5" s="13">
        <f>IFERROR(__xludf.DUMMYFUNCTION("IFNA(QUERY('Karten(Set1+Set2)'!$A:$Q,""select count(A) where (C="" &amp; $A$4 &amp; "") AND (H="" &amp; $I5 &amp; "") label Count(A) ''""),0)"),36.0)</f>
        <v>36</v>
      </c>
      <c r="K5" s="13">
        <f>IFERROR(__xludf.DUMMYFUNCTION("IFNA(QUERY('Karten(Set1+Set2)'!$A:$Q,""select count(A) where (C="" &amp; $A$4 &amp; "") AND (Q="" &amp; $I5 &amp; "") label Count(A) ''""),0)"),31.0)</f>
        <v>31</v>
      </c>
    </row>
    <row r="6">
      <c r="A6" s="104"/>
      <c r="B6" s="96" t="s">
        <v>13</v>
      </c>
      <c r="C6" s="97">
        <f>IFERROR(__xludf.DUMMYFUNCTION("IFNA(QUERY('Karten(Set1+Set2)'!$A:$Q,""select count(A) where ("" &amp; IF($A$4=""*"",,""C="" &amp; $A$4 &amp; "" AND"") &amp; "" B LIKE '"" &amp; $B6 &amp; ""') label Count(A) ''""),0)"),25.0)</f>
        <v>25</v>
      </c>
      <c r="D6" s="97">
        <f>IFERROR(__xludf.DUMMYFUNCTION("IFNA(QUERY('Karten(Set1+Set2)'!$A:$Q,""select count(A) where ("" &amp; IF($A$4=""*"",,""C="" &amp; $A$4 &amp; "" AND"") &amp; "" B='"" &amp; $B6 &amp; ""' AND J='"" &amp; D$1 &amp; ""') label Count(A) ''""),0)"),16.0)</f>
        <v>16</v>
      </c>
      <c r="E6" s="97">
        <f>IFERROR(__xludf.DUMMYFUNCTION("IFNA(QUERY('Karten(Set1+Set2)'!$A:$Q,""select count(A) where ("" &amp; IF($A$4=""*"",,""C="" &amp; $A$4 &amp; "" AND"") &amp; "" B='"" &amp; $B6 &amp; ""' AND J='"" &amp; E$1 &amp; ""') label Count(A) ''""),0)"),6.0)</f>
        <v>6</v>
      </c>
      <c r="F6" s="98">
        <f>IFERROR(__xludf.DUMMYFUNCTION("IFNA(QUERY('Karten(Set1+Set2)'!$A:$Q,""select count(A) where ("" &amp; IF($A$4=""*"",,""C="" &amp; $A$4 &amp; "" AND"") &amp; "" B='"" &amp; $B6 &amp; ""' AND J='"" &amp; F$1 &amp; ""') label Count(A) ''""),0)"),3.0)</f>
        <v>3</v>
      </c>
      <c r="I6" s="101">
        <v>4.0</v>
      </c>
      <c r="J6" s="13">
        <f>IFERROR(__xludf.DUMMYFUNCTION("IFNA(QUERY('Karten(Set1+Set2)'!$A:$Q,""select count(A) where (C="" &amp; $A$4 &amp; "") AND (H="" &amp; $I6 &amp; "") label Count(A) ''""),0)"),27.0)</f>
        <v>27</v>
      </c>
      <c r="K6" s="13">
        <f>IFERROR(__xludf.DUMMYFUNCTION("IFNA(QUERY('Karten(Set1+Set2)'!$A:$Q,""select count(A) where (C="" &amp; $A$4 &amp; "") AND (Q="" &amp; $I6 &amp; "") label Count(A) ''""),0)"),42.0)</f>
        <v>42</v>
      </c>
    </row>
    <row r="7">
      <c r="A7" s="21"/>
      <c r="B7" s="105" t="s">
        <v>1365</v>
      </c>
      <c r="C7" s="97">
        <f>IFERROR(__xludf.DUMMYFUNCTION("IFNA(QUERY('Karten(Set1+Set2)'!$A:$Q,""select count(A) where ("" &amp; IF($A$4=""*"",,""C="" &amp; $A$4 &amp; "" AND"") &amp; "" B LIKE '') label Count(A) ''""),0)"),4.0)</f>
        <v>4</v>
      </c>
      <c r="D7" s="97">
        <f>IFERROR(__xludf.DUMMYFUNCTION("IFNA(QUERY('Karten(Set1+Set2)'!$A:$Q,""select count(A) where ("" &amp; IF($A$4=""*"",,""C="" &amp; $A$4 &amp; "" AND"") &amp; "" B LIKE '' AND J='"" &amp; D$1 &amp; ""') label Count(A) ''""),0)"),2.0)</f>
        <v>2</v>
      </c>
      <c r="E7" s="97">
        <f>IFERROR(__xludf.DUMMYFUNCTION("IFNA(QUERY('Karten(Set1+Set2)'!$A:$Q,""select count(A) where ("" &amp; IF($A$4=""*"",,""C="" &amp; $A$4 &amp; "" AND"") &amp; "" B LIKE '' AND J='"" &amp; E$1 &amp; ""') label Count(A) ''""),0)"),0.0)</f>
        <v>0</v>
      </c>
      <c r="F7" s="98">
        <f>IFERROR(__xludf.DUMMYFUNCTION("IFNA(QUERY('Karten(Set1+Set2)'!$A:$Q,""select count(A) where ("" &amp; IF($A$4=""*"",,""C="" &amp; $A$4 &amp; "" AND"") &amp; "" B='"" &amp; $B7 &amp; ""' AND J='"" &amp; F$1 &amp; ""') label Count(A) ''""),0)"),0.0)</f>
        <v>0</v>
      </c>
      <c r="I7" s="101">
        <v>5.0</v>
      </c>
      <c r="J7" s="13">
        <f>IFERROR(__xludf.DUMMYFUNCTION("IFNA(QUERY('Karten(Set1+Set2)'!$A:$Q,""select count(A) where (C="" &amp; $A$4 &amp; "") AND (H="" &amp; $I7 &amp; "") label Count(A) ''""),0)"),18.0)</f>
        <v>18</v>
      </c>
      <c r="K7" s="13">
        <f>IFERROR(__xludf.DUMMYFUNCTION("IFNA(QUERY('Karten(Set1+Set2)'!$A:$Q,""select count(A) where (C="" &amp; $A$4 &amp; "") AND (Q="" &amp; $I7 &amp; "") label Count(A) ''""),0)"),28.0)</f>
        <v>28</v>
      </c>
    </row>
    <row r="8">
      <c r="B8" s="106" t="s">
        <v>1366</v>
      </c>
      <c r="C8" s="107">
        <f>IFERROR(__xludf.DUMMYFUNCTION("IFNA(QUERY('Karten(Set1+Set2)'!$A:$Q,""select count(A) where ("" &amp; IF($A$4=""*"","""",""C="" &amp; $A$4 &amp; "" AND "") &amp; ""B LIKE '% %') label Count(A) ''""),0)"),30.0)</f>
        <v>30</v>
      </c>
      <c r="D8" s="107">
        <f>IFERROR(__xludf.DUMMYFUNCTION("IFNA(QUERY('Karten(Set1+Set2)'!$A:$Q,""select count(A) where ("" &amp; IF($A$4=""*"",,""C="" &amp; $A$4 &amp; "" AND"") &amp; "" B LIKE '% %' AND J='"" &amp; D$1 &amp; ""') label Count(A) ''""),0)"),10.0)</f>
        <v>10</v>
      </c>
      <c r="E8" s="107">
        <f>IFERROR(__xludf.DUMMYFUNCTION("IFNA(QUERY('Karten(Set1+Set2)'!$A:$Q,""select count(A) where ("" &amp; IF($A$4=""*"",,""C="" &amp; $A$4 &amp; "" AND"") &amp; "" B LIKE '% %' AND J='"" &amp; E$1 &amp; ""') label Count(A) ''""),0)"),10.0)</f>
        <v>10</v>
      </c>
      <c r="F8" s="108">
        <f>IFERROR(__xludf.DUMMYFUNCTION("IFNA(QUERY('Karten(Set1+Set2)'!$A:$Q,""select count(A) where ("" &amp; IF($A$4=""*"",,""C="" &amp; $A$4 &amp; "" AND"") &amp; "" B LIKE '% %' AND J='"" &amp; F$1 &amp; ""') label Count(A) ''""),0)"),10.0)</f>
        <v>10</v>
      </c>
      <c r="I8" s="101">
        <v>6.0</v>
      </c>
      <c r="J8" s="13">
        <f>IFERROR(__xludf.DUMMYFUNCTION("IFNA(QUERY('Karten(Set1+Set2)'!$A:$Q,""select count(A) where (C="" &amp; $A$4 &amp; "") AND (H="" &amp; $I8 &amp; "") label Count(A) ''""),0)"),14.0)</f>
        <v>14</v>
      </c>
      <c r="K8" s="13">
        <f>IFERROR(__xludf.DUMMYFUNCTION("IFNA(QUERY('Karten(Set1+Set2)'!$A:$Q,""select count(A) where (C="" &amp; $A$4 &amp; "") AND (Q="" &amp; $I8 &amp; "") label Count(A) ''""),0)"),18.0)</f>
        <v>18</v>
      </c>
    </row>
    <row r="9">
      <c r="A9" s="109" t="s">
        <v>1367</v>
      </c>
      <c r="B9" s="110" t="s">
        <v>312</v>
      </c>
      <c r="C9" s="111">
        <f>IFERROR(__xludf.DUMMYFUNCTION("IFNA(QUERY('Karten(Set1+Set2)'!$A:$Q,""select count(A) where ("" &amp; IF($A$4=""*"",,""C="" &amp; $A$4 &amp; "" AND"") &amp; "" B LIKE '%"" &amp; $B9 &amp; ""%') label Count(A) ''""),0)"),3.0)</f>
        <v>3</v>
      </c>
      <c r="D9" s="112">
        <f>IFERROR(__xludf.DUMMYFUNCTION("IFNA(QUERY('Karten(Set1+Set2)'!$A:$Q,""select count(A) where ("" &amp; IF($A$4=""*"",,""C="" &amp; $A$4 &amp; "" AND"") &amp; "" B LIKE '%"" &amp; $B9 &amp; ""%' AND J='"" &amp; D$1 &amp; ""') label Count(A) ''""),0)"),1.0)</f>
        <v>1</v>
      </c>
      <c r="E9" s="112">
        <f>IFERROR(__xludf.DUMMYFUNCTION("IFNA(QUERY('Karten(Set1+Set2)'!$A:$Q,""select count(A) where ("" &amp; IF($A$4=""*"",,""C="" &amp; $A$4 &amp; "" AND"") &amp; "" B LIKE '%"" &amp; $B9 &amp; ""%' AND J='"" &amp; E$1 &amp; ""') label Count(A) ''""),0)"),1.0)</f>
        <v>1</v>
      </c>
      <c r="F9" s="113">
        <f>IFERROR(__xludf.DUMMYFUNCTION("IFNA(QUERY('Karten(Set1+Set2)'!$A:$Q,""select count(A) where ("" &amp; IF($A$4=""*"",,""C="" &amp; $A$4 &amp; "" AND"") &amp; "" B LIKE '%"" &amp; $B9 &amp; ""%' AND J='"" &amp; F$1 &amp; ""') label Count(A) ''""),0)"),1.0)</f>
        <v>1</v>
      </c>
      <c r="I9" s="101">
        <v>7.0</v>
      </c>
      <c r="J9" s="13">
        <f>IFERROR(__xludf.DUMMYFUNCTION("IFNA(QUERY('Karten(Set1+Set2)'!$A:$Q,""select count(A) where (C="" &amp; $A$4 &amp; "") AND (H="" &amp; $I9 &amp; "") label Count(A) ''""),0)"),3.0)</f>
        <v>3</v>
      </c>
      <c r="K9" s="13">
        <f>IFERROR(__xludf.DUMMYFUNCTION("IFNA(QUERY('Karten(Set1+Set2)'!$A:$Q,""select count(A) where (C="" &amp; $A$4 &amp; "") AND (Q="" &amp; $I9 &amp; "") label Count(A) ''""),0)"),7.0)</f>
        <v>7</v>
      </c>
    </row>
    <row r="10">
      <c r="A10" s="114" t="s">
        <v>1368</v>
      </c>
      <c r="B10" s="115" t="s">
        <v>1078</v>
      </c>
      <c r="C10" s="116">
        <f>IFERROR(__xludf.DUMMYFUNCTION("IFNA(QUERY('Karten(Set1+Set2)'!$A:$Q,""select count(A) where ("" &amp; IF($A$4=""*"",,""C="" &amp; $A$4 &amp; "" AND"") &amp; "" B LIKE '%"" &amp; $B10 &amp; ""%') label Count(A) ''""),0)"),3.0)</f>
        <v>3</v>
      </c>
      <c r="D10" s="97">
        <f>IFERROR(__xludf.DUMMYFUNCTION("IFNA(QUERY('Karten(Set1+Set2)'!$A:$Q,""select count(A) where ("" &amp; IF($A$4=""*"",,""C="" &amp; $A$4 &amp; "" AND"") &amp; "" B LIKE '%"" &amp; $B10 &amp; ""%' AND J='"" &amp; D$1 &amp; ""') label Count(A) ''""),0)"),1.0)</f>
        <v>1</v>
      </c>
      <c r="E10" s="97">
        <f>IFERROR(__xludf.DUMMYFUNCTION("IFNA(QUERY('Karten(Set1+Set2)'!$A:$Q,""select count(A) where ("" &amp; IF($A$4=""*"",,""C="" &amp; $A$4 &amp; "" AND"") &amp; "" B LIKE '%"" &amp; $B10 &amp; ""%' AND J='"" &amp; E$1 &amp; ""') label Count(A) ''""),0)"),1.0)</f>
        <v>1</v>
      </c>
      <c r="F10" s="98">
        <f>IFERROR(__xludf.DUMMYFUNCTION("IFNA(QUERY('Karten(Set1+Set2)'!$A:$Q,""select count(A) where ("" &amp; IF($A$4=""*"",,""C="" &amp; $A$4 &amp; "" AND"") &amp; "" B LIKE '%"" &amp; $B10 &amp; ""%' AND J='"" &amp; F$1 &amp; ""') label Count(A) ''""),0)"),1.0)</f>
        <v>1</v>
      </c>
      <c r="G10" s="104"/>
      <c r="H10" s="104"/>
      <c r="I10" s="101">
        <v>8.0</v>
      </c>
      <c r="J10" s="13">
        <f>IFERROR(__xludf.DUMMYFUNCTION("IFNA(QUERY('Karten(Set1+Set2)'!$A:$Q,""select count(A) where (C="" &amp; $A$4 &amp; "") AND (H="" &amp; $I10 &amp; "") label Count(A) ''""),0)"),1.0)</f>
        <v>1</v>
      </c>
      <c r="K10" s="13">
        <f>IFERROR(__xludf.DUMMYFUNCTION("IFNA(QUERY('Karten(Set1+Set2)'!$A:$Q,""select count(A) where (C="" &amp; $A$4 &amp; "") AND (Q="" &amp; $I10 &amp; "") label Count(A) ''""),0)"),0.0)</f>
        <v>0</v>
      </c>
    </row>
    <row r="11">
      <c r="A11" s="109" t="s">
        <v>1369</v>
      </c>
      <c r="B11" s="117" t="s">
        <v>620</v>
      </c>
      <c r="C11" s="116">
        <f>IFERROR(__xludf.DUMMYFUNCTION("IFNA(QUERY('Karten(Set1+Set2)'!$A:$Q,""select count(A) where ("" &amp; IF($A$4=""*"",,""C="" &amp; $A$4 &amp; "" AND"") &amp; "" B LIKE '%"" &amp; $B11 &amp; ""%') label Count(A) ''""),0)"),3.0)</f>
        <v>3</v>
      </c>
      <c r="D11" s="97">
        <f>IFERROR(__xludf.DUMMYFUNCTION("IFNA(QUERY('Karten(Set1+Set2)'!$A:$Q,""select count(A) where ("" &amp; IF($A$4=""*"",,""C="" &amp; $A$4 &amp; "" AND"") &amp; "" B LIKE '%"" &amp; $B11 &amp; ""%' AND J='"" &amp; D$1 &amp; ""') label Count(A) ''""),0)"),1.0)</f>
        <v>1</v>
      </c>
      <c r="E11" s="97">
        <f>IFERROR(__xludf.DUMMYFUNCTION("IFNA(QUERY('Karten(Set1+Set2)'!$A:$Q,""select count(A) where ("" &amp; IF($A$4=""*"",,""C="" &amp; $A$4 &amp; "" AND"") &amp; "" B LIKE '%"" &amp; $B11 &amp; ""%' AND J='"" &amp; E$1 &amp; ""') label Count(A) ''""),0)"),1.0)</f>
        <v>1</v>
      </c>
      <c r="F11" s="98">
        <f>IFERROR(__xludf.DUMMYFUNCTION("IFNA(QUERY('Karten(Set1+Set2)'!$A:$Q,""select count(A) where ("" &amp; IF($A$4=""*"",,""C="" &amp; $A$4 &amp; "" AND"") &amp; "" B LIKE '%"" &amp; $B11 &amp; ""%' AND J='"" &amp; F$1 &amp; ""') label Count(A) ''""),0)"),1.0)</f>
        <v>1</v>
      </c>
      <c r="I11" s="101">
        <v>9.0</v>
      </c>
      <c r="J11" s="13">
        <f>IFERROR(__xludf.DUMMYFUNCTION("IFNA(QUERY('Karten(Set1+Set2)'!$A:$Q,""select count(A) where (C="" &amp; $A$4 &amp; "") AND (H="" &amp; $I11 &amp; "") label Count(A) ''""),0)"),2.0)</f>
        <v>2</v>
      </c>
      <c r="K11" s="13">
        <f>IFERROR(__xludf.DUMMYFUNCTION("IFNA(QUERY('Karten(Set1+Set2)'!$A:$Q,""select count(A) where (C="" &amp; $A$4 &amp; "") AND (Q="" &amp; $I11 &amp; "") label Count(A) ''""),0)"),0.0)</f>
        <v>0</v>
      </c>
    </row>
    <row r="12">
      <c r="A12" s="114" t="s">
        <v>1370</v>
      </c>
      <c r="B12" s="115" t="s">
        <v>278</v>
      </c>
      <c r="C12" s="116">
        <f>IFERROR(__xludf.DUMMYFUNCTION("IFNA(QUERY('Karten(Set1+Set2)'!$A:$Q,""select count(A) where ("" &amp; IF($A$4=""*"",,""C="" &amp; $A$4 &amp; "" AND"") &amp; "" B LIKE '%"" &amp; $B12 &amp; ""%') label Count(A) ''""),0)"),3.0)</f>
        <v>3</v>
      </c>
      <c r="D12" s="97">
        <f>IFERROR(__xludf.DUMMYFUNCTION("IFNA(QUERY('Karten(Set1+Set2)'!$A:$Q,""select count(A) where ("" &amp; IF($A$4=""*"",,""C="" &amp; $A$4 &amp; "" AND"") &amp; "" B LIKE '%"" &amp; $B12 &amp; ""%' AND J='"" &amp; D$1 &amp; ""') label Count(A) ''""),0)"),1.0)</f>
        <v>1</v>
      </c>
      <c r="E12" s="97">
        <f>IFERROR(__xludf.DUMMYFUNCTION("IFNA(QUERY('Karten(Set1+Set2)'!$A:$Q,""select count(A) where ("" &amp; IF($A$4=""*"",,""C="" &amp; $A$4 &amp; "" AND"") &amp; "" B LIKE '%"" &amp; $B12 &amp; ""%' AND J='"" &amp; E$1 &amp; ""') label Count(A) ''""),0)"),1.0)</f>
        <v>1</v>
      </c>
      <c r="F12" s="98">
        <f>IFERROR(__xludf.DUMMYFUNCTION("IFNA(QUERY('Karten(Set1+Set2)'!$A:$Q,""select count(A) where ("" &amp; IF($A$4=""*"",,""C="" &amp; $A$4 &amp; "" AND"") &amp; "" B LIKE '%"" &amp; $B12 &amp; ""%' AND J='"" &amp; F$1 &amp; ""') label Count(A) ''""),0)"),1.0)</f>
        <v>1</v>
      </c>
      <c r="I12" s="101">
        <v>10.0</v>
      </c>
      <c r="J12" s="13">
        <f>IFERROR(__xludf.DUMMYFUNCTION("IFNA(QUERY('Karten(Set1+Set2)'!$A:$Q,""select count(A) where (C="" &amp; $A$4 &amp; "") AND (H="" &amp; $I12 &amp; "") label Count(A) ''""),0)"),1.0)</f>
        <v>1</v>
      </c>
      <c r="K12" s="13">
        <f>IFERROR(__xludf.DUMMYFUNCTION("IFNA(QUERY('Karten(Set1+Set2)'!$A:$Q,""select count(A) where (C="" &amp; $A$4 &amp; "") AND (Q="" &amp; $I12 &amp; "") label Count(A) ''""),0)"),0.0)</f>
        <v>0</v>
      </c>
    </row>
    <row r="13">
      <c r="A13" s="114" t="s">
        <v>1371</v>
      </c>
      <c r="B13" s="115" t="s">
        <v>653</v>
      </c>
      <c r="C13" s="116">
        <f>IFERROR(__xludf.DUMMYFUNCTION("IFNA(QUERY('Karten(Set1+Set2)'!$A:$Q,""select count(A) where ("" &amp; IF($A$4=""*"",,""C="" &amp; $A$4 &amp; "" AND"") &amp; "" B LIKE '%"" &amp; $B13 &amp; ""%') label Count(A) ''""),0)"),3.0)</f>
        <v>3</v>
      </c>
      <c r="D13" s="97">
        <f>IFERROR(__xludf.DUMMYFUNCTION("IFNA(QUERY('Karten(Set1+Set2)'!$A:$Q,""select count(A) where ("" &amp; IF($A$4=""*"",,""C="" &amp; $A$4 &amp; "" AND"") &amp; "" B LIKE '%"" &amp; $B13 &amp; ""%' AND J='"" &amp; D$1 &amp; ""') label Count(A) ''""),0)"),1.0)</f>
        <v>1</v>
      </c>
      <c r="E13" s="97">
        <f>IFERROR(__xludf.DUMMYFUNCTION("IFNA(QUERY('Karten(Set1+Set2)'!$A:$Q,""select count(A) where ("" &amp; IF($A$4=""*"",,""C="" &amp; $A$4 &amp; "" AND"") &amp; "" B LIKE '%"" &amp; $B13 &amp; ""%' AND J='"" &amp; E$1 &amp; ""') label Count(A) ''""),0)"),1.0)</f>
        <v>1</v>
      </c>
      <c r="F13" s="98">
        <f>IFERROR(__xludf.DUMMYFUNCTION("IFNA(QUERY('Karten(Set1+Set2)'!$A:$Q,""select count(A) where ("" &amp; IF($A$4=""*"",,""C="" &amp; $A$4 &amp; "" AND"") &amp; "" B LIKE '%"" &amp; $B13 &amp; ""%' AND J='"" &amp; F$1 &amp; ""') label Count(A) ''""),0)"),1.0)</f>
        <v>1</v>
      </c>
      <c r="I13" s="118" t="s">
        <v>1372</v>
      </c>
      <c r="J13" s="119">
        <f>ROUND(AVERAGE('Karten(Set1+Set2)'!H:H),2)</f>
        <v>3.24</v>
      </c>
      <c r="K13" s="120">
        <f>ROUND(AVERAGE('Karten(Set1+Set2)'!Q:Q),2)</f>
        <v>3.76</v>
      </c>
    </row>
    <row r="14">
      <c r="A14" s="114" t="s">
        <v>1373</v>
      </c>
      <c r="B14" s="115" t="s">
        <v>220</v>
      </c>
      <c r="C14" s="116">
        <f>IFERROR(__xludf.DUMMYFUNCTION("IFNA(QUERY('Karten(Set1+Set2)'!$A:$Q,""select count(A) where ("" &amp; IF($A$4=""*"",,""C="" &amp; $A$4 &amp; "" AND"") &amp; "" B LIKE '%"" &amp; $B14 &amp; ""%') label Count(A) ''""),0)"),3.0)</f>
        <v>3</v>
      </c>
      <c r="D14" s="97">
        <f>IFERROR(__xludf.DUMMYFUNCTION("IFNA(QUERY('Karten(Set1+Set2)'!$A:$Q,""select count(A) where ("" &amp; IF($A$4=""*"",,""C="" &amp; $A$4 &amp; "" AND"") &amp; "" B LIKE '%"" &amp; $B14 &amp; ""%' AND J='"" &amp; D$1 &amp; ""') label Count(A) ''""),0)"),1.0)</f>
        <v>1</v>
      </c>
      <c r="E14" s="97">
        <f>IFERROR(__xludf.DUMMYFUNCTION("IFNA(QUERY('Karten(Set1+Set2)'!$A:$Q,""select count(A) where ("" &amp; IF($A$4=""*"",,""C="" &amp; $A$4 &amp; "" AND"") &amp; "" B LIKE '%"" &amp; $B14 &amp; ""%' AND J='"" &amp; E$1 &amp; ""') label Count(A) ''""),0)"),1.0)</f>
        <v>1</v>
      </c>
      <c r="F14" s="98">
        <f>IFERROR(__xludf.DUMMYFUNCTION("IFNA(QUERY('Karten(Set1+Set2)'!$A:$Q,""select count(A) where ("" &amp; IF($A$4=""*"",,""C="" &amp; $A$4 &amp; "" AND"") &amp; "" B LIKE '%"" &amp; $B14 &amp; ""%' AND J='"" &amp; F$1 &amp; ""') label Count(A) ''""),0)"),1.0)</f>
        <v>1</v>
      </c>
    </row>
    <row r="15">
      <c r="A15" s="114" t="s">
        <v>1374</v>
      </c>
      <c r="B15" s="115" t="s">
        <v>187</v>
      </c>
      <c r="C15" s="116">
        <f>IFERROR(__xludf.DUMMYFUNCTION("IFNA(QUERY('Karten(Set1+Set2)'!$A:$Q,""select count(A) where ("" &amp; IF($A$4=""*"",,""C="" &amp; $A$4 &amp; "" AND"") &amp; "" B LIKE '%"" &amp; $B15 &amp; ""%') label Count(A) ''""),0)"),3.0)</f>
        <v>3</v>
      </c>
      <c r="D15" s="97">
        <f>IFERROR(__xludf.DUMMYFUNCTION("IFNA(QUERY('Karten(Set1+Set2)'!$A:$Q,""select count(A) where ("" &amp; IF($A$4=""*"",,""C="" &amp; $A$4 &amp; "" AND"") &amp; "" B LIKE '%"" &amp; $B15 &amp; ""%' AND J='"" &amp; D$1 &amp; ""') label Count(A) ''""),0)"),1.0)</f>
        <v>1</v>
      </c>
      <c r="E15" s="97">
        <f>IFERROR(__xludf.DUMMYFUNCTION("IFNA(QUERY('Karten(Set1+Set2)'!$A:$Q,""select count(A) where ("" &amp; IF($A$4=""*"",,""C="" &amp; $A$4 &amp; "" AND"") &amp; "" B LIKE '%"" &amp; $B15 &amp; ""%' AND J='"" &amp; E$1 &amp; ""') label Count(A) ''""),0)"),1.0)</f>
        <v>1</v>
      </c>
      <c r="F15" s="98">
        <f>IFERROR(__xludf.DUMMYFUNCTION("IFNA(QUERY('Karten(Set1+Set2)'!$A:$Q,""select count(A) where ("" &amp; IF($A$4=""*"",,""C="" &amp; $A$4 &amp; "" AND"") &amp; "" B LIKE '%"" &amp; $B15 &amp; ""%' AND J='"" &amp; F$1 &amp; ""') label Count(A) ''""),0)"),1.0)</f>
        <v>1</v>
      </c>
    </row>
    <row r="16">
      <c r="A16" s="114" t="s">
        <v>1375</v>
      </c>
      <c r="B16" s="115" t="s">
        <v>828</v>
      </c>
      <c r="C16" s="116">
        <f>IFERROR(__xludf.DUMMYFUNCTION("IFNA(QUERY('Karten(Set1+Set2)'!$A:$Q,""select count(A) where ("" &amp; IF($A$4=""*"",,""C="" &amp; $A$4 &amp; "" AND"") &amp; "" B LIKE '%"" &amp; $B16 &amp; ""%') label Count(A) ''""),0)"),3.0)</f>
        <v>3</v>
      </c>
      <c r="D16" s="97">
        <f>IFERROR(__xludf.DUMMYFUNCTION("IFNA(QUERY('Karten(Set1+Set2)'!$A:$Q,""select count(A) where ("" &amp; IF($A$4=""*"",,""C="" &amp; $A$4 &amp; "" AND"") &amp; "" B LIKE '%"" &amp; $B16 &amp; ""%' AND J='"" &amp; D$1 &amp; ""') label Count(A) ''""),0)"),1.0)</f>
        <v>1</v>
      </c>
      <c r="E16" s="97">
        <f>IFERROR(__xludf.DUMMYFUNCTION("IFNA(QUERY('Karten(Set1+Set2)'!$A:$Q,""select count(A) where ("" &amp; IF($A$4=""*"",,""C="" &amp; $A$4 &amp; "" AND"") &amp; "" B LIKE '%"" &amp; $B16 &amp; ""%' AND J='"" &amp; E$1 &amp; ""') label Count(A) ''""),0)"),1.0)</f>
        <v>1</v>
      </c>
      <c r="F16" s="98">
        <f>IFERROR(__xludf.DUMMYFUNCTION("IFNA(QUERY('Karten(Set1+Set2)'!$A:$Q,""select count(A) where ("" &amp; IF($A$4=""*"",,""C="" &amp; $A$4 &amp; "" AND"") &amp; "" B LIKE '%"" &amp; $B16 &amp; ""%' AND J='"" &amp; F$1 &amp; ""') label Count(A) ''""),0)"),1.0)</f>
        <v>1</v>
      </c>
    </row>
    <row r="17">
      <c r="A17" s="114" t="s">
        <v>1376</v>
      </c>
      <c r="B17" s="115" t="s">
        <v>630</v>
      </c>
      <c r="C17" s="116">
        <f>IFERROR(__xludf.DUMMYFUNCTION("IFNA(QUERY('Karten(Set1+Set2)'!$A:$Q,""select count(A) where ("" &amp; IF($A$4=""*"",,""C="" &amp; $A$4 &amp; "" AND"") &amp; "" B LIKE '%"" &amp; $B17 &amp; ""%') label Count(A) ''""),0)"),3.0)</f>
        <v>3</v>
      </c>
      <c r="D17" s="97">
        <f>IFERROR(__xludf.DUMMYFUNCTION("IFNA(QUERY('Karten(Set1+Set2)'!$A:$Q,""select count(A) where ("" &amp; IF($A$4=""*"",,""C="" &amp; $A$4 &amp; "" AND"") &amp; "" B LIKE '%"" &amp; $B17 &amp; ""%' AND J='"" &amp; D$1 &amp; ""') label Count(A) ''""),0)"),1.0)</f>
        <v>1</v>
      </c>
      <c r="E17" s="97">
        <f>IFERROR(__xludf.DUMMYFUNCTION("IFNA(QUERY('Karten(Set1+Set2)'!$A:$Q,""select count(A) where ("" &amp; IF($A$4=""*"",,""C="" &amp; $A$4 &amp; "" AND"") &amp; "" B LIKE '%"" &amp; $B17 &amp; ""%' AND J='"" &amp; E$1 &amp; ""') label Count(A) ''""),0)"),1.0)</f>
        <v>1</v>
      </c>
      <c r="F17" s="98">
        <f>IFERROR(__xludf.DUMMYFUNCTION("IFNA(QUERY('Karten(Set1+Set2)'!$A:$Q,""select count(A) where ("" &amp; IF($A$4=""*"",,""C="" &amp; $A$4 &amp; "" AND"") &amp; "" B LIKE '%"" &amp; $B17 &amp; ""%' AND J='"" &amp; F$1 &amp; ""') label Count(A) ''""),0)"),1.0)</f>
        <v>1</v>
      </c>
    </row>
    <row r="18">
      <c r="A18" s="114" t="s">
        <v>1377</v>
      </c>
      <c r="B18" s="121" t="s">
        <v>872</v>
      </c>
      <c r="C18" s="122">
        <f>IFERROR(__xludf.DUMMYFUNCTION("IFNA(QUERY('Karten(Set1+Set2)'!$A:$Q,""select count(A) where ("" &amp; IF($A$4=""*"",,""C="" &amp; $A$4 &amp; "" AND"") &amp; "" B LIKE '%"" &amp; $B18 &amp; ""%') label Count(A) ''""),0)"),3.0)</f>
        <v>3</v>
      </c>
      <c r="D18" s="107">
        <f>IFERROR(__xludf.DUMMYFUNCTION("IFNA(QUERY('Karten(Set1+Set2)'!$A:$Q,""select count(A) where ("" &amp; IF($A$4=""*"",,""C="" &amp; $A$4 &amp; "" AND"") &amp; "" B LIKE '%"" &amp; $B18 &amp; ""%' AND J='"" &amp; D$1 &amp; ""') label Count(A) ''""),0)"),1.0)</f>
        <v>1</v>
      </c>
      <c r="E18" s="107">
        <f>IFERROR(__xludf.DUMMYFUNCTION("IFNA(QUERY('Karten(Set1+Set2)'!$A:$Q,""select count(A) where ("" &amp; IF($A$4=""*"",,""C="" &amp; $A$4 &amp; "" AND"") &amp; "" B LIKE '%"" &amp; $B18 &amp; ""%' AND J='"" &amp; E$1 &amp; ""') label Count(A) ''""),0)"),1.0)</f>
        <v>1</v>
      </c>
      <c r="F18" s="108">
        <f>IFERROR(__xludf.DUMMYFUNCTION("IFNA(QUERY('Karten(Set1+Set2)'!$A:$Q,""select count(A) where ("" &amp; IF($A$4=""*"",,""C="" &amp; $A$4 &amp; "" AND"") &amp; "" B LIKE '%"" &amp; $B18 &amp; ""%' AND J='"" &amp; F$1 &amp; ""') label Count(A) ''""),0)"),1.0)</f>
        <v>1</v>
      </c>
    </row>
    <row r="19">
      <c r="A19" s="105" t="s">
        <v>1378</v>
      </c>
      <c r="B19" s="123"/>
      <c r="C19" s="124">
        <f>IFERROR(__xludf.DUMMYFUNCTION("IFNA(QUERY('Karten(Set1+Set2)'!$A:$Q,""select count(A) where (C="" &amp; $A$4 &amp; "") label Count(A) ''""),0)"),170.0)</f>
        <v>170</v>
      </c>
      <c r="D19" s="124">
        <f>IFERROR(__xludf.DUMMYFUNCTION("IFNA(QUERY('Karten(Set1+Set2)'!$A:$Q,""select count(A) where (C="" &amp; $A$4 &amp; "" AND J='"" &amp; D$1 &amp; ""') label Count(A) ''""),0)"),86.0)</f>
        <v>86</v>
      </c>
      <c r="E19" s="124">
        <f>IFERROR(__xludf.DUMMYFUNCTION("IFNA(QUERY('Karten(Set1+Set2)'!$A:$Q,""select count(A) where (C="" &amp; $A$4 &amp; "" AND J='"" &amp; E$1 &amp; ""') label Count(A) ''""),0)"),52.0)</f>
        <v>52</v>
      </c>
      <c r="F19" s="124">
        <f>IFERROR(__xludf.DUMMYFUNCTION("IFNA(QUERY('Karten(Set1+Set2)'!$A:$Q,""select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1379</v>
      </c>
      <c r="J20" s="129" t="s">
        <v>1380</v>
      </c>
      <c r="K20" s="130" t="s">
        <v>1381</v>
      </c>
      <c r="L20" s="131" t="s">
        <v>1382</v>
      </c>
      <c r="M20" s="132" t="s">
        <v>1383</v>
      </c>
      <c r="N20" s="133" t="s">
        <v>1384</v>
      </c>
    </row>
    <row r="21">
      <c r="A21" s="105" t="s">
        <v>1385</v>
      </c>
      <c r="B21" s="134" t="s">
        <v>42</v>
      </c>
      <c r="C21" s="134" t="s">
        <v>50</v>
      </c>
      <c r="D21" s="134" t="s">
        <v>33</v>
      </c>
      <c r="E21" s="135" t="s">
        <v>1386</v>
      </c>
      <c r="F21" s="134" t="s">
        <v>1387</v>
      </c>
      <c r="H21" s="136" t="str">
        <f>IFERROR(__xludf.DUMMYFUNCTION("QUERY(UNIQUE(FLATTEN(MAP(UNIQUE(IFNA(QUERY('Karten(Set1+Set2)'!$A$2:$Q1000,""select D where (C="" &amp; $A$4 &amp; "")"")),""""),LAMBDA(x,(SPLIT(x,"" "")))))),""SELECT * WHERE (Col1 IS NOT NULL) AND (Col1 matches '^\w+$')"")"),"Angel")</f>
        <v>Angel</v>
      </c>
      <c r="I21" s="137">
        <f>IFERROR(__xludf.DUMMYFUNCTION("IFNA(QUERY('Karten(Set1+Set2)'!$A:$Q,""select count(A) where (C="" &amp; $A$4 &amp; "" AND D LIKE '%"" &amp; $H21 &amp; ""%') label Count(A) ''""),0)"),18.0)</f>
        <v>18</v>
      </c>
      <c r="J21" s="138">
        <f>IFERROR(__xludf.DUMMYFUNCTION("IFNA(QUERY('Karten(Set1+Set2)'!$A:$Q,""select count(A) where (C="" &amp; $A$4 &amp; "" AND D LIKE '%"" &amp; $H21 &amp; ""%' AND B LIKE '%"" &amp; REGEXEXTRACT(J$20,""[^#\s]+"") &amp; ""%') label Count(A) ''""),0)"),15.0)</f>
        <v>15</v>
      </c>
      <c r="K21" s="138">
        <f>IFERROR(__xludf.DUMMYFUNCTION("IFNA(QUERY('Karten(Set1+Set2)'!$A:$Q,""select count(A) where (C="" &amp; $A$4 &amp; "" AND D LIKE '%"" &amp; $H21 &amp; ""%' AND B LIKE '%"" &amp; REGEXEXTRACT(K$20,""[^#\s]+"") &amp; ""%') label Count(A) ''""),0)"),1.0)</f>
        <v>1</v>
      </c>
      <c r="L21" s="138">
        <f>IFERROR(__xludf.DUMMYFUNCTION("IFNA(QUERY('Karten(Set1+Set2)'!$A:$Q,""select count(A) where (C="" &amp; $A$4 &amp; "" AND D LIKE '%"" &amp; $H21 &amp; ""%' AND B LIKE '%"" &amp; REGEXEXTRACT(L$20,""[^#\s]+"") &amp; ""%') label Count(A) ''""),0)"),2.0)</f>
        <v>2</v>
      </c>
      <c r="M21" s="138">
        <f>IFERROR(__xludf.DUMMYFUNCTION("IFNA(QUERY('Karten(Set1+Set2)'!$A:$Q,""select count(A) where (C="" &amp; $A$4 &amp; "" AND D LIKE '%"" &amp; $H21 &amp; ""%' AND B LIKE '%"" &amp; REGEXEXTRACT(M$20,""[^#\s]+"") &amp; ""%') label Count(A) ''""),0)"),1.0)</f>
        <v>1</v>
      </c>
      <c r="N21" s="138">
        <f>IFERROR(__xludf.DUMMYFUNCTION("IFNA(QUERY('Karten(Set1+Set2)'!$A:$Q,""select count(A) where (C="" &amp; $A$4 &amp; "" AND D LIKE '%"" &amp; $H21 &amp; ""%' AND B LIKE '%"" &amp; REGEXEXTRACT(N$20,""[^#\s]+"") &amp; ""%') label Count(A) ''""),0)"),4.0)</f>
        <v>4</v>
      </c>
    </row>
    <row r="22">
      <c r="A22" s="139" t="s">
        <v>15</v>
      </c>
      <c r="B22" s="97">
        <f>IFERROR(__xludf.DUMMYFUNCTION("IFNA(QUERY('Karten(Set1+Set2)'!$A:$Q,""select count(A) where (C="" &amp; $A$4 &amp; "" AND F LIKE '%"" &amp; $A22 &amp; ""%' AND J='"" &amp; B$21 &amp; ""') label Count(A) ''""),0)"),3.0)</f>
        <v>3</v>
      </c>
      <c r="C22" s="97">
        <f>IFERROR(__xludf.DUMMYFUNCTION("IFNA(QUERY('Karten(Set1+Set2)'!$A:$Q,""select count(A) where (C="" &amp; $A$4 &amp; "" AND F LIKE '%"" &amp; $A22 &amp; ""%' AND J='"" &amp; C$21 &amp; ""') label Count(A) ''""),0)"),1.0)</f>
        <v>1</v>
      </c>
      <c r="D22" s="97">
        <f>IFERROR(__xludf.DUMMYFUNCTION("IFNA(QUERY('Karten(Set1+Set2)'!$A:$Q,""select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IFERROR(__xludf.DUMMYFUNCTION("IFNA(QUERY('Karten(Set1+Set2)'!$A:$Q,""select count(A) where (C="" &amp; $A$4 &amp; "" AND D LIKE '%"" &amp; $H22 &amp; ""%') label Count(A) ''""),0)"),33.0)</f>
        <v>33</v>
      </c>
      <c r="J22" s="138">
        <f>IFERROR(__xludf.DUMMYFUNCTION("IFNA(QUERY('Karten(Set1+Set2)'!$A:$Q,""select count(A) where (C="" &amp; $A$4 &amp; "" AND D LIKE '%"" &amp; $H22 &amp; ""%' AND B LIKE '%"" &amp; REGEXEXTRACT(J$20,""[^#\s]+"") &amp; ""%') label Count(A) ''""),0)"),11.0)</f>
        <v>11</v>
      </c>
      <c r="K22" s="138">
        <f>IFERROR(__xludf.DUMMYFUNCTION("IFNA(QUERY('Karten(Set1+Set2)'!$A:$Q,""select count(A) where (C="" &amp; $A$4 &amp; "" AND D LIKE '%"" &amp; $H22 &amp; ""%' AND B LIKE '%"" &amp; REGEXEXTRACT(K$20,""[^#\s]+"") &amp; ""%') label Count(A) ''""),0)"),12.0)</f>
        <v>12</v>
      </c>
      <c r="L22" s="138">
        <f>IFERROR(__xludf.DUMMYFUNCTION("IFNA(QUERY('Karten(Set1+Set2)'!$A:$Q,""select count(A) where (C="" &amp; $A$4 &amp; "" AND D LIKE '%"" &amp; $H22 &amp; ""%' AND B LIKE '%"" &amp; REGEXEXTRACT(L$20,""[^#\s]+"") &amp; ""%') label Count(A) ''""),0)"),4.0)</f>
        <v>4</v>
      </c>
      <c r="M22" s="138">
        <f>IFERROR(__xludf.DUMMYFUNCTION("IFNA(QUERY('Karten(Set1+Set2)'!$A:$Q,""select count(A) where (C="" &amp; $A$4 &amp; "" AND D LIKE '%"" &amp; $H22 &amp; ""%' AND B LIKE '%"" &amp; REGEXEXTRACT(M$20,""[^#\s]+"") &amp; ""%') label Count(A) ''""),0)"),9.0)</f>
        <v>9</v>
      </c>
      <c r="N22" s="138">
        <f>IFERROR(__xludf.DUMMYFUNCTION("IFNA(QUERY('Karten(Set1+Set2)'!$A:$Q,""select count(A) where (C="" &amp; $A$4 &amp; "" AND D LIKE '%"" &amp; $H22 &amp; ""%' AND B LIKE '%"" &amp; REGEXEXTRACT(N$20,""[^#\s]+"") &amp; ""%') label Count(A) ''""),0)"),5.0)</f>
        <v>5</v>
      </c>
    </row>
    <row r="23">
      <c r="A23" s="139" t="s">
        <v>11</v>
      </c>
      <c r="B23" s="97">
        <f>IFERROR(__xludf.DUMMYFUNCTION("IFNA(QUERY('Karten(Set1+Set2)'!$A:$Q,""select count(A) where (C="" &amp; $A$4 &amp; "" AND F LIKE '%"" &amp; $A23 &amp; ""%' AND J='"" &amp; B$21 &amp; ""') label Count(A) ''""),0)"),2.0)</f>
        <v>2</v>
      </c>
      <c r="C23" s="97">
        <f>IFERROR(__xludf.DUMMYFUNCTION("IFNA(QUERY('Karten(Set1+Set2)'!$A:$Q,""select count(A) where (C="" &amp; $A$4 &amp; "" AND F LIKE '%"" &amp; $A23 &amp; ""%' AND J='"" &amp; C$21 &amp; ""') label Count(A) ''""),0)"),1.0)</f>
        <v>1</v>
      </c>
      <c r="D23" s="97">
        <f>IFERROR(__xludf.DUMMYFUNCTION("IFNA(QUERY('Karten(Set1+Set2)'!$A:$Q,""select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IFERROR(__xludf.DUMMYFUNCTION("IFNA(QUERY('Karten(Set1+Set2)'!$A:$Q,""select count(A) where (C="" &amp; $A$4 &amp; "" AND D LIKE '%"" &amp; $H23 &amp; ""%') label Count(A) ''""),0)"),26.0)</f>
        <v>26</v>
      </c>
      <c r="J23" s="138">
        <f>IFERROR(__xludf.DUMMYFUNCTION("IFNA(QUERY('Karten(Set1+Set2)'!$A:$Q,""select count(A) where (C="" &amp; $A$4 &amp; "" AND D LIKE '%"" &amp; $H23 &amp; ""%' AND B LIKE '%"" &amp; REGEXEXTRACT(J$20,""[^#\s]+"") &amp; ""%') label Count(A) ''""),0)"),14.0)</f>
        <v>14</v>
      </c>
      <c r="K23" s="138">
        <f>IFERROR(__xludf.DUMMYFUNCTION("IFNA(QUERY('Karten(Set1+Set2)'!$A:$Q,""select count(A) where (C="" &amp; $A$4 &amp; "" AND D LIKE '%"" &amp; $H23 &amp; ""%' AND B LIKE '%"" &amp; REGEXEXTRACT(K$20,""[^#\s]+"") &amp; ""%') label Count(A) ''""),0)"),2.0)</f>
        <v>2</v>
      </c>
      <c r="L23" s="138">
        <f>IFERROR(__xludf.DUMMYFUNCTION("IFNA(QUERY('Karten(Set1+Set2)'!$A:$Q,""select count(A) where (C="" &amp; $A$4 &amp; "" AND D LIKE '%"" &amp; $H23 &amp; ""%' AND B LIKE '%"" &amp; REGEXEXTRACT(L$20,""[^#\s]+"") &amp; ""%') label Count(A) ''""),0)"),1.0)</f>
        <v>1</v>
      </c>
      <c r="M23" s="138">
        <f>IFERROR(__xludf.DUMMYFUNCTION("IFNA(QUERY('Karten(Set1+Set2)'!$A:$Q,""select count(A) where (C="" &amp; $A$4 &amp; "" AND D LIKE '%"" &amp; $H23 &amp; ""%' AND B LIKE '%"" &amp; REGEXEXTRACT(M$20,""[^#\s]+"") &amp; ""%') label Count(A) ''""),0)"),6.0)</f>
        <v>6</v>
      </c>
      <c r="N23" s="138">
        <f>IFERROR(__xludf.DUMMYFUNCTION("IFNA(QUERY('Karten(Set1+Set2)'!$A:$Q,""select count(A) where (C="" &amp; $A$4 &amp; "" AND D LIKE '%"" &amp; $H23 &amp; ""%' AND B LIKE '%"" &amp; REGEXEXTRACT(N$20,""[^#\s]+"") &amp; ""%') label Count(A) ''""),0)"),2.0)</f>
        <v>2</v>
      </c>
    </row>
    <row r="24">
      <c r="A24" s="139" t="s">
        <v>14</v>
      </c>
      <c r="B24" s="97">
        <f>IFERROR(__xludf.DUMMYFUNCTION("IFNA(QUERY('Karten(Set1+Set2)'!$A:$Q,""select count(A) where (C="" &amp; $A$4 &amp; "" AND F LIKE '%"" &amp; $A24 &amp; ""%' AND J='"" &amp; B$21 &amp; ""') label Count(A) ''""),0)"),2.0)</f>
        <v>2</v>
      </c>
      <c r="C24" s="97">
        <f>IFERROR(__xludf.DUMMYFUNCTION("IFNA(QUERY('Karten(Set1+Set2)'!$A:$Q,""select count(A) where (C="" &amp; $A$4 &amp; "" AND F LIKE '%"" &amp; $A24 &amp; ""%' AND J='"" &amp; C$21 &amp; ""') label Count(A) ''""),0)"),2.0)</f>
        <v>2</v>
      </c>
      <c r="D24" s="97">
        <f>IFERROR(__xludf.DUMMYFUNCTION("IFNA(QUERY('Karten(Set1+Set2)'!$A:$Q,""select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IFERROR(__xludf.DUMMYFUNCTION("IFNA(QUERY('Karten(Set1+Set2)'!$A:$Q,""select count(A) where (C="" &amp; $A$4 &amp; "" AND D LIKE '%"" &amp; $H24 &amp; ""%') label Count(A) ''""),0)"),20.0)</f>
        <v>20</v>
      </c>
      <c r="J24" s="138">
        <f>IFERROR(__xludf.DUMMYFUNCTION("IFNA(QUERY('Karten(Set1+Set2)'!$A:$Q,""select count(A) where (C="" &amp; $A$4 &amp; "" AND D LIKE '%"" &amp; $H24 &amp; ""%' AND B LIKE '%"" &amp; REGEXEXTRACT(J$20,""[^#\s]+"") &amp; ""%') label Count(A) ''""),0)"),2.0)</f>
        <v>2</v>
      </c>
      <c r="K24" s="138">
        <f>IFERROR(__xludf.DUMMYFUNCTION("IFNA(QUERY('Karten(Set1+Set2)'!$A:$Q,""select count(A) where (C="" &amp; $A$4 &amp; "" AND D LIKE '%"" &amp; $H24 &amp; ""%' AND B LIKE '%"" &amp; REGEXEXTRACT(K$20,""[^#\s]+"") &amp; ""%') label Count(A) ''""),0)"),8.0)</f>
        <v>8</v>
      </c>
      <c r="L24" s="138">
        <f>IFERROR(__xludf.DUMMYFUNCTION("IFNA(QUERY('Karten(Set1+Set2)'!$A:$Q,""select count(A) where (C="" &amp; $A$4 &amp; "" AND D LIKE '%"" &amp; $H24 &amp; ""%' AND B LIKE '%"" &amp; REGEXEXTRACT(L$20,""[^#\s]+"") &amp; ""%') label Count(A) ''""),0)"),3.0)</f>
        <v>3</v>
      </c>
      <c r="M24" s="138">
        <f>IFERROR(__xludf.DUMMYFUNCTION("IFNA(QUERY('Karten(Set1+Set2)'!$A:$Q,""select count(A) where (C="" &amp; $A$4 &amp; "" AND D LIKE '%"" &amp; $H24 &amp; ""%' AND B LIKE '%"" &amp; REGEXEXTRACT(M$20,""[^#\s]+"") &amp; ""%') label Count(A) ''""),0)"),6.0)</f>
        <v>6</v>
      </c>
      <c r="N24" s="138">
        <f>IFERROR(__xludf.DUMMYFUNCTION("IFNA(QUERY('Karten(Set1+Set2)'!$A:$Q,""select count(A) where (C="" &amp; $A$4 &amp; "" AND D LIKE '%"" &amp; $H24 &amp; ""%' AND B LIKE '%"" &amp; REGEXEXTRACT(N$20,""[^#\s]+"") &amp; ""%') label Count(A) ''""),0)"),3.0)</f>
        <v>3</v>
      </c>
    </row>
    <row r="25">
      <c r="A25" s="139" t="s">
        <v>12</v>
      </c>
      <c r="B25" s="97">
        <f>IFERROR(__xludf.DUMMYFUNCTION("IFNA(QUERY('Karten(Set1+Set2)'!$A:$Q,""select count(A) where (C="" &amp; $A$4 &amp; "" AND F LIKE '%"" &amp; $A25 &amp; ""%' AND J='"" &amp; B$21 &amp; ""') label Count(A) ''""),0)"),2.0)</f>
        <v>2</v>
      </c>
      <c r="C25" s="97">
        <f>IFERROR(__xludf.DUMMYFUNCTION("IFNA(QUERY('Karten(Set1+Set2)'!$A:$Q,""select count(A) where (C="" &amp; $A$4 &amp; "" AND F LIKE '%"" &amp; $A25 &amp; ""%' AND J='"" &amp; C$21 &amp; ""') label Count(A) ''""),0)"),1.0)</f>
        <v>1</v>
      </c>
      <c r="D25" s="97">
        <f>IFERROR(__xludf.DUMMYFUNCTION("IFNA(QUERY('Karten(Set1+Set2)'!$A:$Q,""select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IFERROR(__xludf.DUMMYFUNCTION("IFNA(QUERY('Karten(Set1+Set2)'!$A:$Q,""select count(A) where (C="" &amp; $A$4 &amp; "" AND D LIKE '%"" &amp; $H25 &amp; ""%') label Count(A) ''""),0)"),16.0)</f>
        <v>16</v>
      </c>
      <c r="J25" s="138">
        <f>IFERROR(__xludf.DUMMYFUNCTION("IFNA(QUERY('Karten(Set1+Set2)'!$A:$Q,""select count(A) where (C="" &amp; $A$4 &amp; "" AND D LIKE '%"" &amp; $H25 &amp; ""%' AND B LIKE '%"" &amp; REGEXEXTRACT(J$20,""[^#\s]+"") &amp; ""%') label Count(A) ''""),0)"),1.0)</f>
        <v>1</v>
      </c>
      <c r="K25" s="138">
        <f>IFERROR(__xludf.DUMMYFUNCTION("IFNA(QUERY('Karten(Set1+Set2)'!$A:$Q,""select count(A) where (C="" &amp; $A$4 &amp; "" AND D LIKE '%"" &amp; $H25 &amp; ""%' AND B LIKE '%"" &amp; REGEXEXTRACT(K$20,""[^#\s]+"") &amp; ""%') label Count(A) ''""),0)"),12.0)</f>
        <v>12</v>
      </c>
      <c r="L25" s="138">
        <f>IFERROR(__xludf.DUMMYFUNCTION("IFNA(QUERY('Karten(Set1+Set2)'!$A:$Q,""select count(A) where (C="" &amp; $A$4 &amp; "" AND D LIKE '%"" &amp; $H25 &amp; ""%' AND B LIKE '%"" &amp; REGEXEXTRACT(L$20,""[^#\s]+"") &amp; ""%') label Count(A) ''""),0)"),1.0)</f>
        <v>1</v>
      </c>
      <c r="M25" s="138">
        <f>IFERROR(__xludf.DUMMYFUNCTION("IFNA(QUERY('Karten(Set1+Set2)'!$A:$Q,""select count(A) where (C="" &amp; $A$4 &amp; "" AND D LIKE '%"" &amp; $H25 &amp; ""%' AND B LIKE '%"" &amp; REGEXEXTRACT(M$20,""[^#\s]+"") &amp; ""%') label Count(A) ''""),0)"),1.0)</f>
        <v>1</v>
      </c>
      <c r="N25" s="138">
        <f>IFERROR(__xludf.DUMMYFUNCTION("IFNA(QUERY('Karten(Set1+Set2)'!$A:$Q,""select count(A) where (C="" &amp; $A$4 &amp; "" AND D LIKE '%"" &amp; $H25 &amp; ""%' AND B LIKE '%"" &amp; REGEXEXTRACT(N$20,""[^#\s]+"") &amp; ""%') label Count(A) ''""),0)"),3.0)</f>
        <v>3</v>
      </c>
    </row>
    <row r="26">
      <c r="A26" s="139" t="s">
        <v>13</v>
      </c>
      <c r="B26" s="97">
        <f>IFERROR(__xludf.DUMMYFUNCTION("IFNA(QUERY('Karten(Set1+Set2)'!$A:$Q,""select count(A) where (C="" &amp; $A$4 &amp; "" AND F LIKE '%"" &amp; $A26 &amp; ""%' AND J='"" &amp; B$21 &amp; ""') label Count(A) ''""),0)"),5.0)</f>
        <v>5</v>
      </c>
      <c r="C26" s="97">
        <f>IFERROR(__xludf.DUMMYFUNCTION("IFNA(QUERY('Karten(Set1+Set2)'!$A:$Q,""select count(A) where (C="" &amp; $A$4 &amp; "" AND F LIKE '%"" &amp; $A26 &amp; ""%' AND J='"" &amp; C$21 &amp; ""') label Count(A) ''""),0)"),1.0)</f>
        <v>1</v>
      </c>
      <c r="D26" s="97">
        <f>IFERROR(__xludf.DUMMYFUNCTION("IFNA(QUERY('Karten(Set1+Set2)'!$A:$Q,""select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IFERROR(__xludf.DUMMYFUNCTION("IFNA(QUERY('Karten(Set1+Set2)'!$A:$Q,""select count(A) where (C="" &amp; $A$4 &amp; "" AND D LIKE '%"" &amp; $H26 &amp; ""%') label Count(A) ''""),0)"),22.0)</f>
        <v>22</v>
      </c>
      <c r="J26" s="138">
        <f>IFERROR(__xludf.DUMMYFUNCTION("IFNA(QUERY('Karten(Set1+Set2)'!$A:$Q,""select count(A) where (C="" &amp; $A$4 &amp; "" AND D LIKE '%"" &amp; $H26 &amp; ""%' AND B LIKE '%"" &amp; REGEXEXTRACT(J$20,""[^#\s]+"") &amp; ""%') label Count(A) ''""),0)"),5.0)</f>
        <v>5</v>
      </c>
      <c r="K26" s="138">
        <f>IFERROR(__xludf.DUMMYFUNCTION("IFNA(QUERY('Karten(Set1+Set2)'!$A:$Q,""select count(A) where (C="" &amp; $A$4 &amp; "" AND D LIKE '%"" &amp; $H26 &amp; ""%' AND B LIKE '%"" &amp; REGEXEXTRACT(K$20,""[^#\s]+"") &amp; ""%') label Count(A) ''""),0)"),5.0)</f>
        <v>5</v>
      </c>
      <c r="L26" s="138">
        <f>IFERROR(__xludf.DUMMYFUNCTION("IFNA(QUERY('Karten(Set1+Set2)'!$A:$Q,""select count(A) where (C="" &amp; $A$4 &amp; "" AND D LIKE '%"" &amp; $H26 &amp; ""%' AND B LIKE '%"" &amp; REGEXEXTRACT(L$20,""[^#\s]+"") &amp; ""%') label Count(A) ''""),0)"),13.0)</f>
        <v>13</v>
      </c>
      <c r="M26" s="138">
        <f>IFERROR(__xludf.DUMMYFUNCTION("IFNA(QUERY('Karten(Set1+Set2)'!$A:$Q,""select count(A) where (C="" &amp; $A$4 &amp; "" AND D LIKE '%"" &amp; $H26 &amp; ""%' AND B LIKE '%"" &amp; REGEXEXTRACT(M$20,""[^#\s]+"") &amp; ""%') label Count(A) ''""),0)"),1.0)</f>
        <v>1</v>
      </c>
      <c r="N26" s="138">
        <f>IFERROR(__xludf.DUMMYFUNCTION("IFNA(QUERY('Karten(Set1+Set2)'!$A:$Q,""select count(A) where (C="" &amp; $A$4 &amp; "" AND D LIKE '%"" &amp; $H26 &amp; ""%' AND B LIKE '%"" &amp; REGEXEXTRACT(N$20,""[^#\s]+"") &amp; ""%') label Count(A) ''""),0)"),2.0)</f>
        <v>2</v>
      </c>
    </row>
    <row r="27">
      <c r="A27" s="143" t="s">
        <v>1388</v>
      </c>
      <c r="B27" s="97">
        <f>IFERROR(__xludf.DUMMYFUNCTION("IFNA(QUERY('Karten(Set1+Set2)'!$A:$Q,""select count(A) where (C="" &amp; $A$4 &amp; "" AND F LIKE '%"" &amp; $A27 &amp; ""%' AND J='"" &amp; B$21 &amp; ""') label Count(A) ''""),0)"),11.0)</f>
        <v>11</v>
      </c>
      <c r="C27" s="97">
        <f>IFERROR(__xludf.DUMMYFUNCTION("IFNA(QUERY('Karten(Set1+Set2)'!$A:$Q,""select count(A) where (C="" &amp; $A$4 &amp; "" AND F LIKE '%"" &amp; $A27 &amp; ""%' AND J='"" &amp; C$21 &amp; ""') label Count(A) ''""),0)"),12.0)</f>
        <v>12</v>
      </c>
      <c r="D27" s="97">
        <f>IFERROR(__xludf.DUMMYFUNCTION("IFNA(QUERY('Karten(Set1+Set2)'!$A:$Q,""select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IFERROR(__xludf.DUMMYFUNCTION("IFNA(QUERY('Karten(Set1+Set2)'!$A:$Q,""select count(A) where (C="" &amp; $A$4 &amp; "" AND D LIKE '%"" &amp; $H27 &amp; ""%') label Count(A) ''""),0)"),20.0)</f>
        <v>20</v>
      </c>
      <c r="J27" s="138">
        <f>IFERROR(__xludf.DUMMYFUNCTION("IFNA(QUERY('Karten(Set1+Set2)'!$A:$Q,""select count(A) where (C="" &amp; $A$4 &amp; "" AND D LIKE '%"" &amp; $H27 &amp; ""%' AND B LIKE '%"" &amp; REGEXEXTRACT(J$20,""[^#\s]+"") &amp; ""%') label Count(A) ''""),0)"),7.0)</f>
        <v>7</v>
      </c>
      <c r="K27" s="138">
        <f>IFERROR(__xludf.DUMMYFUNCTION("IFNA(QUERY('Karten(Set1+Set2)'!$A:$Q,""select count(A) where (C="" &amp; $A$4 &amp; "" AND D LIKE '%"" &amp; $H27 &amp; ""%' AND B LIKE '%"" &amp; REGEXEXTRACT(K$20,""[^#\s]+"") &amp; ""%') label Count(A) ''""),0)"),1.0)</f>
        <v>1</v>
      </c>
      <c r="L27" s="138">
        <f>IFERROR(__xludf.DUMMYFUNCTION("IFNA(QUERY('Karten(Set1+Set2)'!$A:$Q,""select count(A) where (C="" &amp; $A$4 &amp; "" AND D LIKE '%"" &amp; $H27 &amp; ""%' AND B LIKE '%"" &amp; REGEXEXTRACT(L$20,""[^#\s]+"") &amp; ""%') label Count(A) ''""),0)"),4.0)</f>
        <v>4</v>
      </c>
      <c r="M27" s="138">
        <f>IFERROR(__xludf.DUMMYFUNCTION("IFNA(QUERY('Karten(Set1+Set2)'!$A:$Q,""select count(A) where (C="" &amp; $A$4 &amp; "" AND D LIKE '%"" &amp; $H27 &amp; ""%' AND B LIKE '%"" &amp; REGEXEXTRACT(M$20,""[^#\s]+"") &amp; ""%') label Count(A) ''""),0)"),11.0)</f>
        <v>11</v>
      </c>
      <c r="N27" s="138">
        <f>IFERROR(__xludf.DUMMYFUNCTION("IFNA(QUERY('Karten(Set1+Set2)'!$A:$Q,""select count(A) where (C="" &amp; $A$4 &amp; "" AND D LIKE '%"" &amp; $H27 &amp; ""%' AND B LIKE '%"" &amp; REGEXEXTRACT(N$20,""[^#\s]+"") &amp; ""%') label Count(A) ''""),0)"),3.0)</f>
        <v>3</v>
      </c>
    </row>
    <row r="28">
      <c r="A28" s="145" t="s">
        <v>1389</v>
      </c>
      <c r="B28" s="97">
        <f>IFERROR(__xludf.DUMMYFUNCTION("IFNA(QUERY('Karten(Set1+Set2)'!$A:$Q,""select count(A) where (C="" &amp; $A$4 &amp; "" AND F LIKE '%"" &amp; $A28 &amp; ""%' AND J='"" &amp; B$21 &amp; ""') label Count(A) ''""),0)"),10.0)</f>
        <v>10</v>
      </c>
      <c r="C28" s="97">
        <f>IFERROR(__xludf.DUMMYFUNCTION("IFNA(QUERY('Karten(Set1+Set2)'!$A:$Q,""select count(A) where (C="" &amp; $A$4 &amp; "" AND F LIKE '%"" &amp; $A28 &amp; ""%' AND J='"" &amp; C$21 &amp; ""') label Count(A) ''""),0)"),10.0)</f>
        <v>10</v>
      </c>
      <c r="D28" s="97">
        <f>IFERROR(__xludf.DUMMYFUNCTION("IFNA(QUERY('Karten(Set1+Set2)'!$A:$Q,""select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IFERROR(__xludf.DUMMYFUNCTION("IFNA(QUERY('Karten(Set1+Set2)'!$A:$Q,""select count(A) where (C="" &amp; $A$4 &amp; "" AND D LIKE '%"" &amp; $H28 &amp; ""%') label Count(A) ''""),0)"),19.0)</f>
        <v>19</v>
      </c>
      <c r="J28" s="138">
        <f>IFERROR(__xludf.DUMMYFUNCTION("IFNA(QUERY('Karten(Set1+Set2)'!$A:$Q,""select count(A) where (C="" &amp; $A$4 &amp; "" AND D LIKE '%"" &amp; $H28 &amp; ""%' AND B LIKE '%"" &amp; REGEXEXTRACT(J$20,""[^#\s]+"") &amp; ""%') label Count(A) ''""),0)"),4.0)</f>
        <v>4</v>
      </c>
      <c r="K28" s="138">
        <f>IFERROR(__xludf.DUMMYFUNCTION("IFNA(QUERY('Karten(Set1+Set2)'!$A:$Q,""select count(A) where (C="" &amp; $A$4 &amp; "" AND D LIKE '%"" &amp; $H28 &amp; ""%' AND B LIKE '%"" &amp; REGEXEXTRACT(K$20,""[^#\s]+"") &amp; ""%') label Count(A) ''""),0)"),3.0)</f>
        <v>3</v>
      </c>
      <c r="L28" s="138">
        <f>IFERROR(__xludf.DUMMYFUNCTION("IFNA(QUERY('Karten(Set1+Set2)'!$A:$Q,""select count(A) where (C="" &amp; $A$4 &amp; "" AND D LIKE '%"" &amp; $H28 &amp; ""%' AND B LIKE '%"" &amp; REGEXEXTRACT(L$20,""[^#\s]+"") &amp; ""%') label Count(A) ''""),0)"),8.0)</f>
        <v>8</v>
      </c>
      <c r="M28" s="138">
        <f>IFERROR(__xludf.DUMMYFUNCTION("IFNA(QUERY('Karten(Set1+Set2)'!$A:$Q,""select count(A) where (C="" &amp; $A$4 &amp; "" AND D LIKE '%"" &amp; $H28 &amp; ""%' AND B LIKE '%"" &amp; REGEXEXTRACT(M$20,""[^#\s]+"") &amp; ""%') label Count(A) ''""),0)"),4.0)</f>
        <v>4</v>
      </c>
      <c r="N28" s="138">
        <f>IFERROR(__xludf.DUMMYFUNCTION("IFNA(QUERY('Karten(Set1+Set2)'!$A:$Q,""select count(A) where (C="" &amp; $A$4 &amp; "" AND D LIKE '%"" &amp; $H28 &amp; ""%' AND B LIKE '%"" &amp; REGEXEXTRACT(N$20,""[^#\s]+"") &amp; ""%') label Count(A) ''""),0)"),5.0)</f>
        <v>5</v>
      </c>
    </row>
    <row r="29">
      <c r="A29" s="148" t="s">
        <v>1390</v>
      </c>
      <c r="B29" s="97">
        <f>IFERROR(__xludf.DUMMYFUNCTION("IFNA(QUERY('Karten(Set1+Set2)'!$A:$Q,""select count(A) where (C="" &amp; $A$4 &amp; "" AND F LIKE '%"" &amp; $A29 &amp; ""%' AND J='"" &amp; B$21 &amp; ""') label Count(A) ''""),0)"),2.0)</f>
        <v>2</v>
      </c>
      <c r="C29" s="97">
        <f>IFERROR(__xludf.DUMMYFUNCTION("IFNA(QUERY('Karten(Set1+Set2)'!$A:$Q,""select count(A) where (C="" &amp; $A$4 &amp; "" AND F LIKE '%"" &amp; $A29 &amp; ""%' AND J='"" &amp; C$21 &amp; ""') label Count(A) ''""),0)"),14.0)</f>
        <v>14</v>
      </c>
      <c r="D29" s="97">
        <f>IFERROR(__xludf.DUMMYFUNCTION("IFNA(QUERY('Karten(Set1+Set2)'!$A:$Q,""select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IFERROR(__xludf.DUMMYFUNCTION("IFNA(QUERY('Karten(Set1+Set2)'!$A:$Q,""select count(A) where (C="" &amp; $A$4 &amp; "" AND D LIKE '%"" &amp; $H29 &amp; ""%') label Count(A) ''""),0)"),19.0)</f>
        <v>19</v>
      </c>
      <c r="J29" s="138">
        <f>IFERROR(__xludf.DUMMYFUNCTION("IFNA(QUERY('Karten(Set1+Set2)'!$A:$Q,""select count(A) where (C="" &amp; $A$4 &amp; "" AND D LIKE '%"" &amp; $H29 &amp; ""%' AND B LIKE '%"" &amp; REGEXEXTRACT(J$20,""[^#\s]+"") &amp; ""%') label Count(A) ''""),0)"),4.0)</f>
        <v>4</v>
      </c>
      <c r="K29" s="138">
        <f>IFERROR(__xludf.DUMMYFUNCTION("IFNA(QUERY('Karten(Set1+Set2)'!$A:$Q,""select count(A) where (C="" &amp; $A$4 &amp; "" AND D LIKE '%"" &amp; $H29 &amp; ""%' AND B LIKE '%"" &amp; REGEXEXTRACT(K$20,""[^#\s]+"") &amp; ""%') label Count(A) ''""),0)"),1.0)</f>
        <v>1</v>
      </c>
      <c r="L29" s="138">
        <f>IFERROR(__xludf.DUMMYFUNCTION("IFNA(QUERY('Karten(Set1+Set2)'!$A:$Q,""select count(A) where (C="" &amp; $A$4 &amp; "" AND D LIKE '%"" &amp; $H29 &amp; ""%' AND B LIKE '%"" &amp; REGEXEXTRACT(L$20,""[^#\s]+"") &amp; ""%') label Count(A) ''""),0)"),2.0)</f>
        <v>2</v>
      </c>
      <c r="M29" s="138">
        <f>IFERROR(__xludf.DUMMYFUNCTION("IFNA(QUERY('Karten(Set1+Set2)'!$A:$Q,""select count(A) where (C="" &amp; $A$4 &amp; "" AND D LIKE '%"" &amp; $H29 &amp; ""%' AND B LIKE '%"" &amp; REGEXEXTRACT(M$20,""[^#\s]+"") &amp; ""%') label Count(A) ''""),0)"),2.0)</f>
        <v>2</v>
      </c>
      <c r="N29" s="138">
        <f>IFERROR(__xludf.DUMMYFUNCTION("IFNA(QUERY('Karten(Set1+Set2)'!$A:$Q,""select count(A) where (C="" &amp; $A$4 &amp; "" AND D LIKE '%"" &amp; $H29 &amp; ""%' AND B LIKE '%"" &amp; REGEXEXTRACT(N$20,""[^#\s]+"") &amp; ""%') label Count(A) ''""),0)"),15.0)</f>
        <v>15</v>
      </c>
    </row>
    <row r="30">
      <c r="A30" s="139" t="s">
        <v>1391</v>
      </c>
      <c r="B30" s="97">
        <f>IFERROR(__xludf.DUMMYFUNCTION("IFNA(QUERY('Karten(Set1+Set2)'!$A:$Q,""select count(A) where (C="" &amp; $A$4 &amp; "" AND F LIKE '%"" &amp; $A30 &amp; ""%' AND J='"" &amp; B$21 &amp; ""') label Count(A) ''""),0)"),1.0)</f>
        <v>1</v>
      </c>
      <c r="C30" s="97">
        <f>IFERROR(__xludf.DUMMYFUNCTION("IFNA(QUERY('Karten(Set1+Set2)'!$A:$Q,""select count(A) where (C="" &amp; $A$4 &amp; "" AND F LIKE '%"" &amp; $A30 &amp; ""%' AND J='"" &amp; C$21 &amp; ""') label Count(A) ''""),0)"),5.0)</f>
        <v>5</v>
      </c>
      <c r="D30" s="97">
        <f>IFERROR(__xludf.DUMMYFUNCTION("IFNA(QUERY('Karten(Set1+Set2)'!$A:$Q,""select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IFERROR(__xludf.DUMMYFUNCTION("IFNA(QUERY('Karten(Set1+Set2)'!$A:$Q,""select count(A) where (C="" &amp; $A$4 &amp; "" AND D LIKE '%"" &amp; $H30 &amp; ""%') label Count(A) ''""),0)"),19.0)</f>
        <v>19</v>
      </c>
      <c r="J30" s="138">
        <f>IFERROR(__xludf.DUMMYFUNCTION("IFNA(QUERY('Karten(Set1+Set2)'!$A:$Q,""select count(A) where (C="" &amp; $A$4 &amp; "" AND D LIKE '%"" &amp; $H30 &amp; ""%' AND B LIKE '%"" &amp; REGEXEXTRACT(J$20,""[^#\s]+"") &amp; ""%') label Count(A) ''""),0)"),2.0)</f>
        <v>2</v>
      </c>
      <c r="K30" s="138">
        <f>IFERROR(__xludf.DUMMYFUNCTION("IFNA(QUERY('Karten(Set1+Set2)'!$A:$Q,""select count(A) where (C="" &amp; $A$4 &amp; "" AND D LIKE '%"" &amp; $H30 &amp; ""%' AND B LIKE '%"" &amp; REGEXEXTRACT(K$20,""[^#\s]+"") &amp; ""%') label Count(A) ''""),0)"),3.0)</f>
        <v>3</v>
      </c>
      <c r="L30" s="138">
        <f>IFERROR(__xludf.DUMMYFUNCTION("IFNA(QUERY('Karten(Set1+Set2)'!$A:$Q,""select count(A) where (C="" &amp; $A$4 &amp; "" AND D LIKE '%"" &amp; $H30 &amp; ""%' AND B LIKE '%"" &amp; REGEXEXTRACT(L$20,""[^#\s]+"") &amp; ""%') label Count(A) ''""),0)"),15.0)</f>
        <v>15</v>
      </c>
      <c r="M30" s="138">
        <f>IFERROR(__xludf.DUMMYFUNCTION("IFNA(QUERY('Karten(Set1+Set2)'!$A:$Q,""select count(A) where (C="" &amp; $A$4 &amp; "" AND D LIKE '%"" &amp; $H30 &amp; ""%' AND B LIKE '%"" &amp; REGEXEXTRACT(M$20,""[^#\s]+"") &amp; ""%') label Count(A) ''""),0)"),3.0)</f>
        <v>3</v>
      </c>
      <c r="N30" s="138">
        <f>IFERROR(__xludf.DUMMYFUNCTION("IFNA(QUERY('Karten(Set1+Set2)'!$A:$Q,""select count(A) where (C="" &amp; $A$4 &amp; "" AND D LIKE '%"" &amp; $H30 &amp; ""%' AND B LIKE '%"" &amp; REGEXEXTRACT(N$20,""[^#\s]+"") &amp; ""%') label Count(A) ''""),0)"),1.0)</f>
        <v>1</v>
      </c>
    </row>
    <row r="31">
      <c r="A31" s="151" t="s">
        <v>1392</v>
      </c>
      <c r="B31" s="97">
        <f>IFERROR(__xludf.DUMMYFUNCTION("IFNA(QUERY('Karten(Set1+Set2)'!$A:$Q,""select count(A) where (C="" &amp; $A$4 &amp; "" AND F LIKE '%"" &amp; $A31 &amp; ""%' AND J='"" &amp; B$21 &amp; ""') label Count(A) ''""),0)"),2.0)</f>
        <v>2</v>
      </c>
      <c r="C31" s="97">
        <f>IFERROR(__xludf.DUMMYFUNCTION("IFNA(QUERY('Karten(Set1+Set2)'!$A:$Q,""select count(A) where (C="" &amp; $A$4 &amp; "" AND F LIKE '%"" &amp; $A31 &amp; ""%' AND J='"" &amp; C$21 &amp; ""') label Count(A) ''""),0)"),5.0)</f>
        <v>5</v>
      </c>
      <c r="D31" s="97">
        <f>IFERROR(__xludf.DUMMYFUNCTION("IFNA(QUERY('Karten(Set1+Set2)'!$A:$Q,""select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IFERROR(__xludf.DUMMYFUNCTION("IFNA(QUERY('Karten(Set1+Set2)'!$A:$Q,""select count(A) where (C="" &amp; $A$4 &amp; "" AND D LIKE '%"" &amp; $H31 &amp; ""%') label Count(A) ''""),0)"),26.0)</f>
        <v>26</v>
      </c>
      <c r="J31" s="138">
        <f>IFERROR(__xludf.DUMMYFUNCTION("IFNA(QUERY('Karten(Set1+Set2)'!$A:$Q,""select count(A) where (C="" &amp; $A$4 &amp; "" AND D LIKE '%"" &amp; $H31 &amp; ""%' AND B LIKE '%"" &amp; REGEXEXTRACT(J$20,""[^#\s]+"") &amp; ""%') label Count(A) ''""),0)"),2.0)</f>
        <v>2</v>
      </c>
      <c r="K31" s="138">
        <f>IFERROR(__xludf.DUMMYFUNCTION("IFNA(QUERY('Karten(Set1+Set2)'!$A:$Q,""select count(A) where (C="" &amp; $A$4 &amp; "" AND D LIKE '%"" &amp; $H31 &amp; ""%' AND B LIKE '%"" &amp; REGEXEXTRACT(K$20,""[^#\s]+"") &amp; ""%') label Count(A) ''""),0)"),1.0)</f>
        <v>1</v>
      </c>
      <c r="L31" s="138">
        <f>IFERROR(__xludf.DUMMYFUNCTION("IFNA(QUERY('Karten(Set1+Set2)'!$A:$Q,""select count(A) where (C="" &amp; $A$4 &amp; "" AND D LIKE '%"" &amp; $H31 &amp; ""%' AND B LIKE '%"" &amp; REGEXEXTRACT(L$20,""[^#\s]+"") &amp; ""%') label Count(A) ''""),0)"),9.0)</f>
        <v>9</v>
      </c>
      <c r="M31" s="138">
        <f>IFERROR(__xludf.DUMMYFUNCTION("IFNA(QUERY('Karten(Set1+Set2)'!$A:$Q,""select count(A) where (C="" &amp; $A$4 &amp; "" AND D LIKE '%"" &amp; $H31 &amp; ""%' AND B LIKE '%"" &amp; REGEXEXTRACT(M$20,""[^#\s]+"") &amp; ""%') label Count(A) ''""),0)"),17.0)</f>
        <v>17</v>
      </c>
      <c r="N31" s="138">
        <f>IFERROR(__xludf.DUMMYFUNCTION("IFNA(QUERY('Karten(Set1+Set2)'!$A:$Q,""select count(A) where (C="" &amp; $A$4 &amp; "" AND D LIKE '%"" &amp; $H31 &amp; ""%' AND B LIKE '%"" &amp; REGEXEXTRACT(N$20,""[^#\s]+"") &amp; ""%') label Count(A) ''""),0)"),3.0)</f>
        <v>3</v>
      </c>
    </row>
    <row r="32">
      <c r="A32" s="139" t="s">
        <v>40</v>
      </c>
      <c r="B32" s="97">
        <f>IFERROR(__xludf.DUMMYFUNCTION("IFNA(QUERY('Karten(Set1+Set2)'!$A:$Q,""select count(A) where (C="" &amp; $A$4 &amp; "" AND F LIKE '%"" &amp; $A32 &amp; ""%' AND J='"" &amp; B$21 &amp; ""') label Count(A) ''""),0)"),0.0)</f>
        <v>0</v>
      </c>
      <c r="C32" s="97">
        <f>IFERROR(__xludf.DUMMYFUNCTION("IFNA(QUERY('Karten(Set1+Set2)'!$A:$Q,""select count(A) where (C="" &amp; $A$4 &amp; "" AND F LIKE '%"" &amp; $A32 &amp; ""%' AND J='"" &amp; C$21 &amp; ""') label Count(A) ''""),0)"),0.0)</f>
        <v>0</v>
      </c>
      <c r="D32" s="97">
        <f>IFERROR(__xludf.DUMMYFUNCTION("IFNA(QUERY('Karten(Set1+Set2)'!$A:$Q,""select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IFERROR(__xludf.DUMMYFUNCTION("IFNA(QUERY('Karten(Set1+Set2)'!$A:$Q,""select count(A) where (C="" &amp; $A$4 &amp; "" AND D LIKE '%"" &amp; $H32 &amp; ""%') label Count(A) ''""),0)"),11.0)</f>
        <v>11</v>
      </c>
      <c r="J32" s="138">
        <f>IFERROR(__xludf.DUMMYFUNCTION("IFNA(QUERY('Karten(Set1+Set2)'!$A:$Q,""select count(A) where (C="" &amp; $A$4 &amp; "" AND D LIKE '%"" &amp; $H32 &amp; ""%' AND B LIKE '%"" &amp; REGEXEXTRACT(J$20,""[^#\s]+"") &amp; ""%') label Count(A) ''""),0)"),1.0)</f>
        <v>1</v>
      </c>
      <c r="K32" s="138">
        <f>IFERROR(__xludf.DUMMYFUNCTION("IFNA(QUERY('Karten(Set1+Set2)'!$A:$Q,""select count(A) where (C="" &amp; $A$4 &amp; "" AND D LIKE '%"" &amp; $H32 &amp; ""%' AND B LIKE '%"" &amp; REGEXEXTRACT(K$20,""[^#\s]+"") &amp; ""%') label Count(A) ''""),0)"),4.0)</f>
        <v>4</v>
      </c>
      <c r="L32" s="138">
        <f>IFERROR(__xludf.DUMMYFUNCTION("IFNA(QUERY('Karten(Set1+Set2)'!$A:$Q,""select count(A) where (C="" &amp; $A$4 &amp; "" AND D LIKE '%"" &amp; $H32 &amp; ""%' AND B LIKE '%"" &amp; REGEXEXTRACT(L$20,""[^#\s]+"") &amp; ""%') label Count(A) ''""),0)"),2.0)</f>
        <v>2</v>
      </c>
      <c r="M32" s="138">
        <f>IFERROR(__xludf.DUMMYFUNCTION("IFNA(QUERY('Karten(Set1+Set2)'!$A:$Q,""select count(A) where (C="" &amp; $A$4 &amp; "" AND D LIKE '%"" &amp; $H32 &amp; ""%' AND B LIKE '%"" &amp; REGEXEXTRACT(M$20,""[^#\s]+"") &amp; ""%') label Count(A) ''""),0)"),1.0)</f>
        <v>1</v>
      </c>
      <c r="N32" s="138">
        <f>IFERROR(__xludf.DUMMYFUNCTION("IFNA(QUERY('Karten(Set1+Set2)'!$A:$Q,""select count(A) where (C="" &amp; $A$4 &amp; "" AND D LIKE '%"" &amp; $H32 &amp; ""%' AND B LIKE '%"" &amp; REGEXEXTRACT(N$20,""[^#\s]+"") &amp; ""%') label Count(A) ''""),0)"),4.0)</f>
        <v>4</v>
      </c>
    </row>
    <row r="33">
      <c r="A33" s="139" t="s">
        <v>1393</v>
      </c>
      <c r="B33" s="97">
        <f>IFERROR(__xludf.DUMMYFUNCTION("IFNA(QUERY('Karten(Set1+Set2)'!$A:$Q,""select count(A) where (C="" &amp; $A$4 &amp; "" AND F LIKE '%"" &amp; $A33 &amp; ""%' AND J='"" &amp; B$21 &amp; ""') label Count(A) ''""),0)"),0.0)</f>
        <v>0</v>
      </c>
      <c r="C33" s="97">
        <f>IFERROR(__xludf.DUMMYFUNCTION("IFNA(QUERY('Karten(Set1+Set2)'!$A:$Q,""select count(A) where (C="" &amp; $A$4 &amp; "" AND F LIKE '%"" &amp; $A33 &amp; ""%' AND J='"" &amp; C$21 &amp; ""') label Count(A) ''""),0)"),3.0)</f>
        <v>3</v>
      </c>
      <c r="D33" s="97">
        <f>IFERROR(__xludf.DUMMYFUNCTION("IFNA(QUERY('Karten(Set1+Set2)'!$A:$Q,""select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IFERROR(__xludf.DUMMYFUNCTION("IFNA(QUERY('Karten(Set1+Set2)'!$A:$Q,""select count(A) where (C="" &amp; $A$4 &amp; "" AND D LIKE '%"" &amp; $H33 &amp; ""%') label Count(A) ''""),0)"),10.0)</f>
        <v>10</v>
      </c>
      <c r="J33" s="138">
        <f>IFERROR(__xludf.DUMMYFUNCTION("IFNA(QUERY('Karten(Set1+Set2)'!$A:$Q,""select count(A) where (C="" &amp; $A$4 &amp; "" AND D LIKE '%"" &amp; $H33 &amp; ""%' AND B LIKE '%"" &amp; REGEXEXTRACT(J$20,""[^#\s]+"") &amp; ""%') label Count(A) ''""),0)"),4.0)</f>
        <v>4</v>
      </c>
      <c r="K33" s="138">
        <f>IFERROR(__xludf.DUMMYFUNCTION("IFNA(QUERY('Karten(Set1+Set2)'!$A:$Q,""select count(A) where (C="" &amp; $A$4 &amp; "" AND D LIKE '%"" &amp; $H33 &amp; ""%' AND B LIKE '%"" &amp; REGEXEXTRACT(K$20,""[^#\s]+"") &amp; ""%') label Count(A) ''""),0)"),4.0)</f>
        <v>4</v>
      </c>
      <c r="L33" s="138">
        <f>IFERROR(__xludf.DUMMYFUNCTION("IFNA(QUERY('Karten(Set1+Set2)'!$A:$Q,""select count(A) where (C="" &amp; $A$4 &amp; "" AND D LIKE '%"" &amp; $H33 &amp; ""%' AND B LIKE '%"" &amp; REGEXEXTRACT(L$20,""[^#\s]+"") &amp; ""%') label Count(A) ''""),0)"),4.0)</f>
        <v>4</v>
      </c>
      <c r="M33" s="138">
        <f>IFERROR(__xludf.DUMMYFUNCTION("IFNA(QUERY('Karten(Set1+Set2)'!$A:$Q,""select count(A) where (C="" &amp; $A$4 &amp; "" AND D LIKE '%"" &amp; $H33 &amp; ""%' AND B LIKE '%"" &amp; REGEXEXTRACT(M$20,""[^#\s]+"") &amp; ""%') label Count(A) ''""),0)"),4.0)</f>
        <v>4</v>
      </c>
      <c r="N33" s="138">
        <f>IFERROR(__xludf.DUMMYFUNCTION("IFNA(QUERY('Karten(Set1+Set2)'!$A:$Q,""select count(A) where (C="" &amp; $A$4 &amp; "" AND D LIKE '%"" &amp; $H33 &amp; ""%' AND B LIKE '%"" &amp; REGEXEXTRACT(N$20,""[^#\s]+"") &amp; ""%') label Count(A) ''""),0)"),4.0)</f>
        <v>4</v>
      </c>
    </row>
    <row r="34">
      <c r="A34" s="139" t="s">
        <v>1394</v>
      </c>
      <c r="B34" s="97">
        <f>IFERROR(__xludf.DUMMYFUNCTION("IFNA(QUERY('Karten(Set1+Set2)'!$A:$Q,""select count(A) where (C="" &amp; $A$4 &amp; "" AND F LIKE '%"" &amp; $A34 &amp; ""%' AND J='"" &amp; B$21 &amp; ""') label Count(A) ''""),0)"),6.0)</f>
        <v>6</v>
      </c>
      <c r="C34" s="97">
        <f>IFERROR(__xludf.DUMMYFUNCTION("IFNA(QUERY('Karten(Set1+Set2)'!$A:$Q,""select count(A) where (C="" &amp; $A$4 &amp; "" AND F LIKE '%"" &amp; $A34 &amp; ""%' AND J='"" &amp; C$21 &amp; ""') label Count(A) ''""),0)"),3.0)</f>
        <v>3</v>
      </c>
      <c r="D34" s="97">
        <f>IFERROR(__xludf.DUMMYFUNCTION("IFNA(QUERY('Karten(Set1+Set2)'!$A:$Q,""select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IFERROR(__xludf.DUMMYFUNCTION("IFNA(QUERY('Karten(Set1+Set2)'!$A:$Q,""select count(A) where (C="" &amp; $A$4 &amp; "" AND D LIKE '%"" &amp; $H34 &amp; ""%') label Count(A) ''""),0)"),18.0)</f>
        <v>18</v>
      </c>
      <c r="J34" s="138">
        <f>IFERROR(__xludf.DUMMYFUNCTION("IFNA(QUERY('Karten(Set1+Set2)'!$A:$Q,""select count(A) where (C="" &amp; $A$4 &amp; "" AND D LIKE '%"" &amp; $H34 &amp; ""%' AND B LIKE '%"" &amp; REGEXEXTRACT(J$20,""[^#\s]+"") &amp; ""%') label Count(A) ''""),0)"),2.0)</f>
        <v>2</v>
      </c>
      <c r="K34" s="138">
        <f>IFERROR(__xludf.DUMMYFUNCTION("IFNA(QUERY('Karten(Set1+Set2)'!$A:$Q,""select count(A) where (C="" &amp; $A$4 &amp; "" AND D LIKE '%"" &amp; $H34 &amp; ""%' AND B LIKE '%"" &amp; REGEXEXTRACT(K$20,""[^#\s]+"") &amp; ""%') label Count(A) ''""),0)"),14.0)</f>
        <v>14</v>
      </c>
      <c r="L34" s="138">
        <f>IFERROR(__xludf.DUMMYFUNCTION("IFNA(QUERY('Karten(Set1+Set2)'!$A:$Q,""select count(A) where (C="" &amp; $A$4 &amp; "" AND D LIKE '%"" &amp; $H34 &amp; ""%' AND B LIKE '%"" &amp; REGEXEXTRACT(L$20,""[^#\s]+"") &amp; ""%') label Count(A) ''""),0)"),1.0)</f>
        <v>1</v>
      </c>
      <c r="M34" s="138">
        <f>IFERROR(__xludf.DUMMYFUNCTION("IFNA(QUERY('Karten(Set1+Set2)'!$A:$Q,""select count(A) where (C="" &amp; $A$4 &amp; "" AND D LIKE '%"" &amp; $H34 &amp; ""%' AND B LIKE '%"" &amp; REGEXEXTRACT(M$20,""[^#\s]+"") &amp; ""%') label Count(A) ''""),0)"),2.0)</f>
        <v>2</v>
      </c>
      <c r="N34" s="138">
        <f>IFERROR(__xludf.DUMMYFUNCTION("IFNA(QUERY('Karten(Set1+Set2)'!$A:$Q,""select count(A) where (C="" &amp; $A$4 &amp; "" AND D LIKE '%"" &amp; $H34 &amp; ""%' AND B LIKE '%"" &amp; REGEXEXTRACT(N$20,""[^#\s]+"") &amp; ""%') label Count(A) ''""),0)"),1.0)</f>
        <v>1</v>
      </c>
    </row>
    <row r="35">
      <c r="H35" s="154" t="str">
        <f>IFERROR(__xludf.DUMMYFUNCTION("""COMPUTED_VALUE"""),"Demon")</f>
        <v>Demon</v>
      </c>
      <c r="I35" s="137">
        <f>IFERROR(__xludf.DUMMYFUNCTION("IFNA(QUERY('Karten(Set1+Set2)'!$A:$Q,""select count(A) where (C="" &amp; $A$4 &amp; "" AND D LIKE '%"" &amp; $H35 &amp; ""%') label Count(A) ''""),0)"),19.0)</f>
        <v>19</v>
      </c>
      <c r="J35" s="138">
        <f>IFERROR(__xludf.DUMMYFUNCTION("IFNA(QUERY('Karten(Set1+Set2)'!$A:$Q,""select count(A) where (C="" &amp; $A$4 &amp; "" AND D LIKE '%"" &amp; $H35 &amp; ""%' AND B LIKE '%"" &amp; REGEXEXTRACT(J$20,""[^#\s]+"") &amp; ""%') label Count(A) ''""),0)"),1.0)</f>
        <v>1</v>
      </c>
      <c r="K35" s="138">
        <f>IFERROR(__xludf.DUMMYFUNCTION("IFNA(QUERY('Karten(Set1+Set2)'!$A:$Q,""select count(A) where (C="" &amp; $A$4 &amp; "" AND D LIKE '%"" &amp; $H35 &amp; ""%' AND B LIKE '%"" &amp; REGEXEXTRACT(K$20,""[^#\s]+"") &amp; ""%') label Count(A) ''""),0)"),3.0)</f>
        <v>3</v>
      </c>
      <c r="L35" s="138">
        <f>IFERROR(__xludf.DUMMYFUNCTION("IFNA(QUERY('Karten(Set1+Set2)'!$A:$Q,""select count(A) where (C="" &amp; $A$4 &amp; "" AND D LIKE '%"" &amp; $H35 &amp; ""%' AND B LIKE '%"" &amp; REGEXEXTRACT(L$20,""[^#\s]+"") &amp; ""%') label Count(A) ''""),0)"),2.0)</f>
        <v>2</v>
      </c>
      <c r="M35" s="138">
        <f>IFERROR(__xludf.DUMMYFUNCTION("IFNA(QUERY('Karten(Set1+Set2)'!$A:$Q,""select count(A) where (C="" &amp; $A$4 &amp; "" AND D LIKE '%"" &amp; $H35 &amp; ""%' AND B LIKE '%"" &amp; REGEXEXTRACT(M$20,""[^#\s]+"") &amp; ""%') label Count(A) ''""),0)"),1.0)</f>
        <v>1</v>
      </c>
      <c r="N35" s="138">
        <f>IFERROR(__xludf.DUMMYFUNCTION("IFNA(QUERY('Karten(Set1+Set2)'!$A:$Q,""select count(A) where (C="" &amp; $A$4 &amp; "" AND D LIKE '%"" &amp; $H35 &amp; ""%' AND B LIKE '%"" &amp; REGEXEXTRACT(N$20,""[^#\s]+"") &amp; ""%') label Count(A) ''""),0)"),17.0)</f>
        <v>17</v>
      </c>
    </row>
    <row r="36">
      <c r="A36" s="105" t="s">
        <v>1395</v>
      </c>
      <c r="B36" s="134" t="s">
        <v>42</v>
      </c>
      <c r="C36" s="134" t="s">
        <v>50</v>
      </c>
      <c r="D36" s="134" t="s">
        <v>33</v>
      </c>
      <c r="E36" s="135" t="s">
        <v>1386</v>
      </c>
      <c r="H36" s="154"/>
      <c r="I36" s="155">
        <f>IFERROR(__xludf.DUMMYFUNCTION("IFNA(QUERY('Karten(Set1+Set2)'!$A:$Q,""select count(A) where (C="" &amp; $A$4 &amp; "" AND D LIKE '%"" &amp; $H36 &amp; ""%') label Count(A) ''""),0)"),170.0)</f>
        <v>170</v>
      </c>
      <c r="J36" s="138">
        <f>IFERROR(__xludf.DUMMYFUNCTION("IFNA(QUERY('Karten(Set1+Set2)'!$A:$Q,""select count(A) where (C="" &amp; $A$4 &amp; "" AND D LIKE '%"" &amp; $H36 &amp; ""%' AND B LIKE '%"" &amp; REGEXEXTRACT(J$20,""[^#\s]+"") &amp; ""%') label Count(A) ''""),0)"),40.0)</f>
        <v>40</v>
      </c>
      <c r="K36" s="138">
        <f>IFERROR(__xludf.DUMMYFUNCTION("IFNA(QUERY('Karten(Set1+Set2)'!$A:$Q,""select count(A) where (C="" &amp; $A$4 &amp; "" AND D LIKE '%"" &amp; $H36 &amp; ""%' AND B LIKE '%"" &amp; REGEXEXTRACT(K$20,""[^#\s]+"") &amp; ""%') label Count(A) ''""),0)"),40.0)</f>
        <v>40</v>
      </c>
      <c r="L36" s="138">
        <f>IFERROR(__xludf.DUMMYFUNCTION("IFNA(QUERY('Karten(Set1+Set2)'!$A:$Q,""select count(A) where (C="" &amp; $A$4 &amp; "" AND D LIKE '%"" &amp; $H36 &amp; ""%' AND B LIKE '%"" &amp; REGEXEXTRACT(L$20,""[^#\s]+"") &amp; ""%') label Count(A) ''""),0)"),41.0)</f>
        <v>41</v>
      </c>
      <c r="M36" s="138">
        <f>IFERROR(__xludf.DUMMYFUNCTION("IFNA(QUERY('Karten(Set1+Set2)'!$A:$Q,""select count(A) where (C="" &amp; $A$4 &amp; "" AND D LIKE '%"" &amp; $H36 &amp; ""%' AND B LIKE '%"" &amp; REGEXEXTRACT(M$20,""[^#\s]+"") &amp; ""%') label Count(A) ''""),0)"),38.0)</f>
        <v>38</v>
      </c>
      <c r="N36" s="138">
        <f>IFERROR(__xludf.DUMMYFUNCTION("IFNA(QUERY('Karten(Set1+Set2)'!$A:$Q,""select count(A) where (C="" &amp; $A$4 &amp; "" AND D LIKE '%"" &amp; $H36 &amp; ""%' AND B LIKE '%"" &amp; REGEXEXTRACT(N$20,""[^#\s]+"") &amp; ""%') label Count(A) ''""),0)"),37.0)</f>
        <v>37</v>
      </c>
    </row>
    <row r="37">
      <c r="A37" s="156" t="str">
        <f>IFERROR(__xludf.DUMMYFUNCTION("QUERY(UNIQUE(FLATTEN(MAP(UNIQUE(IFNA(QUERY('Karten(Set1+Set2)'!$A$2:$Q1000,""select D where (C="" &amp; $A$4 &amp; "")"")),""""),LAMBDA(x,(SPLIT(x,"" "")))))),""SELECT * WHERE (Col1 IS NOT NULL) AND (Col1 matches '^\w+$')"")"),"Angel")</f>
        <v>Angel</v>
      </c>
      <c r="B37" s="97">
        <f>IFERROR(__xludf.DUMMYFUNCTION("IF(ISBLANK($A37),"""",IFNA(QUERY('Karten(Set1+Set2)'!$A:$Q,""select count(A) where (C="" &amp; $A$4 &amp; "" AND D LIKE '%"" &amp; $A37 &amp; ""%' AND J='"" &amp; B$36 &amp; ""') label Count(A) ''""),0))"),5.0)</f>
        <v>5</v>
      </c>
      <c r="C37" s="97">
        <f>IFERROR(__xludf.DUMMYFUNCTION("IF(ISBLANK($A37),"""",IFNA(QUERY('Karten(Set1+Set2)'!$A:$Q,""select count(A) where (C="" &amp; $A$4 &amp; "" AND D LIKE '%"" &amp; $A37 &amp; ""%' AND J='"" &amp; C$36 &amp; ""') label Count(A) ''""),0))"),6.0)</f>
        <v>6</v>
      </c>
      <c r="D37" s="97">
        <f>IFERROR(__xludf.DUMMYFUNCTION("IF(ISBLANK($A37),"""",IFNA(QUERY('Karten(Set1+Set2)'!$A:$Q,""select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IFERROR(__xludf.DUMMYFUNCTION("IF(ISBLANK($A38),"""",IFNA(QUERY('Karten(Set1+Set2)'!$A:$Q,""select count(A) where (C="" &amp; $A$4 &amp; "" AND D LIKE '%"" &amp; $A38 &amp; ""%' AND J='"" &amp; B$36 &amp; ""') label Count(A) ''""),0))"),18.0)</f>
        <v>18</v>
      </c>
      <c r="C38" s="97">
        <f>IFERROR(__xludf.DUMMYFUNCTION("IF(ISBLANK($A38),"""",IFNA(QUERY('Karten(Set1+Set2)'!$A:$Q,""select count(A) where (C="" &amp; $A$4 &amp; "" AND D LIKE '%"" &amp; $A38 &amp; ""%' AND J='"" &amp; C$36 &amp; ""') label Count(A) ''""),0))"),9.0)</f>
        <v>9</v>
      </c>
      <c r="D38" s="97">
        <f>IFERROR(__xludf.DUMMYFUNCTION("IF(ISBLANK($A38),"""",IFNA(QUERY('Karten(Set1+Set2)'!$A:$Q,""select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IFERROR(__xludf.DUMMYFUNCTION("IF(ISBLANK($A39),"""",IFNA(QUERY('Karten(Set1+Set2)'!$A:$Q,""select count(A) where (C="" &amp; $A$4 &amp; "" AND D LIKE '%"" &amp; $A39 &amp; ""%' AND J='"" &amp; B$36 &amp; ""') label Count(A) ''""),0))"),14.0)</f>
        <v>14</v>
      </c>
      <c r="C39" s="97">
        <f>IFERROR(__xludf.DUMMYFUNCTION("IF(ISBLANK($A39),"""",IFNA(QUERY('Karten(Set1+Set2)'!$A:$Q,""select count(A) where (C="" &amp; $A$4 &amp; "" AND D LIKE '%"" &amp; $A39 &amp; ""%' AND J='"" &amp; C$36 &amp; ""') label Count(A) ''""),0))"),9.0)</f>
        <v>9</v>
      </c>
      <c r="D39" s="97">
        <f>IFERROR(__xludf.DUMMYFUNCTION("IF(ISBLANK($A39),"""",IFNA(QUERY('Karten(Set1+Set2)'!$A:$Q,""select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IFERROR(__xludf.DUMMYFUNCTION("IF(ISBLANK($A40),"""",IFNA(QUERY('Karten(Set1+Set2)'!$A:$Q,""select count(A) where (C="" &amp; $A$4 &amp; "" AND D LIKE '%"" &amp; $A40 &amp; ""%' AND J='"" &amp; B$36 &amp; ""') label Count(A) ''""),0))"),9.0)</f>
        <v>9</v>
      </c>
      <c r="C40" s="97">
        <f>IFERROR(__xludf.DUMMYFUNCTION("IF(ISBLANK($A40),"""",IFNA(QUERY('Karten(Set1+Set2)'!$A:$Q,""select count(A) where (C="" &amp; $A$4 &amp; "" AND D LIKE '%"" &amp; $A40 &amp; ""%' AND J='"" &amp; C$36 &amp; ""') label Count(A) ''""),0))"),9.0)</f>
        <v>9</v>
      </c>
      <c r="D40" s="97">
        <f>IFERROR(__xludf.DUMMYFUNCTION("IF(ISBLANK($A40),"""",IFNA(QUERY('Karten(Set1+Set2)'!$A:$Q,""select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IFERROR(__xludf.DUMMYFUNCTION("IF(ISBLANK($A41),"""",IFNA(QUERY('Karten(Set1+Set2)'!$A:$Q,""select count(A) where (C="" &amp; $A$4 &amp; "" AND D LIKE '%"" &amp; $A41 &amp; ""%' AND J='"" &amp; B$36 &amp; ""') label Count(A) ''""),0))"),11.0)</f>
        <v>11</v>
      </c>
      <c r="C41" s="97">
        <f>IFERROR(__xludf.DUMMYFUNCTION("IF(ISBLANK($A41),"""",IFNA(QUERY('Karten(Set1+Set2)'!$A:$Q,""select count(A) where (C="" &amp; $A$4 &amp; "" AND D LIKE '%"" &amp; $A41 &amp; ""%' AND J='"" &amp; C$36 &amp; ""') label Count(A) ''""),0))"),2.0)</f>
        <v>2</v>
      </c>
      <c r="D41" s="97">
        <f>IFERROR(__xludf.DUMMYFUNCTION("IF(ISBLANK($A41),"""",IFNA(QUERY('Karten(Set1+Set2)'!$A:$Q,""select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IFERROR(__xludf.DUMMYFUNCTION("IF(ISBLANK($A42),"""",IFNA(QUERY('Karten(Set1+Set2)'!$A:$Q,""select count(A) where (C="" &amp; $A$4 &amp; "" AND D LIKE '%"" &amp; $A42 &amp; ""%' AND J='"" &amp; B$36 &amp; ""') label Count(A) ''""),0))"),12.0)</f>
        <v>12</v>
      </c>
      <c r="C42" s="97">
        <f>IFERROR(__xludf.DUMMYFUNCTION("IF(ISBLANK($A42),"""",IFNA(QUERY('Karten(Set1+Set2)'!$A:$Q,""select count(A) where (C="" &amp; $A$4 &amp; "" AND D LIKE '%"" &amp; $A42 &amp; ""%' AND J='"" &amp; C$36 &amp; ""') label Count(A) ''""),0))"),7.0)</f>
        <v>7</v>
      </c>
      <c r="D42" s="97">
        <f>IFERROR(__xludf.DUMMYFUNCTION("IF(ISBLANK($A42),"""",IFNA(QUERY('Karten(Set1+Set2)'!$A:$Q,""select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IFERROR(__xludf.DUMMYFUNCTION("IF(ISBLANK($A43),"""",IFNA(QUERY('Karten(Set1+Set2)'!$A:$Q,""select count(A) where (C="" &amp; $A$4 &amp; "" AND D LIKE '%"" &amp; $A43 &amp; ""%' AND J='"" &amp; B$36 &amp; ""') label Count(A) ''""),0))"),14.0)</f>
        <v>14</v>
      </c>
      <c r="C43" s="97">
        <f>IFERROR(__xludf.DUMMYFUNCTION("IF(ISBLANK($A43),"""",IFNA(QUERY('Karten(Set1+Set2)'!$A:$Q,""select count(A) where (C="" &amp; $A$4 &amp; "" AND D LIKE '%"" &amp; $A43 &amp; ""%' AND J='"" &amp; C$36 &amp; ""') label Count(A) ''""),0))"),3.0)</f>
        <v>3</v>
      </c>
      <c r="D43" s="97">
        <f>IFERROR(__xludf.DUMMYFUNCTION("IF(ISBLANK($A43),"""",IFNA(QUERY('Karten(Set1+Set2)'!$A:$Q,""select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IFERROR(__xludf.DUMMYFUNCTION("IF(ISBLANK($A44),"""",IFNA(QUERY('Karten(Set1+Set2)'!$A:$Q,""select count(A) where (C="" &amp; $A$4 &amp; "" AND D LIKE '%"" &amp; $A44 &amp; ""%' AND J='"" &amp; B$36 &amp; ""') label Count(A) ''""),0))"),5.0)</f>
        <v>5</v>
      </c>
      <c r="C44" s="97">
        <f>IFERROR(__xludf.DUMMYFUNCTION("IF(ISBLANK($A44),"""",IFNA(QUERY('Karten(Set1+Set2)'!$A:$Q,""select count(A) where (C="" &amp; $A$4 &amp; "" AND D LIKE '%"" &amp; $A44 &amp; ""%' AND J='"" &amp; C$36 &amp; ""') label Count(A) ''""),0))"),10.0)</f>
        <v>10</v>
      </c>
      <c r="D44" s="97">
        <f>IFERROR(__xludf.DUMMYFUNCTION("IF(ISBLANK($A44),"""",IFNA(QUERY('Karten(Set1+Set2)'!$A:$Q,""select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IFERROR(__xludf.DUMMYFUNCTION("IF(ISBLANK($A45),"""",IFNA(QUERY('Karten(Set1+Set2)'!$A:$Q,""select count(A) where (C="" &amp; $A$4 &amp; "" AND D LIKE '%"" &amp; $A45 &amp; ""%' AND J='"" &amp; B$36 &amp; ""') label Count(A) ''""),0))"),12.0)</f>
        <v>12</v>
      </c>
      <c r="C45" s="97">
        <f>IFERROR(__xludf.DUMMYFUNCTION("IF(ISBLANK($A45),"""",IFNA(QUERY('Karten(Set1+Set2)'!$A:$Q,""select count(A) where (C="" &amp; $A$4 &amp; "" AND D LIKE '%"" &amp; $A45 &amp; ""%' AND J='"" &amp; C$36 &amp; ""') label Count(A) ''""),0))"),6.0)</f>
        <v>6</v>
      </c>
      <c r="D45" s="97">
        <f>IFERROR(__xludf.DUMMYFUNCTION("IF(ISBLANK($A45),"""",IFNA(QUERY('Karten(Set1+Set2)'!$A:$Q,""select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IFERROR(__xludf.DUMMYFUNCTION("IF(ISBLANK($A46),"""",IFNA(QUERY('Karten(Set1+Set2)'!$A:$Q,""select count(A) where (C="" &amp; $A$4 &amp; "" AND D LIKE '%"" &amp; $A46 &amp; ""%' AND J='"" &amp; B$36 &amp; ""') label Count(A) ''""),0))"),8.0)</f>
        <v>8</v>
      </c>
      <c r="C46" s="97">
        <f>IFERROR(__xludf.DUMMYFUNCTION("IF(ISBLANK($A46),"""",IFNA(QUERY('Karten(Set1+Set2)'!$A:$Q,""select count(A) where (C="" &amp; $A$4 &amp; "" AND D LIKE '%"" &amp; $A46 &amp; ""%' AND J='"" &amp; C$36 &amp; ""') label Count(A) ''""),0))"),5.0)</f>
        <v>5</v>
      </c>
      <c r="D46" s="97">
        <f>IFERROR(__xludf.DUMMYFUNCTION("IF(ISBLANK($A46),"""",IFNA(QUERY('Karten(Set1+Set2)'!$A:$Q,""select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IFERROR(__xludf.DUMMYFUNCTION("IF(ISBLANK($A47),"""",IFNA(QUERY('Karten(Set1+Set2)'!$A:$Q,""select count(A) where (C="" &amp; $A$4 &amp; "" AND D LIKE '%"" &amp; $A47 &amp; ""%' AND J='"" &amp; B$36 &amp; ""') label Count(A) ''""),0))"),13.0)</f>
        <v>13</v>
      </c>
      <c r="C47" s="97">
        <f>IFERROR(__xludf.DUMMYFUNCTION("IF(ISBLANK($A47),"""",IFNA(QUERY('Karten(Set1+Set2)'!$A:$Q,""select count(A) where (C="" &amp; $A$4 &amp; "" AND D LIKE '%"" &amp; $A47 &amp; ""%' AND J='"" &amp; C$36 &amp; ""') label Count(A) ''""),0))"),9.0)</f>
        <v>9</v>
      </c>
      <c r="D47" s="97">
        <f>IFERROR(__xludf.DUMMYFUNCTION("IF(ISBLANK($A47),"""",IFNA(QUERY('Karten(Set1+Set2)'!$A:$Q,""select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IFERROR(__xludf.DUMMYFUNCTION("IF(ISBLANK($A48),"""",IFNA(QUERY('Karten(Set1+Set2)'!$A:$Q,""select count(A) where (C="" &amp; $A$4 &amp; "" AND D LIKE '%"" &amp; $A48 &amp; ""%' AND J='"" &amp; B$36 &amp; ""') label Count(A) ''""),0))"),4.0)</f>
        <v>4</v>
      </c>
      <c r="C48" s="97">
        <f>IFERROR(__xludf.DUMMYFUNCTION("IF(ISBLANK($A48),"""",IFNA(QUERY('Karten(Set1+Set2)'!$A:$Q,""select count(A) where (C="" &amp; $A$4 &amp; "" AND D LIKE '%"" &amp; $A48 &amp; ""%' AND J='"" &amp; C$36 &amp; ""') label Count(A) ''""),0))"),6.0)</f>
        <v>6</v>
      </c>
      <c r="D48" s="97">
        <f>IFERROR(__xludf.DUMMYFUNCTION("IF(ISBLANK($A48),"""",IFNA(QUERY('Karten(Set1+Set2)'!$A:$Q,""select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IFERROR(__xludf.DUMMYFUNCTION("IF(ISBLANK($A49),"""",IFNA(QUERY('Karten(Set1+Set2)'!$A:$Q,""select count(A) where (C="" &amp; $A$4 &amp; "" AND D LIKE '%"" &amp; $A49 &amp; ""%' AND J='"" &amp; B$36 &amp; ""') label Count(A) ''""),0))"),10.0)</f>
        <v>10</v>
      </c>
      <c r="C49" s="97">
        <f>IFERROR(__xludf.DUMMYFUNCTION("IF(ISBLANK($A49),"""",IFNA(QUERY('Karten(Set1+Set2)'!$A:$Q,""select count(A) where (C="" &amp; $A$4 &amp; "" AND D LIKE '%"" &amp; $A49 &amp; ""%' AND J='"" &amp; C$36 &amp; ""') label Count(A) ''""),0))"),0.0)</f>
        <v>0</v>
      </c>
      <c r="D49" s="97">
        <f>IFERROR(__xludf.DUMMYFUNCTION("IF(ISBLANK($A49),"""",IFNA(QUERY('Karten(Set1+Set2)'!$A:$Q,""select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IFERROR(__xludf.DUMMYFUNCTION("IF(ISBLANK($A50),"""",IFNA(QUERY('Karten(Set1+Set2)'!$A:$Q,""select count(A) where (C="" &amp; $A$4 &amp; "" AND D LIKE '%"" &amp; $A50 &amp; ""%' AND J='"" &amp; B$36 &amp; ""') label Count(A) ''""),0))"),8.0)</f>
        <v>8</v>
      </c>
      <c r="C50" s="97">
        <f>IFERROR(__xludf.DUMMYFUNCTION("IF(ISBLANK($A50),"""",IFNA(QUERY('Karten(Set1+Set2)'!$A:$Q,""select count(A) where (C="" &amp; $A$4 &amp; "" AND D LIKE '%"" &amp; $A50 &amp; ""%' AND J='"" &amp; C$36 &amp; ""') label Count(A) ''""),0))"),6.0)</f>
        <v>6</v>
      </c>
      <c r="D50" s="97">
        <f>IFERROR(__xludf.DUMMYFUNCTION("IF(ISBLANK($A50),"""",IFNA(QUERY('Karten(Set1+Set2)'!$A:$Q,""select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IFERROR(__xludf.DUMMYFUNCTION("IF(ISBLANK($A51),"""",IFNA(QUERY('Karten(Set1+Set2)'!$A:$Q,""select count(A) where (C="" &amp; $A$4 &amp; "" AND D LIKE '%"" &amp; $A51 &amp; ""%' AND J='"" &amp; B$36 &amp; ""') label Count(A) ''""),0))"),11.0)</f>
        <v>11</v>
      </c>
      <c r="C51" s="97">
        <f>IFERROR(__xludf.DUMMYFUNCTION("IF(ISBLANK($A51),"""",IFNA(QUERY('Karten(Set1+Set2)'!$A:$Q,""select count(A) where (C="" &amp; $A$4 &amp; "" AND D LIKE '%"" &amp; $A51 &amp; ""%' AND J='"" &amp; C$36 &amp; ""') label Count(A) ''""),0))"),3.0)</f>
        <v>3</v>
      </c>
      <c r="D51" s="97">
        <f>IFERROR(__xludf.DUMMYFUNCTION("IF(ISBLANK($A51),"""",IFNA(QUERY('Karten(Set1+Set2)'!$A:$Q,""select count(A) where (C="" &amp; $A$4 &amp; "" AND D LIKE '%"" &amp; $A51 &amp; ""%' AND J='"" &amp; D$36 &amp; ""') label Count(A) ''""),0))"),5.0)</f>
        <v>5</v>
      </c>
      <c r="E51" s="140">
        <f t="shared" si="4"/>
        <v>19</v>
      </c>
      <c r="F51" s="141">
        <f t="shared" si="5"/>
        <v>0.1117647059</v>
      </c>
    </row>
    <row r="52">
      <c r="A52" s="158"/>
      <c r="B52" s="97" t="str">
        <f>IFERROR(__xludf.DUMMYFUNCTION("IF(ISBLANK($A52),"""",IFNA(QUERY('Karten(Set1+Set2)'!$A:$Q,""select count(A) where (C="" &amp; $A$4 &amp; "" AND D LIKE '%"" &amp; $A52 &amp; ""%' AND J='"" &amp; B$36 &amp; ""') label Count(A) ''""),0))"),"")</f>
        <v/>
      </c>
      <c r="C52" s="97" t="str">
        <f>IFERROR(__xludf.DUMMYFUNCTION("IF(ISBLANK($A52),"""",IFNA(QUERY('Karten(Set1+Set2)'!$A:$Q,""select count(A) where (C="" &amp; $A$4 &amp; "" AND D LIKE '%"" &amp; $A52 &amp; ""%' AND J='"" &amp; C$36 &amp; ""') label Count(A) ''""),0))"),"")</f>
        <v/>
      </c>
      <c r="D52" s="97" t="str">
        <f>IFERROR(__xludf.DUMMYFUNCTION("IF(ISBLANK($A52),"""",IFNA(QUERY('Karten(Set1+Set2)'!$A:$Q,""select count(A) where (C="" &amp; $A$4 &amp; "" AND D LIKE '%"" &amp; $A52 &amp; ""%' AND J='"" &amp; D$36 &amp; ""') label Count(A) ''""),0))"),"")</f>
        <v/>
      </c>
      <c r="E52" s="140" t="str">
        <f t="shared" si="4"/>
        <v/>
      </c>
      <c r="F52" s="141" t="str">
        <f t="shared" si="5"/>
        <v/>
      </c>
    </row>
    <row r="53">
      <c r="B53" s="97" t="str">
        <f>IFERROR(__xludf.DUMMYFUNCTION("IF(ISBLANK($A53),"""",IFNA(QUERY('Karten(Set1+Set2)'!$A:$Q,""select count(A) where (C="" &amp; $A$4 &amp; "" AND D LIKE '%"" &amp; $A53 &amp; ""%' AND J='"" &amp; B$36 &amp; ""') label Count(A) ''""),0))"),"")</f>
        <v/>
      </c>
      <c r="C53" s="97" t="str">
        <f>IFERROR(__xludf.DUMMYFUNCTION("IF(ISBLANK($A53),"""",IFNA(QUERY('Karten(Set1+Set2)'!$A:$Q,""select count(A) where (C="" &amp; $A$4 &amp; "" AND D LIKE '%"" &amp; $A53 &amp; ""%' AND J='"" &amp; C$36 &amp; ""') label Count(A) ''""),0))"),"")</f>
        <v/>
      </c>
      <c r="D53" s="97" t="str">
        <f>IFERROR(__xludf.DUMMYFUNCTION("IF(ISBLANK($A53),"""",IFNA(QUERY('Karten(Set1+Set2)'!$A:$Q,""select count(A) where (C="" &amp; $A$4 &amp; "" AND D LIKE '%"" &amp; $A53 &amp; ""%' AND J='"" &amp; D$36 &amp; ""') label Count(A) ''""),0))"),"")</f>
        <v/>
      </c>
      <c r="E53" s="140" t="str">
        <f t="shared" si="4"/>
        <v/>
      </c>
      <c r="F53" s="141" t="str">
        <f t="shared" si="5"/>
        <v/>
      </c>
    </row>
    <row r="54">
      <c r="B54" s="97" t="str">
        <f>IFERROR(__xludf.DUMMYFUNCTION("IF(ISBLANK($A54),"""",IFNA(QUERY('Karten(Set1+Set2)'!$A:$Q,""select count(A) where (C="" &amp; $A$4 &amp; "" AND D LIKE '%"" &amp; $A54 &amp; ""%' AND J='"" &amp; B$36 &amp; ""') label Count(A) ''""),0))"),"")</f>
        <v/>
      </c>
      <c r="C54" s="97" t="str">
        <f>IFERROR(__xludf.DUMMYFUNCTION("IF(ISBLANK($A54),"""",IFNA(QUERY('Karten(Set1+Set2)'!$A:$Q,""select count(A) where (C="" &amp; $A$4 &amp; "" AND D LIKE '%"" &amp; $A54 &amp; ""%' AND J='"" &amp; C$36 &amp; ""') label Count(A) ''""),0))"),"")</f>
        <v/>
      </c>
      <c r="D54" s="97" t="str">
        <f>IFERROR(__xludf.DUMMYFUNCTION("IF(ISBLANK($A54),"""",IFNA(QUERY('Karten(Set1+Set2)'!$A:$Q,""select count(A) where (C="" &amp; $A$4 &amp; "" AND D LIKE '%"" &amp; $A54 &amp; ""%' AND J='"" &amp; D$36 &amp; ""') label Count(A) ''""),0))"),"")</f>
        <v/>
      </c>
      <c r="E54" s="140" t="str">
        <f t="shared" si="4"/>
        <v/>
      </c>
      <c r="F54" s="141" t="str">
        <f t="shared" si="5"/>
        <v/>
      </c>
    </row>
    <row r="55">
      <c r="B55" s="97" t="str">
        <f>IFERROR(__xludf.DUMMYFUNCTION("IF(ISBLANK($A55),"""",IFNA(QUERY('Karten(Set1+Set2)'!$A:$Q,""select count(A) where (C="" &amp; $A$4 &amp; "" AND D LIKE '%"" &amp; $A55 &amp; ""%' AND J='"" &amp; B$36 &amp; ""') label Count(A) ''""),0))"),"")</f>
        <v/>
      </c>
      <c r="C55" s="97" t="str">
        <f>IFERROR(__xludf.DUMMYFUNCTION("IF(ISBLANK($A55),"""",IFNA(QUERY('Karten(Set1+Set2)'!$A:$Q,""select count(A) where (C="" &amp; $A$4 &amp; "" AND D LIKE '%"" &amp; $A55 &amp; ""%' AND J='"" &amp; C$36 &amp; ""') label Count(A) ''""),0))"),"")</f>
        <v/>
      </c>
      <c r="D55" s="97" t="str">
        <f>IFERROR(__xludf.DUMMYFUNCTION("IF(ISBLANK($A55),"""",IFNA(QUERY('Karten(Set1+Set2)'!$A:$Q,""select count(A) where (C="" &amp; $A$4 &amp; "" AND D LIKE '%"" &amp; $A55 &amp; ""%' AND J='"" &amp; D$36 &amp; ""') label Count(A) ''""),0))"),"")</f>
        <v/>
      </c>
      <c r="E55" s="140" t="str">
        <f t="shared" si="4"/>
        <v/>
      </c>
      <c r="F55" s="141" t="str">
        <f t="shared" si="5"/>
        <v/>
      </c>
    </row>
    <row r="56">
      <c r="B56" s="97" t="str">
        <f>IFERROR(__xludf.DUMMYFUNCTION("IF(ISBLANK($A56),"""",IFNA(QUERY('Karten(Set1+Set2)'!$A:$Q,""select count(A) where (C="" &amp; $A$4 &amp; "" AND D LIKE '%"" &amp; $A56 &amp; ""%' AND J='"" &amp; B$36 &amp; ""') label Count(A) ''""),0))"),"")</f>
        <v/>
      </c>
      <c r="C56" s="97" t="str">
        <f>IFERROR(__xludf.DUMMYFUNCTION("IF(ISBLANK($A56),"""",IFNA(QUERY('Karten(Set1+Set2)'!$A:$Q,""select count(A) where (C="" &amp; $A$4 &amp; "" AND D LIKE '%"" &amp; $A56 &amp; ""%' AND J='"" &amp; C$36 &amp; ""') label Count(A) ''""),0))"),"")</f>
        <v/>
      </c>
      <c r="D56" s="97" t="str">
        <f>IFERROR(__xludf.DUMMYFUNCTION("IF(ISBLANK($A56),"""",IFNA(QUERY('Karten(Set1+Set2)'!$A:$Q,""select count(A) where (C="" &amp; $A$4 &amp; "" AND D LIKE '%"" &amp; $A56 &amp; ""%' AND J='"" &amp; D$36 &amp; ""') label Count(A) ''""),0))"),"")</f>
        <v/>
      </c>
      <c r="E56" s="140" t="str">
        <f t="shared" si="4"/>
        <v/>
      </c>
      <c r="F56" s="141" t="str">
        <f t="shared" si="5"/>
        <v/>
      </c>
    </row>
    <row r="57">
      <c r="B57" s="97" t="str">
        <f>IFERROR(__xludf.DUMMYFUNCTION("IF(ISBLANK($A57),"""",IFNA(QUERY('Karten(Set1+Set2)'!$A:$Q,""select count(A) where (C="" &amp; $A$4 &amp; "" AND D LIKE '%"" &amp; $A57 &amp; ""%' AND J='"" &amp; B$36 &amp; ""') label Count(A) ''""),0))"),"")</f>
        <v/>
      </c>
      <c r="C57" s="97" t="str">
        <f>IFERROR(__xludf.DUMMYFUNCTION("IF(ISBLANK($A57),"""",IFNA(QUERY('Karten(Set1+Set2)'!$A:$Q,""select count(A) where (C="" &amp; $A$4 &amp; "" AND D LIKE '%"" &amp; $A57 &amp; ""%' AND J='"" &amp; C$36 &amp; ""') label Count(A) ''""),0))"),"")</f>
        <v/>
      </c>
      <c r="D57" s="97" t="str">
        <f>IFERROR(__xludf.DUMMYFUNCTION("IF(ISBLANK($A57),"""",IFNA(QUERY('Karten(Set1+Set2)'!$A:$Q,""select count(A) where (C="" &amp; $A$4 &amp; "" AND D LIKE '%"" &amp; $A57 &amp; ""%' AND J='"" &amp; D$36 &amp; ""') label Count(A) ''""),0))"),"")</f>
        <v/>
      </c>
      <c r="E57" s="140" t="str">
        <f t="shared" si="4"/>
        <v/>
      </c>
      <c r="F57" s="141" t="str">
        <f t="shared" si="5"/>
        <v/>
      </c>
    </row>
    <row r="58">
      <c r="B58" s="97" t="str">
        <f>IFERROR(__xludf.DUMMYFUNCTION("IF(ISBLANK($A58),"""",IFNA(QUERY('Karten(Set1+Set2)'!$A:$Q,""select count(A) where (C="" &amp; $A$4 &amp; "" AND D LIKE '%"" &amp; $A58 &amp; ""%' AND J='"" &amp; B$36 &amp; ""') label Count(A) ''""),0))"),"")</f>
        <v/>
      </c>
      <c r="C58" s="97" t="str">
        <f>IFERROR(__xludf.DUMMYFUNCTION("IF(ISBLANK($A58),"""",IFNA(QUERY('Karten(Set1+Set2)'!$A:$Q,""select count(A) where (C="" &amp; $A$4 &amp; "" AND D LIKE '%"" &amp; $A58 &amp; ""%' AND J='"" &amp; C$36 &amp; ""') label Count(A) ''""),0))"),"")</f>
        <v/>
      </c>
      <c r="D58" s="97" t="str">
        <f>IFERROR(__xludf.DUMMYFUNCTION("IF(ISBLANK($A58),"""",IFNA(QUERY('Karten(Set1+Set2)'!$A:$Q,""select count(A) where (C="" &amp; $A$4 &amp; "" AND D LIKE '%"" &amp; $A58 &amp; ""%' AND J='"" &amp; D$36 &amp; ""') label Count(A) ''""),0))"),"")</f>
        <v/>
      </c>
      <c r="E58" s="140" t="str">
        <f t="shared" si="4"/>
        <v/>
      </c>
      <c r="F58" s="141" t="str">
        <f t="shared" si="5"/>
        <v/>
      </c>
    </row>
    <row r="59">
      <c r="B59" s="97" t="str">
        <f>IFERROR(__xludf.DUMMYFUNCTION("IF(ISBLANK($A59),"""",IFNA(QUERY('Karten(Set1+Set2)'!$A:$Q,""select count(A) where (C="" &amp; $A$4 &amp; "" AND D LIKE '%"" &amp; $A59 &amp; ""%' AND J='"" &amp; B$36 &amp; ""') label Count(A) ''""),0))"),"")</f>
        <v/>
      </c>
      <c r="C59" s="97" t="str">
        <f>IFERROR(__xludf.DUMMYFUNCTION("IF(ISBLANK($A59),"""",IFNA(QUERY('Karten(Set1+Set2)'!$A:$Q,""select count(A) where (C="" &amp; $A$4 &amp; "" AND D LIKE '%"" &amp; $A59 &amp; ""%' AND J='"" &amp; C$36 &amp; ""') label Count(A) ''""),0))"),"")</f>
        <v/>
      </c>
      <c r="D59" s="97" t="str">
        <f>IFERROR(__xludf.DUMMYFUNCTION("IF(ISBLANK($A59),"""",IFNA(QUERY('Karten(Set1+Set2)'!$A:$Q,""select count(A) where (C="" &amp; $A$4 &amp; "" AND D LIKE '%"" &amp; $A59 &amp; ""%' AND J='"" &amp; D$36 &amp; ""') label Count(A) ''""),0))"),"")</f>
        <v/>
      </c>
      <c r="E59" s="140" t="str">
        <f t="shared" si="4"/>
        <v/>
      </c>
      <c r="F59" s="141" t="str">
        <f t="shared" si="5"/>
        <v/>
      </c>
    </row>
    <row r="60">
      <c r="B60" s="97" t="str">
        <f>IFERROR(__xludf.DUMMYFUNCTION("IF(ISBLANK($A60),"""",IFNA(QUERY('Karten(Set1+Set2)'!$A:$Q,""select count(A) where (C="" &amp; $A$4 &amp; "" AND D LIKE '%"" &amp; $A60 &amp; ""%' AND J='"" &amp; B$36 &amp; ""') label Count(A) ''""),0))"),"")</f>
        <v/>
      </c>
      <c r="C60" s="97" t="str">
        <f>IFERROR(__xludf.DUMMYFUNCTION("IF(ISBLANK($A60),"""",IFNA(QUERY('Karten(Set1+Set2)'!$A:$Q,""select count(A) where (C="" &amp; $A$4 &amp; "" AND D LIKE '%"" &amp; $A60 &amp; ""%' AND J='"" &amp; C$36 &amp; ""') label Count(A) ''""),0))"),"")</f>
        <v/>
      </c>
      <c r="D60" s="97" t="str">
        <f>IFERROR(__xludf.DUMMYFUNCTION("IF(ISBLANK($A60),"""",IFNA(QUERY('Karten(Set1+Set2)'!$A:$Q,""select count(A) where (C="" &amp; $A$4 &amp; "" AND D LIKE '%"" &amp; $A60 &amp; ""%' AND J='"" &amp; D$36 &amp; ""') label Count(A) ''""),0))"),"")</f>
        <v/>
      </c>
      <c r="E60" s="140" t="str">
        <f t="shared" si="4"/>
        <v/>
      </c>
      <c r="F60" s="141" t="str">
        <f t="shared" si="5"/>
        <v/>
      </c>
    </row>
    <row r="61">
      <c r="B61" s="97" t="str">
        <f>IFERROR(__xludf.DUMMYFUNCTION("IF(ISBLANK($A61),"""",IFNA(QUERY('Karten(Set1+Set2)'!$A:$Q,""select count(A) where (C="" &amp; $A$4 &amp; "" AND D LIKE '%"" &amp; $A61 &amp; ""%' AND J='"" &amp; B$36 &amp; ""') label Count(A) ''""),0))"),"")</f>
        <v/>
      </c>
      <c r="C61" s="97" t="str">
        <f>IFERROR(__xludf.DUMMYFUNCTION("IF(ISBLANK($A61),"""",IFNA(QUERY('Karten(Set1+Set2)'!$A:$Q,""select count(A) where (C="" &amp; $A$4 &amp; "" AND D LIKE '%"" &amp; $A61 &amp; ""%' AND J='"" &amp; C$36 &amp; ""') label Count(A) ''""),0))"),"")</f>
        <v/>
      </c>
      <c r="D61" s="97" t="str">
        <f>IFERROR(__xludf.DUMMYFUNCTION("IF(ISBLANK($A61),"""",IFNA(QUERY('Karten(Set1+Set2)'!$A:$Q,""select count(A) where (C="" &amp; $A$4 &amp; "" AND D LIKE '%"" &amp; $A61 &amp; ""%' AND J='"" &amp; D$36 &amp; ""') label Count(A) ''""),0))"),"")</f>
        <v/>
      </c>
      <c r="E61" s="140" t="str">
        <f t="shared" si="4"/>
        <v/>
      </c>
      <c r="F61" s="141" t="str">
        <f t="shared" si="5"/>
        <v/>
      </c>
    </row>
    <row r="62">
      <c r="B62" s="97" t="str">
        <f>IFERROR(__xludf.DUMMYFUNCTION("IF(ISBLANK($A62),"""",IFNA(QUERY('Karten(Set1+Set2)'!$A:$Q,""select count(A) where (C="" &amp; $A$4 &amp; "" AND D LIKE '%"" &amp; $A62 &amp; ""%' AND J='"" &amp; B$36 &amp; ""') label Count(A) ''""),0))"),"")</f>
        <v/>
      </c>
      <c r="C62" s="97" t="str">
        <f>IFERROR(__xludf.DUMMYFUNCTION("IF(ISBLANK($A62),"""",IFNA(QUERY('Karten(Set1+Set2)'!$A:$Q,""select count(A) where (C="" &amp; $A$4 &amp; "" AND D LIKE '%"" &amp; $A62 &amp; ""%' AND J='"" &amp; C$36 &amp; ""') label Count(A) ''""),0))"),"")</f>
        <v/>
      </c>
      <c r="D62" s="97" t="str">
        <f>IFERROR(__xludf.DUMMYFUNCTION("IF(ISBLANK($A62),"""",IFNA(QUERY('Karten(Set1+Set2)'!$A:$Q,""select count(A) where (C="" &amp; $A$4 &amp; "" AND D LIKE '%"" &amp; $A62 &amp; ""%' AND J='"" &amp; D$36 &amp; ""') label Count(A) ''""),0))"),"")</f>
        <v/>
      </c>
      <c r="E62" s="140" t="str">
        <f t="shared" si="4"/>
        <v/>
      </c>
      <c r="F62" s="141" t="str">
        <f t="shared" si="5"/>
        <v/>
      </c>
    </row>
    <row r="63">
      <c r="B63" s="97" t="str">
        <f>IFERROR(__xludf.DUMMYFUNCTION("IF(ISBLANK($A63),"""",IFNA(QUERY('Karten(Set1+Set2)'!$A:$Q,""select count(A) where (C="" &amp; $A$4 &amp; "" AND D LIKE '%"" &amp; $A63 &amp; ""%' AND J='"" &amp; B$36 &amp; ""') label Count(A) ''""),0))"),"")</f>
        <v/>
      </c>
      <c r="C63" s="97" t="str">
        <f>IFERROR(__xludf.DUMMYFUNCTION("IF(ISBLANK($A63),"""",IFNA(QUERY('Karten(Set1+Set2)'!$A:$Q,""select count(A) where (C="" &amp; $A$4 &amp; "" AND D LIKE '%"" &amp; $A63 &amp; ""%' AND J='"" &amp; C$36 &amp; ""') label Count(A) ''""),0))"),"")</f>
        <v/>
      </c>
      <c r="D63" s="97" t="str">
        <f>IFERROR(__xludf.DUMMYFUNCTION("IF(ISBLANK($A63),"""",IFNA(QUERY('Karten(Set1+Set2)'!$A:$Q,""select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1396</v>
      </c>
      <c r="G1" s="5" t="s">
        <v>1397</v>
      </c>
      <c r="H1" s="5" t="s">
        <v>1398</v>
      </c>
      <c r="I1" s="159" t="s">
        <v>6</v>
      </c>
      <c r="J1" s="160" t="s">
        <v>7</v>
      </c>
      <c r="K1" s="160" t="s">
        <v>8</v>
      </c>
      <c r="L1" s="161" t="s">
        <v>9</v>
      </c>
      <c r="M1" s="162" t="s">
        <v>10</v>
      </c>
      <c r="N1" s="19" t="s">
        <v>11</v>
      </c>
      <c r="O1" s="19" t="s">
        <v>12</v>
      </c>
      <c r="P1" s="19" t="s">
        <v>13</v>
      </c>
      <c r="Q1" s="19" t="s">
        <v>14</v>
      </c>
      <c r="R1" s="19" t="s">
        <v>15</v>
      </c>
      <c r="S1" s="19" t="s">
        <v>16</v>
      </c>
    </row>
    <row r="2">
      <c r="A2" s="13" t="s">
        <v>1399</v>
      </c>
      <c r="B2" s="13" t="s">
        <v>1400</v>
      </c>
      <c r="D2" s="13" t="s">
        <v>1401</v>
      </c>
      <c r="E2" s="13" t="s">
        <v>1402</v>
      </c>
      <c r="I2" s="13" t="s">
        <v>1403</v>
      </c>
      <c r="J2" s="13">
        <v>2.0</v>
      </c>
      <c r="K2" s="13" t="s">
        <v>697</v>
      </c>
      <c r="L2" s="13" t="s">
        <v>42</v>
      </c>
      <c r="P2" s="13" t="s">
        <v>1404</v>
      </c>
      <c r="Q2" s="13" t="s">
        <v>1401</v>
      </c>
      <c r="R2" s="13" t="s">
        <v>1404</v>
      </c>
      <c r="S2" s="13">
        <v>3.0</v>
      </c>
    </row>
    <row r="3">
      <c r="A3" s="22" t="s">
        <v>1405</v>
      </c>
      <c r="B3" s="83" t="s">
        <v>13</v>
      </c>
      <c r="C3" s="11"/>
      <c r="D3" s="11" t="s">
        <v>1121</v>
      </c>
      <c r="E3" s="10" t="s">
        <v>1406</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1407</v>
      </c>
      <c r="J3" s="11">
        <v>0.0</v>
      </c>
      <c r="K3" s="11" t="s">
        <v>1408</v>
      </c>
      <c r="L3" s="11" t="s">
        <v>33</v>
      </c>
      <c r="N3" s="13" t="str">
        <f>IFERROR(__xludf.DUMMYFUNCTION("IF(REGEXMATCH($B3,'Karten(Set1+Set2)'!L$1),$D3,"""")"),"")</f>
        <v/>
      </c>
      <c r="O3" s="13" t="str">
        <f>IFERROR(__xludf.DUMMYFUNCTION("IF(REGEXMATCH($B3,'Karten(Set1+Set2)'!M$1),$D3,"""")"),"")</f>
        <v/>
      </c>
      <c r="P3" s="13" t="str">
        <f>IFERROR(__xludf.DUMMYFUNCTION("IF(REGEXMATCH($B3,'Karten(Set1+Set2)'!N$1),$D3,"""")"),"Demon")</f>
        <v>Demon</v>
      </c>
      <c r="Q3" s="13" t="str">
        <f>IFERROR(__xludf.DUMMYFUNCTION("IF(REGEXMATCH($B3,'Karten(Set1+Set2)'!O$1),$D3,"""")"),"")</f>
        <v/>
      </c>
      <c r="R3" s="13" t="str">
        <f>IFERROR(__xludf.DUMMYFUNCTION("IF(REGEXMATCH($B3,'Karten(Set1+Set2)'!P$1),$D3,"""")"),"")</f>
        <v/>
      </c>
      <c r="S3" s="13">
        <f>IFERROR(__xludf.DUMMYFUNCTION("IF($A3="""","""",LEN(REGEXREPLACE($K3,"",\s?"","""")))"),7.0)</f>
        <v>7</v>
      </c>
    </row>
    <row r="4">
      <c r="A4" s="19" t="s">
        <v>1409</v>
      </c>
      <c r="B4" s="80" t="s">
        <v>12</v>
      </c>
      <c r="C4" s="18"/>
      <c r="D4" s="18" t="s">
        <v>317</v>
      </c>
      <c r="E4" s="19" t="s">
        <v>1410</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1411</v>
      </c>
      <c r="H4" s="18">
        <v>0.0</v>
      </c>
      <c r="I4" s="18" t="s">
        <v>912</v>
      </c>
      <c r="J4" s="18" t="s">
        <v>50</v>
      </c>
      <c r="L4" s="13" t="str">
        <f>IFERROR(__xludf.DUMMYFUNCTION("IF(REGEXMATCH($B4,'Karten(Set1+Set2)'!L$1),$D4,"""")"),"")</f>
        <v/>
      </c>
      <c r="M4" s="13" t="str">
        <f>IFERROR(__xludf.DUMMYFUNCTION("IF(REGEXMATCH($B4,'Karten(Set1+Set2)'!M$1),$D4,"""")"),"Spirit")</f>
        <v>Spirit</v>
      </c>
      <c r="N4" s="13" t="str">
        <f>IFERROR(__xludf.DUMMYFUNCTION("IF(REGEXMATCH($B4,'Karten(Set1+Set2)'!N$1),$D4,"""")"),"")</f>
        <v/>
      </c>
      <c r="O4" s="13" t="str">
        <f>IFERROR(__xludf.DUMMYFUNCTION("IF(REGEXMATCH($B4,'Karten(Set1+Set2)'!O$1),$D4,"""")"),"")</f>
        <v/>
      </c>
      <c r="P4" s="13" t="str">
        <f>IFERROR(__xludf.DUMMYFUNCTION("IF(REGEXMATCH($B4,'Karten(Set1+Set2)'!P$1),$D4,"""")"),"")</f>
        <v/>
      </c>
      <c r="Q4" s="13">
        <f>IFERROR(__xludf.DUMMYFUNCTION("IF($A4="""","""",LEN(REGEXREPLACE($I4,"",\s?"","""")))"),4.0)</f>
        <v>4</v>
      </c>
    </row>
    <row r="5">
      <c r="A5" s="10" t="s">
        <v>1412</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IFERROR(__xludf.DUMMYFUNCTION("IF(REGEXMATCH($B5,'Karten(Set1+Set2)'!L$1),$D5,"""")"),"")</f>
        <v/>
      </c>
      <c r="M5" s="13" t="str">
        <f>IFERROR(__xludf.DUMMYFUNCTION("IF(REGEXMATCH($B5,'Karten(Set1+Set2)'!M$1),$D5,"""")"),"")</f>
        <v/>
      </c>
      <c r="N5" s="13" t="str">
        <f>IFERROR(__xludf.DUMMYFUNCTION("IF(REGEXMATCH($B5,'Karten(Set1+Set2)'!N$1),$D5,"""")"),"")</f>
        <v/>
      </c>
      <c r="O5" s="13" t="str">
        <f>IFERROR(__xludf.DUMMYFUNCTION("IF(REGEXMATCH($B5,'Karten(Set1+Set2)'!O$1),$D5,"""")"),"")</f>
        <v/>
      </c>
      <c r="P5" s="13" t="str">
        <f>IFERROR(__xludf.DUMMYFUNCTION("IF(REGEXMATCH($B5,'Karten(Set1+Set2)'!P$1),$D5,"""")"),"Angel")</f>
        <v>Angel</v>
      </c>
      <c r="Q5" s="13">
        <f>IFERROR(__xludf.DUMMYFUNCTION("IF($A5="""","""",LEN(REGEXREPLACE($I5,"",\s?"","""")))"),6.0)</f>
        <v>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1396</v>
      </c>
      <c r="G1" s="5" t="s">
        <v>1397</v>
      </c>
      <c r="H1" s="5" t="s">
        <v>1398</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1413</v>
      </c>
      <c r="B2" s="19" t="s">
        <v>15</v>
      </c>
      <c r="C2" s="18">
        <v>3.0</v>
      </c>
      <c r="D2" s="19" t="s">
        <v>1414</v>
      </c>
      <c r="E2" s="19" t="s">
        <v>1415</v>
      </c>
      <c r="I2" s="56"/>
      <c r="J2" s="18">
        <v>4.0</v>
      </c>
      <c r="K2" s="18" t="s">
        <v>87</v>
      </c>
      <c r="L2" s="19" t="s">
        <v>50</v>
      </c>
    </row>
    <row r="3">
      <c r="A3" s="19" t="s">
        <v>1416</v>
      </c>
      <c r="B3" s="19" t="s">
        <v>13</v>
      </c>
      <c r="C3" s="18">
        <v>3.0</v>
      </c>
      <c r="D3" s="19" t="s">
        <v>1417</v>
      </c>
      <c r="E3" s="19" t="s">
        <v>1418</v>
      </c>
      <c r="I3" s="20" t="s">
        <v>1419</v>
      </c>
      <c r="J3" s="18">
        <v>3.0</v>
      </c>
      <c r="K3" s="18" t="s">
        <v>1420</v>
      </c>
      <c r="L3" s="19" t="s">
        <v>33</v>
      </c>
    </row>
    <row r="4">
      <c r="A4" s="19" t="s">
        <v>1421</v>
      </c>
      <c r="B4" s="19" t="s">
        <v>14</v>
      </c>
      <c r="C4" s="18">
        <v>3.0</v>
      </c>
      <c r="D4" s="19" t="s">
        <v>44</v>
      </c>
      <c r="E4" s="19" t="s">
        <v>1422</v>
      </c>
      <c r="I4" s="56"/>
      <c r="J4" s="18">
        <v>1.0</v>
      </c>
      <c r="K4" s="18" t="s">
        <v>711</v>
      </c>
      <c r="L4" s="19" t="s">
        <v>42</v>
      </c>
    </row>
    <row r="5">
      <c r="A5" s="19" t="s">
        <v>1423</v>
      </c>
      <c r="B5" s="19" t="s">
        <v>11</v>
      </c>
      <c r="C5" s="18">
        <v>3.0</v>
      </c>
      <c r="D5" s="19" t="s">
        <v>469</v>
      </c>
      <c r="E5" s="19" t="s">
        <v>1424</v>
      </c>
      <c r="I5" s="56"/>
      <c r="J5" s="18">
        <v>3.0</v>
      </c>
      <c r="K5" s="18" t="s">
        <v>403</v>
      </c>
      <c r="L5" s="19" t="s">
        <v>42</v>
      </c>
    </row>
    <row r="6">
      <c r="A6" s="19" t="s">
        <v>1425</v>
      </c>
      <c r="B6" s="19" t="s">
        <v>653</v>
      </c>
      <c r="C6" s="18">
        <v>3.0</v>
      </c>
      <c r="D6" s="19" t="s">
        <v>1426</v>
      </c>
      <c r="E6" s="19" t="s">
        <v>1427</v>
      </c>
      <c r="I6" s="20" t="s">
        <v>1428</v>
      </c>
      <c r="J6" s="18">
        <v>6.0</v>
      </c>
      <c r="K6" s="18" t="s">
        <v>1429</v>
      </c>
      <c r="L6" s="19" t="s">
        <v>50</v>
      </c>
    </row>
    <row r="7">
      <c r="A7" s="19" t="s">
        <v>1430</v>
      </c>
      <c r="B7" s="19" t="s">
        <v>312</v>
      </c>
      <c r="C7" s="18">
        <v>3.0</v>
      </c>
      <c r="D7" s="19" t="s">
        <v>1431</v>
      </c>
      <c r="E7" s="19" t="s">
        <v>1432</v>
      </c>
      <c r="I7" s="20" t="s">
        <v>1433</v>
      </c>
      <c r="J7" s="18">
        <v>5.0</v>
      </c>
      <c r="K7" s="18" t="s">
        <v>1434</v>
      </c>
      <c r="L7" s="19" t="s">
        <v>33</v>
      </c>
    </row>
    <row r="8">
      <c r="A8" s="19" t="s">
        <v>1435</v>
      </c>
      <c r="B8" s="19" t="s">
        <v>12</v>
      </c>
      <c r="C8" s="18">
        <v>3.0</v>
      </c>
      <c r="D8" s="19" t="s">
        <v>1436</v>
      </c>
      <c r="E8" s="19" t="s">
        <v>1437</v>
      </c>
      <c r="I8" s="20" t="s">
        <v>1438</v>
      </c>
      <c r="J8" s="18">
        <v>5.0</v>
      </c>
      <c r="K8" s="18" t="s">
        <v>927</v>
      </c>
      <c r="L8" s="19" t="s">
        <v>50</v>
      </c>
    </row>
    <row r="9">
      <c r="A9" s="19" t="s">
        <v>1439</v>
      </c>
      <c r="B9" s="19" t="s">
        <v>15</v>
      </c>
      <c r="C9" s="18">
        <v>3.0</v>
      </c>
      <c r="D9" s="19" t="s">
        <v>139</v>
      </c>
      <c r="E9" s="19" t="s">
        <v>1440</v>
      </c>
      <c r="I9" s="20"/>
      <c r="J9" s="18">
        <v>2.0</v>
      </c>
      <c r="K9" s="18" t="s">
        <v>121</v>
      </c>
      <c r="L9" s="19" t="s">
        <v>42</v>
      </c>
    </row>
    <row r="10">
      <c r="A10" s="19" t="s">
        <v>1441</v>
      </c>
      <c r="B10" s="19" t="s">
        <v>11</v>
      </c>
      <c r="C10" s="18">
        <v>3.0</v>
      </c>
      <c r="D10" s="19" t="s">
        <v>1442</v>
      </c>
      <c r="E10" s="19" t="s">
        <v>1443</v>
      </c>
      <c r="I10" s="56"/>
      <c r="J10" s="18">
        <v>3.0</v>
      </c>
      <c r="K10" s="18" t="s">
        <v>336</v>
      </c>
      <c r="L10" s="19" t="s">
        <v>42</v>
      </c>
    </row>
    <row r="11">
      <c r="A11" s="19" t="s">
        <v>1444</v>
      </c>
      <c r="B11" s="19" t="s">
        <v>620</v>
      </c>
      <c r="C11" s="18">
        <v>3.0</v>
      </c>
      <c r="D11" s="19" t="s">
        <v>1401</v>
      </c>
      <c r="E11" s="19" t="s">
        <v>1445</v>
      </c>
      <c r="I11" s="56"/>
      <c r="J11" s="18">
        <v>3.0</v>
      </c>
      <c r="K11" s="18" t="s">
        <v>1446</v>
      </c>
      <c r="L11" s="19" t="s">
        <v>50</v>
      </c>
    </row>
    <row r="12">
      <c r="A12" s="19" t="s">
        <v>1447</v>
      </c>
      <c r="B12" s="19" t="s">
        <v>13</v>
      </c>
      <c r="C12" s="18">
        <v>3.0</v>
      </c>
      <c r="D12" s="19" t="s">
        <v>1448</v>
      </c>
      <c r="E12" s="19" t="s">
        <v>1449</v>
      </c>
      <c r="I12" s="20" t="s">
        <v>1450</v>
      </c>
      <c r="J12" s="89"/>
      <c r="K12" s="89"/>
    </row>
    <row r="13">
      <c r="A13" s="19" t="s">
        <v>1451</v>
      </c>
      <c r="B13" s="19" t="s">
        <v>12</v>
      </c>
      <c r="C13" s="18">
        <v>3.0</v>
      </c>
      <c r="D13" s="19" t="s">
        <v>861</v>
      </c>
      <c r="E13" s="19" t="s">
        <v>1452</v>
      </c>
      <c r="I13" s="56"/>
      <c r="J13" s="18">
        <v>3.0</v>
      </c>
      <c r="K13" s="18" t="s">
        <v>919</v>
      </c>
      <c r="L13" s="19" t="s">
        <v>42</v>
      </c>
    </row>
    <row r="14">
      <c r="A14" s="19" t="s">
        <v>1453</v>
      </c>
      <c r="B14" s="19" t="s">
        <v>13</v>
      </c>
      <c r="C14" s="18">
        <v>3.0</v>
      </c>
      <c r="D14" s="19" t="s">
        <v>1454</v>
      </c>
      <c r="E14" s="19" t="s">
        <v>1455</v>
      </c>
      <c r="I14" s="20" t="s">
        <v>1456</v>
      </c>
      <c r="J14" s="18">
        <v>4.0</v>
      </c>
      <c r="K14" s="18" t="s">
        <v>1236</v>
      </c>
      <c r="L14" s="19" t="s">
        <v>50</v>
      </c>
    </row>
    <row r="15">
      <c r="A15" s="19" t="s">
        <v>1457</v>
      </c>
      <c r="B15" s="19" t="s">
        <v>1458</v>
      </c>
      <c r="C15" s="18">
        <v>3.0</v>
      </c>
      <c r="D15" s="19" t="s">
        <v>29</v>
      </c>
      <c r="E15" s="19" t="s">
        <v>1459</v>
      </c>
      <c r="I15" s="20" t="s">
        <v>1460</v>
      </c>
      <c r="J15" s="18">
        <v>3.0</v>
      </c>
      <c r="K15" s="18" t="s">
        <v>1461</v>
      </c>
      <c r="L15" s="19" t="s">
        <v>42</v>
      </c>
    </row>
    <row r="16">
      <c r="A16" s="19" t="s">
        <v>1462</v>
      </c>
      <c r="B16" s="19" t="s">
        <v>11</v>
      </c>
      <c r="C16" s="18">
        <v>3.0</v>
      </c>
      <c r="D16" s="19" t="s">
        <v>1463</v>
      </c>
      <c r="E16" s="19" t="s">
        <v>1464</v>
      </c>
      <c r="I16" s="56"/>
      <c r="J16" s="18">
        <v>5.0</v>
      </c>
      <c r="K16" s="18" t="s">
        <v>559</v>
      </c>
      <c r="L16" s="19" t="s">
        <v>42</v>
      </c>
    </row>
    <row r="17">
      <c r="A17" s="19" t="s">
        <v>1465</v>
      </c>
      <c r="B17" s="17" t="s">
        <v>15</v>
      </c>
      <c r="C17" s="18"/>
      <c r="D17" s="18" t="s">
        <v>125</v>
      </c>
      <c r="E17" s="19" t="s">
        <v>1466</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1137</v>
      </c>
      <c r="J17" s="18">
        <v>0.0</v>
      </c>
      <c r="K17" s="18" t="s">
        <v>248</v>
      </c>
      <c r="L17" s="18" t="s">
        <v>50</v>
      </c>
      <c r="N17" s="13" t="str">
        <f>IFERROR(__xludf.DUMMYFUNCTION("IF(REGEXMATCH($B17,'Karten(Set1+Set2)'!L$1),$D17,"""")"),"")</f>
        <v/>
      </c>
      <c r="O17" s="13" t="str">
        <f>IFERROR(__xludf.DUMMYFUNCTION("IF(REGEXMATCH($B17,'Karten(Set1+Set2)'!M$1),$D17,"""")"),"")</f>
        <v/>
      </c>
      <c r="P17" s="13" t="str">
        <f>IFERROR(__xludf.DUMMYFUNCTION("IF(REGEXMATCH($B17,'Karten(Set1+Set2)'!N$1),$D17,"""")"),"")</f>
        <v/>
      </c>
      <c r="Q17" s="13" t="str">
        <f>IFERROR(__xludf.DUMMYFUNCTION("IF(REGEXMATCH($B17,'Karten(Set1+Set2)'!O$1),$D17,"""")"),"")</f>
        <v/>
      </c>
      <c r="R17" s="13" t="str">
        <f>IFERROR(__xludf.DUMMYFUNCTION("IF(REGEXMATCH($B17,'Karten(Set1+Set2)'!P$1),$D17,"""")"),"Construct")</f>
        <v>Construct</v>
      </c>
      <c r="S17" s="13">
        <f>IFERROR(__xludf.DUMMYFUNCTION("IF($A17="""","""",LEN(REGEXREPLACE($K17,"",\s?"","""")))"),7.0)</f>
        <v>7</v>
      </c>
    </row>
    <row r="18">
      <c r="A18" s="19" t="s">
        <v>1467</v>
      </c>
      <c r="B18" s="19" t="s">
        <v>11</v>
      </c>
      <c r="C18" s="18">
        <v>3.0</v>
      </c>
      <c r="D18" s="19" t="s">
        <v>1468</v>
      </c>
      <c r="E18" s="19" t="s">
        <v>1469</v>
      </c>
      <c r="I18" s="56"/>
      <c r="J18" s="18">
        <v>2.0</v>
      </c>
      <c r="K18" s="18" t="s">
        <v>403</v>
      </c>
      <c r="L18" s="19" t="s">
        <v>50</v>
      </c>
    </row>
    <row r="19">
      <c r="A19" s="22" t="s">
        <v>1470</v>
      </c>
      <c r="B19" s="79" t="s">
        <v>12</v>
      </c>
      <c r="C19" s="11"/>
      <c r="D19" s="11" t="s">
        <v>125</v>
      </c>
      <c r="E19" s="10" t="s">
        <v>1471</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1472</v>
      </c>
      <c r="J19" s="11">
        <v>3.0</v>
      </c>
      <c r="K19" s="11" t="s">
        <v>973</v>
      </c>
      <c r="L19" s="11" t="s">
        <v>33</v>
      </c>
      <c r="N19" s="13" t="str">
        <f>IFERROR(__xludf.DUMMYFUNCTION("IF(REGEXMATCH($B19,'Karten(Set1+Set2)'!L$1),$D19,"""")"),"")</f>
        <v/>
      </c>
      <c r="O19" s="13" t="str">
        <f>IFERROR(__xludf.DUMMYFUNCTION("IF(REGEXMATCH($B19,'Karten(Set1+Set2)'!M$1),$D19,"""")"),"Construct")</f>
        <v>Construct</v>
      </c>
      <c r="P19" s="13" t="str">
        <f>IFERROR(__xludf.DUMMYFUNCTION("IF(REGEXMATCH($B19,'Karten(Set1+Set2)'!N$1),$D19,"""")"),"")</f>
        <v/>
      </c>
      <c r="Q19" s="13" t="str">
        <f>IFERROR(__xludf.DUMMYFUNCTION("IF(REGEXMATCH($B19,'Karten(Set1+Set2)'!O$1),$D19,"""")"),"")</f>
        <v/>
      </c>
      <c r="R19" s="13" t="str">
        <f>IFERROR(__xludf.DUMMYFUNCTION("IF(REGEXMATCH($B19,'Karten(Set1+Set2)'!P$1),$D19,"""")"),"")</f>
        <v/>
      </c>
      <c r="S19" s="13">
        <f>IFERROR(__xludf.DUMMYFUNCTION("IF($A19="""","""",LEN(REGEXREPLACE($K19,"",\s?"","""")))"),5.0)</f>
        <v>5</v>
      </c>
    </row>
    <row r="20">
      <c r="A20" s="10" t="s">
        <v>1300</v>
      </c>
      <c r="B20" s="83" t="s">
        <v>13</v>
      </c>
      <c r="C20" s="11">
        <v>3.0</v>
      </c>
      <c r="D20" s="18" t="s">
        <v>1473</v>
      </c>
      <c r="E20" s="19" t="s">
        <v>1302</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1303</v>
      </c>
      <c r="J20" s="18">
        <v>2.0</v>
      </c>
      <c r="K20" s="18" t="s">
        <v>1236</v>
      </c>
      <c r="L20" s="11" t="s">
        <v>33</v>
      </c>
    </row>
    <row r="21">
      <c r="A21" s="10" t="s">
        <v>1474</v>
      </c>
      <c r="B21" s="16" t="s">
        <v>15</v>
      </c>
      <c r="C21" s="11">
        <v>3.0</v>
      </c>
      <c r="D21" s="11" t="s">
        <v>317</v>
      </c>
      <c r="E21" s="10" t="s">
        <v>1475</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1476</v>
      </c>
      <c r="J21" s="11">
        <v>3.0</v>
      </c>
      <c r="K21" s="11" t="s">
        <v>87</v>
      </c>
      <c r="L21" s="11" t="s">
        <v>42</v>
      </c>
    </row>
    <row r="22">
      <c r="A22" s="58" t="s">
        <v>1477</v>
      </c>
      <c r="B22" s="165" t="s">
        <v>15</v>
      </c>
      <c r="C22" s="60">
        <v>3.0</v>
      </c>
      <c r="D22" s="62" t="s">
        <v>1478</v>
      </c>
      <c r="E22" s="26" t="s">
        <v>1479</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1480</v>
      </c>
      <c r="B23" s="19" t="s">
        <v>312</v>
      </c>
      <c r="C23" s="18"/>
      <c r="D23" s="18" t="s">
        <v>879</v>
      </c>
      <c r="E23" s="19" t="s">
        <v>1481</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1482</v>
      </c>
      <c r="H23" s="18">
        <v>5.0</v>
      </c>
      <c r="I23" s="18" t="s">
        <v>1483</v>
      </c>
      <c r="J23" s="18" t="s">
        <v>50</v>
      </c>
      <c r="L23" s="13" t="str">
        <f>IFERROR(__xludf.DUMMYFUNCTION("IF(REGEXMATCH($B23,'Karten(Set1+Set2)'!L$1),$D23,"""")"),"")</f>
        <v/>
      </c>
      <c r="M23" s="13" t="str">
        <f>IFERROR(__xludf.DUMMYFUNCTION("IF(REGEXMATCH($B23,'Karten(Set1+Set2)'!M$1),$D23,"""")"),"")</f>
        <v/>
      </c>
      <c r="N23" s="13" t="str">
        <f>IFERROR(__xludf.DUMMYFUNCTION("IF(REGEXMATCH($B23,'Karten(Set1+Set2)'!N$1),$D23,"""")"),"Demon Wizard")</f>
        <v>Demon Wizard</v>
      </c>
      <c r="O23" s="13" t="str">
        <f>IFERROR(__xludf.DUMMYFUNCTION("IF(REGEXMATCH($B23,'Karten(Set1+Set2)'!O$1),$D23,"""")"),"")</f>
        <v/>
      </c>
      <c r="P23" s="13" t="str">
        <f>IFERROR(__xludf.DUMMYFUNCTION("IF(REGEXMATCH($B23,'Karten(Set1+Set2)'!P$1),$D23,"""")"),"Demon Wizard")</f>
        <v>Demon Wizard</v>
      </c>
      <c r="Q23" s="13">
        <f>IFERROR(__xludf.DUMMYFUNCTION("IF($A23="""","""",LEN(REGEXREPLACE($I23,"",\s?"","""")))"),5.0)</f>
        <v>5</v>
      </c>
    </row>
    <row r="24">
      <c r="A24" s="10" t="s">
        <v>1484</v>
      </c>
      <c r="B24" s="43" t="s">
        <v>11</v>
      </c>
      <c r="C24" s="11">
        <v>3.0</v>
      </c>
      <c r="D24" s="11" t="s">
        <v>350</v>
      </c>
      <c r="E24" s="19" t="s">
        <v>1485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1486</v>
      </c>
      <c r="H24" s="11">
        <v>4.0</v>
      </c>
      <c r="I24" s="11" t="s">
        <v>559</v>
      </c>
      <c r="J24" s="11" t="s">
        <v>50</v>
      </c>
      <c r="L24" s="13" t="str">
        <f>IFERROR(__xludf.DUMMYFUNCTION("IF(REGEXMATCH($B24,'Karten(Set1+Set2)'!L$1),$D24,"""")"),"Dragon")</f>
        <v>Dragon</v>
      </c>
      <c r="M24" s="13" t="str">
        <f>IFERROR(__xludf.DUMMYFUNCTION("IF(REGEXMATCH($B24,'Karten(Set1+Set2)'!M$1),$D24,"""")"),"")</f>
        <v/>
      </c>
      <c r="N24" s="13" t="str">
        <f>IFERROR(__xludf.DUMMYFUNCTION("IF(REGEXMATCH($B24,'Karten(Set1+Set2)'!N$1),$D24,"""")"),"")</f>
        <v/>
      </c>
      <c r="O24" s="13" t="str">
        <f>IFERROR(__xludf.DUMMYFUNCTION("IF(REGEXMATCH($B24,'Karten(Set1+Set2)'!O$1),$D24,"""")"),"")</f>
        <v/>
      </c>
      <c r="P24" s="13" t="str">
        <f>IFERROR(__xludf.DUMMYFUNCTION("IF(REGEXMATCH($B24,'Karten(Set1+Set2)'!P$1),$D24,"""")"),"")</f>
        <v/>
      </c>
      <c r="Q24" s="13">
        <f>IFERROR(__xludf.DUMMYFUNCTION("IF($A24="""","""",LEN(REGEXREPLACE($I24,"",\s?"","""")))"),5.0)</f>
        <v>5</v>
      </c>
    </row>
    <row r="25">
      <c r="A25" s="10" t="s">
        <v>1487</v>
      </c>
      <c r="B25" s="10" t="s">
        <v>220</v>
      </c>
      <c r="C25" s="11">
        <v>3.0</v>
      </c>
      <c r="D25" s="11" t="s">
        <v>101</v>
      </c>
      <c r="E25" s="10" t="s">
        <v>1488</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1489</v>
      </c>
      <c r="H25" s="11">
        <v>3.0</v>
      </c>
      <c r="I25" s="11" t="s">
        <v>238</v>
      </c>
      <c r="J25" s="11" t="s">
        <v>50</v>
      </c>
      <c r="L25" s="13" t="str">
        <f>IFERROR(__xludf.DUMMYFUNCTION("IF(REGEXMATCH($B25,'Karten(Set1+Set2)'!L$1),$D25,"""")"),"")</f>
        <v/>
      </c>
      <c r="M25" s="13" t="str">
        <f>IFERROR(__xludf.DUMMYFUNCTION("IF(REGEXMATCH($B25,'Karten(Set1+Set2)'!M$1),$D25,"""")"),"")</f>
        <v/>
      </c>
      <c r="N25" s="13" t="str">
        <f>IFERROR(__xludf.DUMMYFUNCTION("IF(REGEXMATCH($B25,'Karten(Set1+Set2)'!N$1),$D25,"""")"),"")</f>
        <v/>
      </c>
      <c r="O25" s="13" t="str">
        <f>IFERROR(__xludf.DUMMYFUNCTION("IF(REGEXMATCH($B25,'Karten(Set1+Set2)'!O$1),$D25,"""")"),"Angel Spirit")</f>
        <v>Angel Spirit</v>
      </c>
      <c r="P25" s="13" t="str">
        <f>IFERROR(__xludf.DUMMYFUNCTION("IF(REGEXMATCH($B25,'Karten(Set1+Set2)'!P$1),$D25,"""")"),"Angel Spirit")</f>
        <v>Angel Spirit</v>
      </c>
      <c r="Q25" s="13">
        <f>IFERROR(__xludf.DUMMYFUNCTION("IF($A25="""","""",LEN(REGEXREPLACE($I25,"",\s?"","""")))"),4.0)</f>
        <v>4</v>
      </c>
    </row>
    <row r="26">
      <c r="C26" s="89"/>
      <c r="E26" s="19" t="s">
        <v>1490</v>
      </c>
      <c r="I26" s="56"/>
      <c r="J26" s="89"/>
      <c r="K26" s="89"/>
    </row>
    <row r="27">
      <c r="C27" s="89"/>
      <c r="D27" s="19" t="s">
        <v>1161</v>
      </c>
      <c r="I27" s="56"/>
      <c r="J27" s="89"/>
      <c r="K27" s="89"/>
    </row>
    <row r="28">
      <c r="C28" s="89"/>
      <c r="E28" s="19" t="s">
        <v>1491</v>
      </c>
      <c r="I28" s="56"/>
      <c r="J28" s="89"/>
      <c r="K28" s="89"/>
    </row>
    <row r="29">
      <c r="A29" s="19" t="s">
        <v>1492</v>
      </c>
      <c r="B29" s="19" t="s">
        <v>12</v>
      </c>
      <c r="C29" s="18">
        <v>3.0</v>
      </c>
      <c r="D29" s="19" t="s">
        <v>44</v>
      </c>
      <c r="E29" s="19" t="s">
        <v>1493</v>
      </c>
      <c r="I29" s="56"/>
      <c r="J29" s="18">
        <v>1.0</v>
      </c>
      <c r="K29" s="18" t="s">
        <v>1001</v>
      </c>
      <c r="L29" s="19" t="s">
        <v>42</v>
      </c>
    </row>
    <row r="30">
      <c r="C30" s="89"/>
      <c r="E30" s="19" t="s">
        <v>1494</v>
      </c>
      <c r="I30" s="56"/>
      <c r="J30" s="89"/>
      <c r="K30" s="89"/>
    </row>
    <row r="31">
      <c r="A31" s="19" t="s">
        <v>1495</v>
      </c>
      <c r="B31" s="19" t="s">
        <v>14</v>
      </c>
      <c r="C31" s="89"/>
      <c r="D31" s="19" t="s">
        <v>541</v>
      </c>
      <c r="E31" s="19" t="s">
        <v>1496</v>
      </c>
      <c r="I31" s="56"/>
      <c r="J31" s="89"/>
      <c r="K31" s="89"/>
    </row>
    <row r="32">
      <c r="A32" s="10" t="s">
        <v>1497</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939</v>
      </c>
      <c r="H32" s="18">
        <v>3.0</v>
      </c>
      <c r="I32" s="18" t="s">
        <v>697</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1498</v>
      </c>
      <c r="E33" s="19" t="s">
        <v>1499</v>
      </c>
      <c r="I33" s="56"/>
      <c r="J33" s="89"/>
      <c r="K33" s="89"/>
    </row>
    <row r="34">
      <c r="C34" s="89"/>
      <c r="E34" s="19" t="s">
        <v>1500</v>
      </c>
      <c r="I34" s="56"/>
      <c r="J34" s="89"/>
      <c r="K34" s="89"/>
    </row>
    <row r="35">
      <c r="C35" s="89"/>
      <c r="E35" s="19" t="s">
        <v>1501</v>
      </c>
      <c r="I35" s="56"/>
      <c r="J35" s="89"/>
      <c r="K35" s="89"/>
    </row>
    <row r="36">
      <c r="C36" s="89"/>
      <c r="E36" s="19" t="s">
        <v>1502</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1503</v>
      </c>
      <c r="E1" s="167" t="s">
        <v>4</v>
      </c>
      <c r="F1" s="167" t="s">
        <v>6</v>
      </c>
      <c r="G1" s="160" t="s">
        <v>7</v>
      </c>
      <c r="H1" s="160" t="s">
        <v>8</v>
      </c>
      <c r="I1" s="161" t="s">
        <v>9</v>
      </c>
      <c r="J1" s="162" t="s">
        <v>10</v>
      </c>
    </row>
    <row r="2">
      <c r="A2" s="19" t="s">
        <v>1504</v>
      </c>
      <c r="B2" s="168" t="s">
        <v>1505</v>
      </c>
      <c r="C2" s="51" t="s">
        <v>1468</v>
      </c>
      <c r="D2" s="46"/>
      <c r="E2" s="46" t="s">
        <v>1506</v>
      </c>
      <c r="F2" s="49" t="s">
        <v>1507</v>
      </c>
      <c r="G2" s="51">
        <v>1.0</v>
      </c>
      <c r="H2" s="51" t="s">
        <v>49</v>
      </c>
      <c r="I2" s="51" t="s">
        <v>50</v>
      </c>
    </row>
    <row r="3">
      <c r="A3" s="46" t="s">
        <v>1508</v>
      </c>
      <c r="B3" s="168" t="s">
        <v>1505</v>
      </c>
      <c r="C3" s="51" t="s">
        <v>29</v>
      </c>
      <c r="D3" s="46" t="s">
        <v>1509</v>
      </c>
      <c r="E3" s="169" t="s">
        <v>1510</v>
      </c>
      <c r="F3" s="49" t="s">
        <v>1507</v>
      </c>
      <c r="G3" s="51">
        <v>1.0</v>
      </c>
      <c r="H3" s="51" t="s">
        <v>63</v>
      </c>
      <c r="I3" s="51" t="s">
        <v>33</v>
      </c>
    </row>
    <row r="4">
      <c r="A4" s="46" t="s">
        <v>1511</v>
      </c>
      <c r="B4" s="168" t="s">
        <v>1505</v>
      </c>
      <c r="C4" s="51" t="s">
        <v>1512</v>
      </c>
      <c r="D4" s="46" t="s">
        <v>1509</v>
      </c>
      <c r="E4" s="46" t="s">
        <v>1513</v>
      </c>
      <c r="F4" s="49" t="s">
        <v>1507</v>
      </c>
      <c r="G4" s="51">
        <v>3.0</v>
      </c>
      <c r="H4" s="51" t="s">
        <v>56</v>
      </c>
      <c r="I4" s="51" t="s">
        <v>50</v>
      </c>
    </row>
    <row r="5">
      <c r="A5" s="46" t="s">
        <v>1514</v>
      </c>
      <c r="B5" s="170" t="s">
        <v>1505</v>
      </c>
      <c r="C5" s="51" t="s">
        <v>125</v>
      </c>
      <c r="D5" s="46" t="s">
        <v>1515</v>
      </c>
      <c r="E5" s="46" t="s">
        <v>1516</v>
      </c>
      <c r="F5" s="49" t="s">
        <v>1507</v>
      </c>
      <c r="G5" s="51">
        <v>5.0</v>
      </c>
      <c r="H5" s="51" t="s">
        <v>1517</v>
      </c>
      <c r="I5" s="51" t="s">
        <v>33</v>
      </c>
    </row>
    <row r="6">
      <c r="A6" s="58" t="s">
        <v>1518</v>
      </c>
      <c r="B6" s="171" t="s">
        <v>1519</v>
      </c>
      <c r="C6" s="62" t="s">
        <v>317</v>
      </c>
      <c r="D6" s="58"/>
      <c r="E6" s="58" t="s">
        <v>1520</v>
      </c>
      <c r="F6" s="26" t="s">
        <v>1507</v>
      </c>
      <c r="G6" s="62">
        <v>0.0</v>
      </c>
      <c r="H6" s="62" t="s">
        <v>1521</v>
      </c>
      <c r="I6" s="62" t="s">
        <v>33</v>
      </c>
    </row>
    <row r="7">
      <c r="A7" s="46" t="s">
        <v>1522</v>
      </c>
      <c r="B7" s="172" t="s">
        <v>1519</v>
      </c>
      <c r="C7" s="51" t="s">
        <v>1468</v>
      </c>
      <c r="D7" s="46"/>
      <c r="E7" s="46" t="s">
        <v>1523</v>
      </c>
      <c r="F7" s="49" t="s">
        <v>1507</v>
      </c>
      <c r="G7" s="51">
        <v>3.0</v>
      </c>
      <c r="H7" s="51" t="s">
        <v>1524</v>
      </c>
      <c r="I7" s="51" t="s">
        <v>50</v>
      </c>
    </row>
    <row r="8">
      <c r="A8" s="46" t="s">
        <v>1525</v>
      </c>
      <c r="B8" s="172" t="s">
        <v>1519</v>
      </c>
      <c r="C8" s="51" t="s">
        <v>317</v>
      </c>
      <c r="D8" s="46"/>
      <c r="E8" s="46" t="s">
        <v>1526</v>
      </c>
      <c r="F8" s="49" t="s">
        <v>1507</v>
      </c>
      <c r="G8" s="51">
        <v>4.0</v>
      </c>
      <c r="H8" s="51" t="s">
        <v>370</v>
      </c>
      <c r="I8" s="51" t="s">
        <v>42</v>
      </c>
    </row>
    <row r="9">
      <c r="A9" s="46" t="s">
        <v>1527</v>
      </c>
      <c r="B9" s="172" t="s">
        <v>1519</v>
      </c>
      <c r="C9" s="51" t="s">
        <v>1468</v>
      </c>
      <c r="D9" s="46"/>
      <c r="E9" s="46" t="s">
        <v>1528</v>
      </c>
      <c r="F9" s="49" t="s">
        <v>1507</v>
      </c>
      <c r="G9" s="51">
        <v>5.0</v>
      </c>
      <c r="H9" s="51" t="s">
        <v>392</v>
      </c>
      <c r="I9" s="51" t="s">
        <v>33</v>
      </c>
    </row>
    <row r="10">
      <c r="A10" s="46" t="s">
        <v>615</v>
      </c>
      <c r="B10" s="171" t="s">
        <v>1519</v>
      </c>
      <c r="C10" s="62" t="s">
        <v>519</v>
      </c>
      <c r="D10" s="58"/>
      <c r="E10" s="58" t="s">
        <v>1529</v>
      </c>
      <c r="F10" s="26" t="s">
        <v>1507</v>
      </c>
      <c r="G10" s="62">
        <v>6.0</v>
      </c>
      <c r="H10" s="62" t="s">
        <v>1530</v>
      </c>
      <c r="I10" s="62" t="s">
        <v>50</v>
      </c>
    </row>
    <row r="11">
      <c r="A11" s="46"/>
      <c r="B11" s="173" t="s">
        <v>1531</v>
      </c>
      <c r="C11" s="51" t="s">
        <v>519</v>
      </c>
      <c r="D11" s="46"/>
      <c r="E11" s="46" t="s">
        <v>1532</v>
      </c>
      <c r="F11" s="49" t="s">
        <v>1507</v>
      </c>
      <c r="G11" s="51">
        <v>1.0</v>
      </c>
      <c r="H11" s="51" t="s">
        <v>1001</v>
      </c>
      <c r="I11" s="51" t="s">
        <v>33</v>
      </c>
    </row>
    <row r="12">
      <c r="A12" s="46" t="s">
        <v>1533</v>
      </c>
      <c r="B12" s="173" t="s">
        <v>1531</v>
      </c>
      <c r="C12" s="51" t="s">
        <v>519</v>
      </c>
      <c r="D12" s="46"/>
      <c r="E12" s="46" t="s">
        <v>1534</v>
      </c>
      <c r="F12" s="49" t="s">
        <v>1507</v>
      </c>
      <c r="G12" s="51">
        <v>2.0</v>
      </c>
      <c r="H12" s="51" t="s">
        <v>995</v>
      </c>
      <c r="I12" s="51" t="s">
        <v>33</v>
      </c>
    </row>
    <row r="13">
      <c r="A13" s="46" t="s">
        <v>1535</v>
      </c>
      <c r="B13" s="173" t="s">
        <v>1531</v>
      </c>
      <c r="C13" s="51" t="s">
        <v>1536</v>
      </c>
      <c r="D13" s="46"/>
      <c r="E13" s="174" t="s">
        <v>1537</v>
      </c>
      <c r="F13" s="49" t="s">
        <v>1507</v>
      </c>
      <c r="G13" s="51">
        <v>3.0</v>
      </c>
      <c r="H13" s="51" t="s">
        <v>1001</v>
      </c>
      <c r="I13" s="51" t="s">
        <v>50</v>
      </c>
    </row>
    <row r="14">
      <c r="A14" s="58" t="s">
        <v>1538</v>
      </c>
      <c r="B14" s="175" t="s">
        <v>1531</v>
      </c>
      <c r="C14" s="51" t="s">
        <v>125</v>
      </c>
      <c r="D14" s="46"/>
      <c r="E14" s="46" t="s">
        <v>1539</v>
      </c>
      <c r="F14" s="49" t="s">
        <v>1507</v>
      </c>
      <c r="G14" s="51">
        <v>4.0</v>
      </c>
      <c r="H14" s="51" t="s">
        <v>919</v>
      </c>
      <c r="I14" s="51" t="s">
        <v>42</v>
      </c>
    </row>
    <row r="15">
      <c r="A15" s="46" t="s">
        <v>1540</v>
      </c>
      <c r="B15" s="173" t="s">
        <v>1531</v>
      </c>
      <c r="C15" s="51" t="s">
        <v>861</v>
      </c>
      <c r="D15" s="46"/>
      <c r="E15" s="26" t="s">
        <v>1541</v>
      </c>
      <c r="F15" s="26" t="s">
        <v>1507</v>
      </c>
      <c r="G15" s="51">
        <v>6.0</v>
      </c>
      <c r="H15" s="51" t="s">
        <v>1542</v>
      </c>
      <c r="I15" s="51" t="s">
        <v>50</v>
      </c>
    </row>
    <row r="16">
      <c r="A16" s="19" t="s">
        <v>1543</v>
      </c>
      <c r="B16" s="80" t="s">
        <v>1531</v>
      </c>
      <c r="C16" s="18" t="s">
        <v>1544</v>
      </c>
      <c r="F16" s="19" t="s">
        <v>1507</v>
      </c>
      <c r="G16" s="89"/>
      <c r="I16" s="18" t="s">
        <v>33</v>
      </c>
    </row>
    <row r="17">
      <c r="A17" s="46" t="s">
        <v>901</v>
      </c>
      <c r="B17" s="176" t="s">
        <v>1545</v>
      </c>
      <c r="C17" s="51" t="s">
        <v>44</v>
      </c>
      <c r="D17" s="46"/>
      <c r="E17" s="174" t="s">
        <v>1546</v>
      </c>
      <c r="F17" s="49" t="s">
        <v>1507</v>
      </c>
      <c r="G17" s="51">
        <v>1.0</v>
      </c>
      <c r="H17" s="51" t="s">
        <v>1547</v>
      </c>
      <c r="I17" s="51" t="s">
        <v>50</v>
      </c>
    </row>
    <row r="18">
      <c r="A18" s="46" t="s">
        <v>1548</v>
      </c>
      <c r="B18" s="176" t="s">
        <v>1545</v>
      </c>
      <c r="C18" s="51" t="s">
        <v>1121</v>
      </c>
      <c r="D18" s="46"/>
      <c r="E18" s="46" t="s">
        <v>1549</v>
      </c>
      <c r="F18" s="49" t="s">
        <v>1507</v>
      </c>
      <c r="G18" s="51">
        <v>1.0</v>
      </c>
      <c r="H18" s="51" t="s">
        <v>1550</v>
      </c>
      <c r="I18" s="51" t="s">
        <v>33</v>
      </c>
    </row>
    <row r="19">
      <c r="A19" s="10" t="s">
        <v>1551</v>
      </c>
      <c r="B19" s="45"/>
      <c r="C19" s="18"/>
      <c r="E19" s="19"/>
      <c r="F19" s="19" t="s">
        <v>1507</v>
      </c>
      <c r="G19" s="18"/>
      <c r="H19" s="18"/>
      <c r="I19" s="11"/>
    </row>
    <row r="20">
      <c r="A20" s="29" t="s">
        <v>1552</v>
      </c>
      <c r="B20" s="45" t="s">
        <v>1531</v>
      </c>
      <c r="C20" s="21" t="s">
        <v>302</v>
      </c>
      <c r="D20" s="10"/>
      <c r="E20" s="10" t="s">
        <v>1553</v>
      </c>
      <c r="F20" s="10"/>
      <c r="G20" s="11">
        <v>2.0</v>
      </c>
      <c r="H20" s="11" t="s">
        <v>908</v>
      </c>
      <c r="I20" s="21" t="s">
        <v>42</v>
      </c>
    </row>
    <row r="21">
      <c r="A21" s="19" t="s">
        <v>1554</v>
      </c>
      <c r="B21" s="17" t="s">
        <v>1505</v>
      </c>
      <c r="C21" s="18" t="s">
        <v>29</v>
      </c>
      <c r="D21" s="19" t="s">
        <v>1555</v>
      </c>
      <c r="E21" s="19" t="s">
        <v>1556</v>
      </c>
      <c r="G21" s="18">
        <v>2.0</v>
      </c>
      <c r="I21" s="89"/>
    </row>
    <row r="22">
      <c r="A22" s="19" t="s">
        <v>1557</v>
      </c>
      <c r="B22" s="19" t="s">
        <v>1558</v>
      </c>
      <c r="C22" s="89"/>
      <c r="G22" s="89"/>
      <c r="I22" s="18" t="s">
        <v>50</v>
      </c>
    </row>
    <row r="23">
      <c r="A23" s="19" t="s">
        <v>1559</v>
      </c>
      <c r="B23" s="19" t="s">
        <v>1560</v>
      </c>
      <c r="C23" s="89"/>
      <c r="G23" s="89"/>
      <c r="I23" s="89"/>
    </row>
    <row r="24">
      <c r="A24" s="19" t="s">
        <v>1552</v>
      </c>
      <c r="B24" s="19" t="s">
        <v>1531</v>
      </c>
      <c r="C24" s="18"/>
      <c r="G24" s="18"/>
      <c r="H24" s="18"/>
      <c r="I24" s="18"/>
    </row>
    <row r="25">
      <c r="A25" s="19" t="s">
        <v>1561</v>
      </c>
      <c r="B25" s="80" t="s">
        <v>1531</v>
      </c>
      <c r="C25" s="18" t="s">
        <v>1562</v>
      </c>
      <c r="E25" s="19" t="s">
        <v>1563</v>
      </c>
      <c r="F25" s="19" t="s">
        <v>1137</v>
      </c>
      <c r="G25" s="18">
        <v>0.0</v>
      </c>
      <c r="H25" s="18" t="s">
        <v>1045</v>
      </c>
      <c r="I25" s="18" t="s">
        <v>42</v>
      </c>
    </row>
    <row r="26">
      <c r="A26" s="19" t="s">
        <v>1564</v>
      </c>
    </row>
    <row r="27">
      <c r="C27" s="89"/>
      <c r="E27" s="19" t="s">
        <v>1565</v>
      </c>
    </row>
    <row r="28">
      <c r="E28" s="19" t="s">
        <v>1566</v>
      </c>
    </row>
    <row r="29">
      <c r="E29" s="19" t="s">
        <v>1567</v>
      </c>
    </row>
    <row r="30">
      <c r="E30" s="19" t="s">
        <v>1568</v>
      </c>
    </row>
    <row r="31">
      <c r="E31" s="19" t="s">
        <v>1569</v>
      </c>
    </row>
    <row r="32">
      <c r="E32" s="19" t="s">
        <v>1570</v>
      </c>
    </row>
    <row r="33">
      <c r="E33" s="19" t="s">
        <v>1571</v>
      </c>
    </row>
    <row r="34">
      <c r="E34" s="19" t="s">
        <v>1572</v>
      </c>
    </row>
    <row r="35">
      <c r="A35" s="19" t="s">
        <v>1573</v>
      </c>
      <c r="B35" s="73" t="s">
        <v>1400</v>
      </c>
      <c r="C35" s="11" t="s">
        <v>1574</v>
      </c>
      <c r="D35" s="29"/>
      <c r="E35" s="10" t="s">
        <v>1575</v>
      </c>
      <c r="F35" s="10" t="s">
        <v>494</v>
      </c>
      <c r="G35" s="11">
        <v>2.0</v>
      </c>
      <c r="H35" s="11" t="s">
        <v>749</v>
      </c>
      <c r="I35" s="11" t="s">
        <v>50</v>
      </c>
    </row>
    <row r="36">
      <c r="A36" s="19" t="s">
        <v>1576</v>
      </c>
      <c r="B36" s="72" t="s">
        <v>1400</v>
      </c>
      <c r="C36" s="18" t="s">
        <v>1468</v>
      </c>
      <c r="D36" s="19" t="s">
        <v>40</v>
      </c>
      <c r="F36" s="18">
        <v>2.0</v>
      </c>
      <c r="G36" s="18" t="s">
        <v>711</v>
      </c>
      <c r="H36" s="18" t="s">
        <v>50</v>
      </c>
    </row>
    <row r="37">
      <c r="A37" s="46" t="s">
        <v>901</v>
      </c>
      <c r="B37" s="19" t="s">
        <v>1577</v>
      </c>
      <c r="C37" s="19" t="s">
        <v>44</v>
      </c>
      <c r="D37" s="19" t="s">
        <v>1578</v>
      </c>
      <c r="F37" s="18">
        <v>0.0</v>
      </c>
      <c r="G37" s="18" t="s">
        <v>903</v>
      </c>
      <c r="H37" s="18" t="s">
        <v>50</v>
      </c>
      <c r="I37" s="19" t="s">
        <v>1579</v>
      </c>
    </row>
    <row r="38">
      <c r="E38" s="19" t="s">
        <v>1580</v>
      </c>
    </row>
    <row r="39">
      <c r="E39" s="19" t="s">
        <v>1581</v>
      </c>
    </row>
    <row r="42">
      <c r="D42" s="13" t="s">
        <v>1565</v>
      </c>
    </row>
    <row r="43">
      <c r="D43" s="13" t="s">
        <v>1566</v>
      </c>
    </row>
    <row r="44">
      <c r="D44" s="13" t="s">
        <v>1567</v>
      </c>
    </row>
    <row r="45">
      <c r="D45" s="13" t="s">
        <v>1568</v>
      </c>
    </row>
    <row r="46">
      <c r="D46" s="13" t="s">
        <v>1569</v>
      </c>
    </row>
    <row r="47">
      <c r="D47" s="19" t="s">
        <v>1582</v>
      </c>
    </row>
    <row r="48">
      <c r="D48" s="19" t="s">
        <v>1583</v>
      </c>
    </row>
    <row r="49">
      <c r="D49" s="19" t="s">
        <v>1584</v>
      </c>
    </row>
    <row r="53">
      <c r="D53" s="19" t="s">
        <v>1585</v>
      </c>
    </row>
    <row r="54">
      <c r="D54" s="19" t="s">
        <v>1586</v>
      </c>
    </row>
    <row r="55">
      <c r="D55" s="19" t="s">
        <v>1485</v>
      </c>
    </row>
    <row r="56">
      <c r="A56" s="19" t="s">
        <v>1587</v>
      </c>
      <c r="D56" s="19" t="s">
        <v>1588</v>
      </c>
    </row>
    <row r="57">
      <c r="D57" s="19" t="s">
        <v>1589</v>
      </c>
    </row>
    <row r="58">
      <c r="A58" s="19" t="s">
        <v>1590</v>
      </c>
      <c r="D58" s="19" t="s">
        <v>1591</v>
      </c>
    </row>
    <row r="59">
      <c r="A59" s="19" t="s">
        <v>1498</v>
      </c>
      <c r="D59" s="19" t="s">
        <v>1499</v>
      </c>
    </row>
    <row r="62">
      <c r="D62" s="19" t="s">
        <v>1592</v>
      </c>
    </row>
    <row r="63">
      <c r="D63" s="19" t="s">
        <v>1593</v>
      </c>
    </row>
    <row r="65">
      <c r="D65" s="19" t="s">
        <v>1594</v>
      </c>
    </row>
    <row r="67">
      <c r="D67" s="19" t="s">
        <v>1595</v>
      </c>
    </row>
    <row r="68">
      <c r="D68" s="19" t="s">
        <v>1596</v>
      </c>
    </row>
    <row r="69">
      <c r="B69" s="19" t="s">
        <v>1597</v>
      </c>
    </row>
    <row r="71">
      <c r="D71" s="19" t="s">
        <v>1598</v>
      </c>
    </row>
    <row r="72">
      <c r="A72" s="19" t="s">
        <v>1599</v>
      </c>
      <c r="D72" s="19" t="s">
        <v>1600</v>
      </c>
    </row>
    <row r="73">
      <c r="D73" s="19" t="s">
        <v>1601</v>
      </c>
    </row>
    <row r="74">
      <c r="D74" s="19" t="s">
        <v>1602</v>
      </c>
    </row>
    <row r="75">
      <c r="A75" s="19" t="s">
        <v>1009</v>
      </c>
      <c r="D75" s="19" t="s">
        <v>1603</v>
      </c>
    </row>
    <row r="76">
      <c r="D76" s="19" t="s">
        <v>1604</v>
      </c>
    </row>
    <row r="77">
      <c r="D77" s="19" t="s">
        <v>1605</v>
      </c>
    </row>
    <row r="78">
      <c r="D78" s="19" t="s">
        <v>1606</v>
      </c>
    </row>
    <row r="79">
      <c r="D79" s="19" t="s">
        <v>1607</v>
      </c>
    </row>
    <row r="80">
      <c r="D80" s="19" t="s">
        <v>1608</v>
      </c>
    </row>
    <row r="81">
      <c r="D81" s="19" t="s">
        <v>1609</v>
      </c>
    </row>
    <row r="82">
      <c r="D82" s="19" t="s">
        <v>1610</v>
      </c>
    </row>
    <row r="84">
      <c r="D84" s="19" t="s">
        <v>1611</v>
      </c>
    </row>
    <row r="86">
      <c r="D86" s="19" t="s">
        <v>1612</v>
      </c>
    </row>
    <row r="87">
      <c r="D87" s="19" t="s">
        <v>1613</v>
      </c>
    </row>
    <row r="88">
      <c r="D88" s="19" t="s">
        <v>1614</v>
      </c>
    </row>
    <row r="89">
      <c r="D89" s="19" t="s">
        <v>1615</v>
      </c>
    </row>
    <row r="90">
      <c r="D90" s="19" t="s">
        <v>1616</v>
      </c>
    </row>
    <row r="91">
      <c r="D91" s="19" t="s">
        <v>1617</v>
      </c>
    </row>
    <row r="93">
      <c r="D93" s="19" t="s">
        <v>1618</v>
      </c>
    </row>
    <row r="94">
      <c r="D94" s="19" t="s">
        <v>1619</v>
      </c>
    </row>
    <row r="95">
      <c r="E95" s="19" t="s">
        <v>1620</v>
      </c>
    </row>
    <row r="96">
      <c r="D96" s="19" t="s">
        <v>1621</v>
      </c>
    </row>
    <row r="97">
      <c r="D97" s="19" t="s">
        <v>1622</v>
      </c>
    </row>
    <row r="98">
      <c r="A98" s="19" t="s">
        <v>1623</v>
      </c>
      <c r="D98" s="19" t="s">
        <v>1624</v>
      </c>
    </row>
    <row r="99">
      <c r="D99" s="26" t="s">
        <v>1440</v>
      </c>
    </row>
    <row r="100">
      <c r="D100" s="19" t="s">
        <v>1625</v>
      </c>
    </row>
    <row r="101">
      <c r="A101" s="19" t="s">
        <v>1626</v>
      </c>
      <c r="D101" s="19" t="s">
        <v>1627</v>
      </c>
    </row>
    <row r="102">
      <c r="D102" s="177" t="s">
        <v>1628</v>
      </c>
    </row>
    <row r="103">
      <c r="E103" s="19" t="s">
        <v>1629</v>
      </c>
    </row>
    <row r="104">
      <c r="A104" s="19" t="s">
        <v>1630</v>
      </c>
      <c r="E104" s="19" t="s">
        <v>1631</v>
      </c>
    </row>
    <row r="105">
      <c r="E105" s="19" t="s">
        <v>1632</v>
      </c>
    </row>
    <row r="106">
      <c r="A106" s="29"/>
      <c r="B106" s="19" t="s">
        <v>1633</v>
      </c>
      <c r="D106" s="19" t="s">
        <v>1634</v>
      </c>
      <c r="F106" s="10"/>
      <c r="G106" s="10"/>
      <c r="H106" s="10"/>
      <c r="I106" s="178"/>
      <c r="J106" s="11"/>
      <c r="K106" s="179"/>
      <c r="L106" s="21"/>
    </row>
    <row r="107">
      <c r="A107" s="19" t="s">
        <v>1635</v>
      </c>
      <c r="I107" s="19" t="s">
        <v>33</v>
      </c>
    </row>
  </sheetData>
  <drawing r:id="rId1"/>
</worksheet>
</file>